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\\Micro-29\d\__EXECUÇÃO\FUNASA\ORÇAMENTO\SÃO JOSÉ DAS PALMEIRAS\2º ENTREGA\PLANILHA ORÇAMENTÁRIA\"/>
    </mc:Choice>
  </mc:AlternateContent>
  <xr:revisionPtr revIDLastSave="0" documentId="13_ncr:1_{F4E063A9-1E84-4128-8616-86121145298B}" xr6:coauthVersionLast="43" xr6:coauthVersionMax="43" xr10:uidLastSave="{00000000-0000-0000-0000-000000000000}"/>
  <bookViews>
    <workbookView xWindow="-120" yWindow="-120" windowWidth="29040" windowHeight="15840" tabRatio="811" firstSheet="45" activeTab="54" xr2:uid="{00000000-000D-0000-FFFF-FFFF00000000}"/>
  </bookViews>
  <sheets>
    <sheet name="BDI-SERVIÇOS" sheetId="46" r:id="rId1"/>
    <sheet name="BDI-MATERIAIS" sheetId="47" r:id="rId2"/>
    <sheet name="RESUMO" sheetId="3" r:id="rId3"/>
    <sheet name="CRONOGRAMA" sheetId="106" r:id="rId4"/>
    <sheet name="01" sheetId="1" r:id="rId5"/>
    <sheet name="02" sheetId="41" r:id="rId6"/>
    <sheet name="03" sheetId="43" r:id="rId7"/>
    <sheet name="04" sheetId="9" r:id="rId8"/>
    <sheet name="05" sheetId="8" r:id="rId9"/>
    <sheet name="06" sheetId="11" r:id="rId10"/>
    <sheet name="07" sheetId="10" r:id="rId11"/>
    <sheet name="08 - 1" sheetId="38" r:id="rId12"/>
    <sheet name="09 - 1" sheetId="35" r:id="rId13"/>
    <sheet name="08 - 2" sheetId="96" r:id="rId14"/>
    <sheet name="09 - 2" sheetId="97" r:id="rId15"/>
    <sheet name="08 - 3" sheetId="98" r:id="rId16"/>
    <sheet name="09 - 3" sheetId="99" r:id="rId17"/>
    <sheet name="08 - 4" sheetId="104" r:id="rId18"/>
    <sheet name="09 - 4" sheetId="105" r:id="rId19"/>
    <sheet name="08 - 5" sheetId="121" r:id="rId20"/>
    <sheet name="09 - 5" sheetId="122" r:id="rId21"/>
    <sheet name="08 - 6" sheetId="123" state="hidden" r:id="rId22"/>
    <sheet name="09 - 6" sheetId="124" state="hidden" r:id="rId23"/>
    <sheet name="08 - 7" sheetId="125" state="hidden" r:id="rId24"/>
    <sheet name="09 - 7" sheetId="126" state="hidden" r:id="rId25"/>
    <sheet name="08 - INT" sheetId="100" r:id="rId26"/>
    <sheet name="09 - INT" sheetId="101" r:id="rId27"/>
    <sheet name="10 - EMI" sheetId="102" r:id="rId28"/>
    <sheet name="11 - EMI" sheetId="103" r:id="rId29"/>
    <sheet name="12" sheetId="76" r:id="rId30"/>
    <sheet name="13" sheetId="65" r:id="rId31"/>
    <sheet name="14" sheetId="66" r:id="rId32"/>
    <sheet name="15" sheetId="49" r:id="rId33"/>
    <sheet name="16" sheetId="50" r:id="rId34"/>
    <sheet name="17" sheetId="51" r:id="rId35"/>
    <sheet name="18" sheetId="52" r:id="rId36"/>
    <sheet name="19" sheetId="53" r:id="rId37"/>
    <sheet name="20" sheetId="54" r:id="rId38"/>
    <sheet name="21" sheetId="55" r:id="rId39"/>
    <sheet name="22" sheetId="56" r:id="rId40"/>
    <sheet name="23" sheetId="57" r:id="rId41"/>
    <sheet name="24" sheetId="58" r:id="rId42"/>
    <sheet name="25" sheetId="59" r:id="rId43"/>
    <sheet name="24 (2)" sheetId="94" r:id="rId44"/>
    <sheet name="26" sheetId="87" r:id="rId45"/>
    <sheet name="24 (3)" sheetId="95" r:id="rId46"/>
    <sheet name="26 (2)" sheetId="107" r:id="rId47"/>
    <sheet name="24 (4)" sheetId="108" r:id="rId48"/>
    <sheet name="26 (3)" sheetId="110" r:id="rId49"/>
    <sheet name="24 (5)" sheetId="111" r:id="rId50"/>
    <sheet name="27" sheetId="61" r:id="rId51"/>
    <sheet name="28" sheetId="62" r:id="rId52"/>
    <sheet name="29" sheetId="63" r:id="rId53"/>
    <sheet name="30" sheetId="64" r:id="rId54"/>
    <sheet name="31" sheetId="77" r:id="rId55"/>
    <sheet name="32" sheetId="78" r:id="rId56"/>
    <sheet name="33" sheetId="80" r:id="rId57"/>
    <sheet name="34" sheetId="79" r:id="rId58"/>
    <sheet name="35" sheetId="81" r:id="rId59"/>
    <sheet name="36" sheetId="82" r:id="rId60"/>
    <sheet name="37" sheetId="83" r:id="rId61"/>
    <sheet name="38" sheetId="84" r:id="rId62"/>
    <sheet name="39" sheetId="85" r:id="rId63"/>
    <sheet name="40" sheetId="86" r:id="rId64"/>
    <sheet name="32 (2)" sheetId="112" r:id="rId65"/>
    <sheet name="33 (2)" sheetId="113" r:id="rId66"/>
    <sheet name="34 (2)" sheetId="114" r:id="rId67"/>
    <sheet name="35 (2)" sheetId="115" r:id="rId68"/>
    <sheet name="36 (2)" sheetId="116" r:id="rId69"/>
    <sheet name="37 (2)" sheetId="117" r:id="rId70"/>
    <sheet name="38 (2)" sheetId="118" r:id="rId71"/>
    <sheet name="39 (2)" sheetId="119" r:id="rId72"/>
    <sheet name="40 (2)" sheetId="120" r:id="rId73"/>
  </sheets>
  <externalReferences>
    <externalReference r:id="rId74"/>
    <externalReference r:id="rId75"/>
    <externalReference r:id="rId76"/>
    <externalReference r:id="rId77"/>
  </externalReferences>
  <definedNames>
    <definedName name="_xlnm.Print_Area" localSheetId="4">'01'!$A$1:$O$35</definedName>
    <definedName name="_xlnm.Print_Area" localSheetId="5">'02'!$A$1:$O$19</definedName>
    <definedName name="_xlnm.Print_Area" localSheetId="6">'03'!$A$1:$K$40</definedName>
    <definedName name="_xlnm.Print_Area" localSheetId="7">'04'!$A$1:$O$192</definedName>
    <definedName name="_xlnm.Print_Area" localSheetId="8">'05'!$A$1:$O$50</definedName>
    <definedName name="_xlnm.Print_Area" localSheetId="9">'06'!$A$1:$O$104</definedName>
    <definedName name="_xlnm.Print_Area" localSheetId="10">'07'!$A$1:$O$45</definedName>
    <definedName name="_xlnm.Print_Area" localSheetId="11">'08 - 1'!$A$1:$O$120</definedName>
    <definedName name="_xlnm.Print_Area" localSheetId="13">'08 - 2'!$A$1:$O$120</definedName>
    <definedName name="_xlnm.Print_Area" localSheetId="15">'08 - 3'!$A$1:$O$120</definedName>
    <definedName name="_xlnm.Print_Area" localSheetId="17">'08 - 4'!$A$1:$O$120</definedName>
    <definedName name="_xlnm.Print_Area" localSheetId="19">'08 - 5'!$A$1:$O$120</definedName>
    <definedName name="_xlnm.Print_Area" localSheetId="21">'08 - 6'!$A$1:$O$120</definedName>
    <definedName name="_xlnm.Print_Area" localSheetId="23">'08 - 7'!$A$1:$O$120</definedName>
    <definedName name="_xlnm.Print_Area" localSheetId="25">'08 - INT'!$A$1:$O$120</definedName>
    <definedName name="_xlnm.Print_Area" localSheetId="12">'09 - 1'!$A$1:$O$31</definedName>
    <definedName name="_xlnm.Print_Area" localSheetId="14">'09 - 2'!$A$1:$O$31</definedName>
    <definedName name="_xlnm.Print_Area" localSheetId="16">'09 - 3'!$A$1:$O$31</definedName>
    <definedName name="_xlnm.Print_Area" localSheetId="18">'09 - 4'!$A$1:$O$31</definedName>
    <definedName name="_xlnm.Print_Area" localSheetId="20">'09 - 5'!$A$1:$O$31</definedName>
    <definedName name="_xlnm.Print_Area" localSheetId="22">'09 - 6'!$A$1:$O$31</definedName>
    <definedName name="_xlnm.Print_Area" localSheetId="24">'09 - 7'!$A$1:$O$31</definedName>
    <definedName name="_xlnm.Print_Area" localSheetId="26">'09 - INT'!$A$1:$O$31</definedName>
    <definedName name="_xlnm.Print_Area" localSheetId="27">'10 - EMI'!$A$1:$O$120</definedName>
    <definedName name="_xlnm.Print_Area" localSheetId="28">'11 - EMI'!$A$1:$O$31</definedName>
    <definedName name="_xlnm.Print_Area" localSheetId="29">'12'!$A$1:$O$62</definedName>
    <definedName name="_xlnm.Print_Area" localSheetId="30">'13'!$A$1:$O$116</definedName>
    <definedName name="_xlnm.Print_Area" localSheetId="31">'14'!$A$1:$O$22</definedName>
    <definedName name="_xlnm.Print_Area" localSheetId="32">'15'!$A$1:$O$138</definedName>
    <definedName name="_xlnm.Print_Area" localSheetId="33">'16'!$A$1:$O$57</definedName>
    <definedName name="_xlnm.Print_Area" localSheetId="34">'17'!$A$1:$O$95</definedName>
    <definedName name="_xlnm.Print_Area" localSheetId="35">'18'!$A$1:$O$29</definedName>
    <definedName name="_xlnm.Print_Area" localSheetId="36">'19'!$A$1:$O$178</definedName>
    <definedName name="_xlnm.Print_Area" localSheetId="37">'20'!$A$1:$O$59</definedName>
    <definedName name="_xlnm.Print_Area" localSheetId="38">'21'!$A$1:$O$148</definedName>
    <definedName name="_xlnm.Print_Area" localSheetId="39">'22'!$A$1:$O$63</definedName>
    <definedName name="_xlnm.Print_Area" localSheetId="40">'23'!$A$1:$O$162</definedName>
    <definedName name="_xlnm.Print_Area" localSheetId="41">'24'!$A$1:$O$41</definedName>
    <definedName name="_xlnm.Print_Area" localSheetId="43">'24 (2)'!$A$1:$O$41</definedName>
    <definedName name="_xlnm.Print_Area" localSheetId="45">'24 (3)'!$A$1:$O$41</definedName>
    <definedName name="_xlnm.Print_Area" localSheetId="47">'24 (4)'!$A$1:$O$41</definedName>
    <definedName name="_xlnm.Print_Area" localSheetId="49">'24 (5)'!$A$1:$O$59</definedName>
    <definedName name="_xlnm.Print_Area" localSheetId="42">'25'!$A$1:$O$153</definedName>
    <definedName name="_xlnm.Print_Area" localSheetId="44">'26'!$A$1:$O$153</definedName>
    <definedName name="_xlnm.Print_Area" localSheetId="46">'26 (2)'!$A$1:$O$153</definedName>
    <definedName name="_xlnm.Print_Area" localSheetId="48">'26 (3)'!$A$1:$O$148</definedName>
    <definedName name="_xlnm.Print_Area" localSheetId="50">'27'!$A$1:$O$168</definedName>
    <definedName name="_xlnm.Print_Area" localSheetId="51">'28'!$A$1:$O$33</definedName>
    <definedName name="_xlnm.Print_Area" localSheetId="52">'29'!$A$1:$O$204</definedName>
    <definedName name="_xlnm.Print_Area" localSheetId="53">'30'!$A$1:$O$101</definedName>
    <definedName name="_xlnm.Print_Area" localSheetId="54">'31'!$A$1:$O$21</definedName>
    <definedName name="_xlnm.Print_Area" localSheetId="55">'32'!$A$1:$O$57</definedName>
    <definedName name="_xlnm.Print_Area" localSheetId="64">'32 (2)'!$A$1:$O$57</definedName>
    <definedName name="_xlnm.Print_Area" localSheetId="56">'33'!$A$1:$O$159</definedName>
    <definedName name="_xlnm.Print_Area" localSheetId="65">'33 (2)'!$A$1:$O$159</definedName>
    <definedName name="_xlnm.Print_Area" localSheetId="57">'34'!$A$1:$O$144</definedName>
    <definedName name="_xlnm.Print_Area" localSheetId="66">'34 (2)'!$A$1:$O$144</definedName>
    <definedName name="_xlnm.Print_Area" localSheetId="58">'35'!$A$1:$O$266</definedName>
    <definedName name="_xlnm.Print_Area" localSheetId="67">'35 (2)'!$A$1:$O$266</definedName>
    <definedName name="_xlnm.Print_Area" localSheetId="59">'36'!$A$1:$O$68</definedName>
    <definedName name="_xlnm.Print_Area" localSheetId="68">'36 (2)'!$A$1:$O$68</definedName>
    <definedName name="_xlnm.Print_Area" localSheetId="60">'37'!$A$1:$O$66</definedName>
    <definedName name="_xlnm.Print_Area" localSheetId="69">'37 (2)'!$A$1:$O$66</definedName>
    <definedName name="_xlnm.Print_Area" localSheetId="61">'38'!$A$1:$P$86</definedName>
    <definedName name="_xlnm.Print_Area" localSheetId="70">'38 (2)'!$A$1:$O$86</definedName>
    <definedName name="_xlnm.Print_Area" localSheetId="62">'39'!$A$1:$O$53</definedName>
    <definedName name="_xlnm.Print_Area" localSheetId="71">'39 (2)'!$A$1:$O$53</definedName>
    <definedName name="_xlnm.Print_Area" localSheetId="63">'40'!$A$1:$O$21</definedName>
    <definedName name="_xlnm.Print_Area" localSheetId="72">'40 (2)'!$A$1:$O$21</definedName>
    <definedName name="_xlnm.Print_Area" localSheetId="1">'BDI-MATERIAIS'!$A$1:$D$33</definedName>
    <definedName name="_xlnm.Print_Area" localSheetId="0">'BDI-SERVIÇOS'!$A$1:$D$33</definedName>
    <definedName name="_xlnm.Print_Area" localSheetId="2">RESUMO!$A$1:$I$97</definedName>
    <definedName name="FORMULAS" localSheetId="29">#REF!</definedName>
    <definedName name="FORMULAS" localSheetId="31">#REF!</definedName>
    <definedName name="FORMULAS" localSheetId="43">#REF!</definedName>
    <definedName name="FORMULAS" localSheetId="45">#REF!</definedName>
    <definedName name="FORMULAS" localSheetId="47">#REF!</definedName>
    <definedName name="FORMULAS" localSheetId="49">#REF!</definedName>
    <definedName name="FORMULAS" localSheetId="42">#REF!</definedName>
    <definedName name="FORMULAS" localSheetId="44">#REF!</definedName>
    <definedName name="FORMULAS" localSheetId="46">#REF!</definedName>
    <definedName name="FORMULAS" localSheetId="48">#REF!</definedName>
    <definedName name="FORMULAS" localSheetId="54">#REF!</definedName>
    <definedName name="FORMULAS" localSheetId="64">#REF!</definedName>
    <definedName name="FORMULAS" localSheetId="65">#REF!</definedName>
    <definedName name="FORMULAS" localSheetId="66">#REF!</definedName>
    <definedName name="FORMULAS" localSheetId="67">#REF!</definedName>
    <definedName name="FORMULAS" localSheetId="68">#REF!</definedName>
    <definedName name="FORMULAS" localSheetId="69">#REF!</definedName>
    <definedName name="FORMULAS" localSheetId="70">#REF!</definedName>
    <definedName name="FORMULAS" localSheetId="71">#REF!</definedName>
    <definedName name="FORMULAS" localSheetId="63">#REF!</definedName>
    <definedName name="FORMULAS" localSheetId="72">#REF!</definedName>
    <definedName name="FORMULAS">#REF!</definedName>
    <definedName name="_xlnm.Print_Titles" localSheetId="4">'01'!$1:$9</definedName>
    <definedName name="_xlnm.Print_Titles" localSheetId="5">'02'!$1:$9</definedName>
    <definedName name="_xlnm.Print_Titles" localSheetId="6">'03'!$1:$10</definedName>
    <definedName name="_xlnm.Print_Titles" localSheetId="7">'04'!$1:$10</definedName>
    <definedName name="_xlnm.Print_Titles" localSheetId="8">'05'!$1:$10</definedName>
    <definedName name="_xlnm.Print_Titles" localSheetId="9">'06'!$1:$10</definedName>
    <definedName name="_xlnm.Print_Titles" localSheetId="10">'07'!$1:$10</definedName>
    <definedName name="_xlnm.Print_Titles" localSheetId="11">'08 - 1'!$1:$10</definedName>
    <definedName name="_xlnm.Print_Titles" localSheetId="13">'08 - 2'!$1:$10</definedName>
    <definedName name="_xlnm.Print_Titles" localSheetId="15">'08 - 3'!$1:$10</definedName>
    <definedName name="_xlnm.Print_Titles" localSheetId="17">'08 - 4'!$1:$10</definedName>
    <definedName name="_xlnm.Print_Titles" localSheetId="19">'08 - 5'!$1:$10</definedName>
    <definedName name="_xlnm.Print_Titles" localSheetId="21">'08 - 6'!$1:$10</definedName>
    <definedName name="_xlnm.Print_Titles" localSheetId="23">'08 - 7'!$1:$10</definedName>
    <definedName name="_xlnm.Print_Titles" localSheetId="25">'08 - INT'!$1:$10</definedName>
    <definedName name="_xlnm.Print_Titles" localSheetId="12">'09 - 1'!$1:$10</definedName>
    <definedName name="_xlnm.Print_Titles" localSheetId="14">'09 - 2'!$1:$10</definedName>
    <definedName name="_xlnm.Print_Titles" localSheetId="16">'09 - 3'!$1:$10</definedName>
    <definedName name="_xlnm.Print_Titles" localSheetId="18">'09 - 4'!$1:$10</definedName>
    <definedName name="_xlnm.Print_Titles" localSheetId="20">'09 - 5'!$1:$10</definedName>
    <definedName name="_xlnm.Print_Titles" localSheetId="22">'09 - 6'!$1:$10</definedName>
    <definedName name="_xlnm.Print_Titles" localSheetId="24">'09 - 7'!$1:$10</definedName>
    <definedName name="_xlnm.Print_Titles" localSheetId="26">'09 - INT'!$1:$10</definedName>
    <definedName name="_xlnm.Print_Titles" localSheetId="27">'10 - EMI'!$1:$10</definedName>
    <definedName name="_xlnm.Print_Titles" localSheetId="28">'11 - EMI'!$1:$10</definedName>
    <definedName name="_xlnm.Print_Titles" localSheetId="29">'12'!$1:$10</definedName>
    <definedName name="_xlnm.Print_Titles" localSheetId="30">'13'!$1:$10</definedName>
    <definedName name="_xlnm.Print_Titles" localSheetId="31">'14'!$1:$10</definedName>
    <definedName name="_xlnm.Print_Titles" localSheetId="32">'15'!$1:$10</definedName>
    <definedName name="_xlnm.Print_Titles" localSheetId="33">'16'!$1:$10</definedName>
    <definedName name="_xlnm.Print_Titles" localSheetId="34">'17'!$1:$10</definedName>
    <definedName name="_xlnm.Print_Titles" localSheetId="35">'18'!$1:$10</definedName>
    <definedName name="_xlnm.Print_Titles" localSheetId="36">'19'!$1:$10</definedName>
    <definedName name="_xlnm.Print_Titles" localSheetId="37">'20'!$1:$10</definedName>
    <definedName name="_xlnm.Print_Titles" localSheetId="38">'21'!$1:$10</definedName>
    <definedName name="_xlnm.Print_Titles" localSheetId="39">'22'!$1:$11</definedName>
    <definedName name="_xlnm.Print_Titles" localSheetId="40">'23'!$1:$10</definedName>
    <definedName name="_xlnm.Print_Titles" localSheetId="41">'24'!$1:$10</definedName>
    <definedName name="_xlnm.Print_Titles" localSheetId="43">'24 (2)'!$1:$10</definedName>
    <definedName name="_xlnm.Print_Titles" localSheetId="45">'24 (3)'!$1:$10</definedName>
    <definedName name="_xlnm.Print_Titles" localSheetId="47">'24 (4)'!$1:$10</definedName>
    <definedName name="_xlnm.Print_Titles" localSheetId="49">'24 (5)'!$1:$10</definedName>
    <definedName name="_xlnm.Print_Titles" localSheetId="42">'25'!$1:$10</definedName>
    <definedName name="_xlnm.Print_Titles" localSheetId="44">'26'!$1:$10</definedName>
    <definedName name="_xlnm.Print_Titles" localSheetId="46">'26 (2)'!$1:$10</definedName>
    <definedName name="_xlnm.Print_Titles" localSheetId="48">'26 (3)'!$1:$10</definedName>
    <definedName name="_xlnm.Print_Titles" localSheetId="50">'27'!$1:$10</definedName>
    <definedName name="_xlnm.Print_Titles" localSheetId="51">'28'!$1:$11</definedName>
    <definedName name="_xlnm.Print_Titles" localSheetId="52">'29'!$1:$10</definedName>
    <definedName name="_xlnm.Print_Titles" localSheetId="53">'30'!$1:$11</definedName>
    <definedName name="_xlnm.Print_Titles" localSheetId="54">'31'!$1:$10</definedName>
    <definedName name="_xlnm.Print_Titles" localSheetId="55">'32'!$1:$10</definedName>
    <definedName name="_xlnm.Print_Titles" localSheetId="64">'32 (2)'!$1:$10</definedName>
    <definedName name="_xlnm.Print_Titles" localSheetId="56">'33'!$1:$10</definedName>
    <definedName name="_xlnm.Print_Titles" localSheetId="65">'33 (2)'!$1:$10</definedName>
    <definedName name="_xlnm.Print_Titles" localSheetId="57">'34'!$1:$10</definedName>
    <definedName name="_xlnm.Print_Titles" localSheetId="66">'34 (2)'!$1:$10</definedName>
    <definedName name="_xlnm.Print_Titles" localSheetId="58">'35'!$1:$11</definedName>
    <definedName name="_xlnm.Print_Titles" localSheetId="67">'35 (2)'!$1:$11</definedName>
    <definedName name="_xlnm.Print_Titles" localSheetId="59">'36'!$1:$10</definedName>
    <definedName name="_xlnm.Print_Titles" localSheetId="68">'36 (2)'!$1:$10</definedName>
    <definedName name="_xlnm.Print_Titles" localSheetId="60">'37'!$1:$11</definedName>
    <definedName name="_xlnm.Print_Titles" localSheetId="69">'37 (2)'!$1:$11</definedName>
    <definedName name="_xlnm.Print_Titles" localSheetId="61">'38'!$1:$10</definedName>
    <definedName name="_xlnm.Print_Titles" localSheetId="70">'38 (2)'!$1:$10</definedName>
    <definedName name="_xlnm.Print_Titles" localSheetId="62">'39'!$1:$10</definedName>
    <definedName name="_xlnm.Print_Titles" localSheetId="71">'39 (2)'!$1:$10</definedName>
    <definedName name="_xlnm.Print_Titles" localSheetId="63">'40'!$1:$10</definedName>
    <definedName name="_xlnm.Print_Titles" localSheetId="72">'40 (2)'!$1:$10</definedName>
    <definedName name="un" localSheetId="29">#REF!</definedName>
    <definedName name="un" localSheetId="43">#REF!</definedName>
    <definedName name="un" localSheetId="45">#REF!</definedName>
    <definedName name="un" localSheetId="47">#REF!</definedName>
    <definedName name="un" localSheetId="49">#REF!</definedName>
    <definedName name="un" localSheetId="44">#REF!</definedName>
    <definedName name="un" localSheetId="46">#REF!</definedName>
    <definedName name="un" localSheetId="48">#REF!</definedName>
    <definedName name="un" localSheetId="54">#REF!</definedName>
    <definedName name="un" localSheetId="64">#REF!</definedName>
    <definedName name="un" localSheetId="65">#REF!</definedName>
    <definedName name="un" localSheetId="66">#REF!</definedName>
    <definedName name="un" localSheetId="67">#REF!</definedName>
    <definedName name="un" localSheetId="68">#REF!</definedName>
    <definedName name="un" localSheetId="69">#REF!</definedName>
    <definedName name="un" localSheetId="70">#REF!</definedName>
    <definedName name="un" localSheetId="71">#REF!</definedName>
    <definedName name="un" localSheetId="63">#REF!</definedName>
    <definedName name="un" localSheetId="72">#REF!</definedName>
    <definedName name="un">#REF!</definedName>
  </definedNam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81" i="63" l="1"/>
  <c r="H70" i="63"/>
  <c r="H65" i="63"/>
  <c r="H75" i="61"/>
  <c r="H89" i="59"/>
  <c r="H84" i="59"/>
  <c r="H84" i="57"/>
  <c r="H79" i="57"/>
  <c r="H104" i="53"/>
  <c r="H94" i="53"/>
  <c r="H78" i="53"/>
  <c r="I47" i="83" l="1"/>
  <c r="H23" i="35" l="1"/>
  <c r="H51" i="80" l="1"/>
  <c r="H14" i="84"/>
  <c r="H77" i="84" s="1"/>
  <c r="H67" i="84" l="1"/>
  <c r="H28" i="84"/>
  <c r="H33" i="84" s="1"/>
  <c r="L19" i="106"/>
  <c r="M19" i="106"/>
  <c r="N19" i="106"/>
  <c r="O19" i="106"/>
  <c r="L22" i="106"/>
  <c r="M22" i="106"/>
  <c r="N22" i="106"/>
  <c r="O22" i="106"/>
  <c r="K22" i="106"/>
  <c r="K19" i="106"/>
  <c r="H25" i="106"/>
  <c r="J31" i="106"/>
  <c r="I34" i="106"/>
  <c r="H34" i="106"/>
  <c r="I37" i="106"/>
  <c r="G46" i="106"/>
  <c r="F46" i="106"/>
  <c r="H28" i="61"/>
  <c r="H27" i="61"/>
  <c r="H32" i="55"/>
  <c r="H27" i="55"/>
  <c r="H32" i="53"/>
  <c r="H27" i="53"/>
  <c r="H45" i="65"/>
  <c r="H40" i="76"/>
  <c r="J49" i="106" l="1"/>
  <c r="P129" i="106"/>
  <c r="O129" i="106"/>
  <c r="H29" i="58" l="1"/>
  <c r="H51" i="65"/>
  <c r="H40" i="65"/>
  <c r="H45" i="76"/>
  <c r="G16" i="106" l="1"/>
  <c r="H16" i="106"/>
  <c r="I16" i="106"/>
  <c r="J16" i="106"/>
  <c r="K16" i="106"/>
  <c r="L16" i="106"/>
  <c r="M16" i="106"/>
  <c r="N16" i="106"/>
  <c r="O16" i="106"/>
  <c r="P16" i="106"/>
  <c r="Q16" i="106"/>
  <c r="F16" i="106"/>
  <c r="Q117" i="106"/>
  <c r="P132" i="106"/>
  <c r="N123" i="106"/>
  <c r="M120" i="106"/>
  <c r="E34" i="106"/>
  <c r="E37" i="106" s="1"/>
  <c r="K55" i="106"/>
  <c r="J58" i="106"/>
  <c r="J82" i="106"/>
  <c r="J70" i="106"/>
  <c r="J73" i="106"/>
  <c r="Q132" i="106" l="1"/>
  <c r="O123" i="106"/>
  <c r="N120" i="106"/>
  <c r="X19" i="106"/>
  <c r="M96" i="106"/>
  <c r="E76" i="106"/>
  <c r="H47" i="53" l="1"/>
  <c r="H52" i="53" s="1"/>
  <c r="F3" i="106" l="1"/>
  <c r="H28" i="79"/>
  <c r="H56" i="79" s="1"/>
  <c r="H33" i="79" l="1"/>
  <c r="F89" i="106"/>
  <c r="F110" i="106"/>
  <c r="L57" i="61" l="1"/>
  <c r="M57" i="61" s="1"/>
  <c r="J57" i="61"/>
  <c r="I57" i="61"/>
  <c r="L56" i="61"/>
  <c r="J56" i="61"/>
  <c r="I56" i="61"/>
  <c r="K57" i="61" l="1"/>
  <c r="M56" i="61"/>
  <c r="K56" i="61"/>
  <c r="N56" i="61"/>
  <c r="N57" i="61"/>
  <c r="X132" i="106"/>
  <c r="X123" i="106"/>
  <c r="X120" i="106"/>
  <c r="X10" i="106"/>
  <c r="X11" i="106"/>
  <c r="X13" i="106"/>
  <c r="X14" i="106"/>
  <c r="X17" i="106"/>
  <c r="X20" i="106"/>
  <c r="X23" i="106"/>
  <c r="X25" i="106"/>
  <c r="X26" i="106"/>
  <c r="X28" i="106"/>
  <c r="X29" i="106"/>
  <c r="X32" i="106"/>
  <c r="X34" i="106"/>
  <c r="X35" i="106"/>
  <c r="X37" i="106"/>
  <c r="X38" i="106"/>
  <c r="X39" i="106"/>
  <c r="X40" i="106"/>
  <c r="X41" i="106"/>
  <c r="X42" i="106"/>
  <c r="X43" i="106"/>
  <c r="X44" i="106"/>
  <c r="X47" i="106"/>
  <c r="X49" i="106"/>
  <c r="X50" i="106"/>
  <c r="X53" i="106"/>
  <c r="X56" i="106"/>
  <c r="X59" i="106"/>
  <c r="X61" i="106"/>
  <c r="X62" i="106"/>
  <c r="X64" i="106"/>
  <c r="X65" i="106"/>
  <c r="X67" i="106"/>
  <c r="X68" i="106"/>
  <c r="X71" i="106"/>
  <c r="X74" i="106"/>
  <c r="X76" i="106"/>
  <c r="X77" i="106"/>
  <c r="X78" i="106"/>
  <c r="X79" i="106"/>
  <c r="X80" i="106"/>
  <c r="X83" i="106"/>
  <c r="X94" i="106"/>
  <c r="X115" i="106"/>
  <c r="X117" i="106"/>
  <c r="X118" i="106"/>
  <c r="X121" i="106"/>
  <c r="X124" i="106"/>
  <c r="X126" i="106"/>
  <c r="X127" i="106"/>
  <c r="X129" i="106"/>
  <c r="X130" i="106"/>
  <c r="N59" i="61" l="1"/>
  <c r="C29" i="106"/>
  <c r="C26" i="106"/>
  <c r="C23" i="106"/>
  <c r="C20" i="106"/>
  <c r="C17" i="106"/>
  <c r="C14" i="106"/>
  <c r="C11" i="106"/>
  <c r="C8" i="106"/>
  <c r="E12" i="106"/>
  <c r="E15" i="106"/>
  <c r="E18" i="106" s="1"/>
  <c r="E21" i="106" s="1"/>
  <c r="E43" i="106"/>
  <c r="F52" i="106"/>
  <c r="X52" i="106" s="1"/>
  <c r="L55" i="106"/>
  <c r="K58" i="106"/>
  <c r="G70" i="106"/>
  <c r="H73" i="106"/>
  <c r="I73" i="106"/>
  <c r="K82" i="106"/>
  <c r="F85" i="106"/>
  <c r="G85" i="106"/>
  <c r="X96" i="106"/>
  <c r="U134" i="106"/>
  <c r="V134" i="106"/>
  <c r="W134" i="106"/>
  <c r="X46" i="106" l="1"/>
  <c r="X73" i="106"/>
  <c r="X22" i="106"/>
  <c r="X82" i="106"/>
  <c r="N61" i="61"/>
  <c r="O59" i="61" s="1"/>
  <c r="O56" i="61"/>
  <c r="O57" i="61"/>
  <c r="X58" i="106"/>
  <c r="X70" i="106"/>
  <c r="X16" i="106"/>
  <c r="X31" i="106"/>
  <c r="X85" i="106"/>
  <c r="X55" i="106"/>
  <c r="E24" i="106"/>
  <c r="E27" i="106" s="1"/>
  <c r="E116" i="106"/>
  <c r="E119" i="106" s="1"/>
  <c r="E122" i="106" s="1"/>
  <c r="E125" i="106" s="1"/>
  <c r="E128" i="106" s="1"/>
  <c r="E131" i="106" s="1"/>
  <c r="H70" i="102"/>
  <c r="H33" i="100"/>
  <c r="H70" i="100"/>
  <c r="H46" i="98"/>
  <c r="H52" i="98" s="1"/>
  <c r="H33" i="98"/>
  <c r="H70" i="98"/>
  <c r="H40" i="96"/>
  <c r="H39" i="96"/>
  <c r="H34" i="96"/>
  <c r="H33" i="96"/>
  <c r="H90" i="9"/>
  <c r="H70" i="104"/>
  <c r="H70" i="121"/>
  <c r="H70" i="123"/>
  <c r="H70" i="125"/>
  <c r="H57" i="102"/>
  <c r="H46" i="102"/>
  <c r="H52" i="102" s="1"/>
  <c r="H45" i="102"/>
  <c r="H51" i="102" s="1"/>
  <c r="H40" i="102"/>
  <c r="H39" i="102"/>
  <c r="H34" i="102"/>
  <c r="H33" i="102"/>
  <c r="H57" i="100"/>
  <c r="H46" i="100"/>
  <c r="H52" i="100" s="1"/>
  <c r="H45" i="100"/>
  <c r="H51" i="100" s="1"/>
  <c r="H40" i="100"/>
  <c r="H39" i="100"/>
  <c r="H34" i="100"/>
  <c r="H57" i="125"/>
  <c r="H46" i="125"/>
  <c r="H52" i="125" s="1"/>
  <c r="H45" i="125"/>
  <c r="H51" i="125" s="1"/>
  <c r="H40" i="125"/>
  <c r="H39" i="125"/>
  <c r="H34" i="125"/>
  <c r="H33" i="125"/>
  <c r="H57" i="123"/>
  <c r="H46" i="123"/>
  <c r="H52" i="123" s="1"/>
  <c r="H45" i="123"/>
  <c r="H51" i="123" s="1"/>
  <c r="H40" i="123"/>
  <c r="H39" i="123"/>
  <c r="H34" i="123"/>
  <c r="H33" i="123"/>
  <c r="H57" i="121"/>
  <c r="H46" i="121"/>
  <c r="H52" i="121" s="1"/>
  <c r="H45" i="121"/>
  <c r="H51" i="121" s="1"/>
  <c r="H40" i="121"/>
  <c r="H39" i="121"/>
  <c r="H34" i="121"/>
  <c r="H33" i="121"/>
  <c r="H57" i="104"/>
  <c r="H46" i="104"/>
  <c r="H52" i="104" s="1"/>
  <c r="H45" i="104"/>
  <c r="H51" i="104" s="1"/>
  <c r="H40" i="104"/>
  <c r="H39" i="104"/>
  <c r="H34" i="104"/>
  <c r="H33" i="104"/>
  <c r="H57" i="98"/>
  <c r="H45" i="98"/>
  <c r="H51" i="98" s="1"/>
  <c r="H40" i="98"/>
  <c r="H39" i="98"/>
  <c r="H34" i="98"/>
  <c r="H57" i="96"/>
  <c r="H46" i="96"/>
  <c r="H52" i="96" s="1"/>
  <c r="H45" i="96"/>
  <c r="H51" i="96" s="1"/>
  <c r="H98" i="38"/>
  <c r="H70" i="38"/>
  <c r="H57" i="38"/>
  <c r="H46" i="38"/>
  <c r="H45" i="38"/>
  <c r="H40" i="38"/>
  <c r="H39" i="38"/>
  <c r="H34" i="38"/>
  <c r="H33" i="38"/>
  <c r="E42" i="106" l="1"/>
  <c r="E30" i="106"/>
  <c r="H148" i="9"/>
  <c r="H143" i="9"/>
  <c r="H144" i="9"/>
  <c r="H145" i="9"/>
  <c r="H146" i="9"/>
  <c r="H147" i="9"/>
  <c r="H142" i="9"/>
  <c r="H128" i="9"/>
  <c r="H123" i="9"/>
  <c r="H118" i="9"/>
  <c r="E45" i="106" l="1"/>
  <c r="E48" i="106" s="1"/>
  <c r="E51" i="106" s="1"/>
  <c r="E54" i="106" s="1"/>
  <c r="E60" i="106" s="1"/>
  <c r="E33" i="106"/>
  <c r="E36" i="106" s="1"/>
  <c r="Q6" i="11"/>
  <c r="H66" i="11"/>
  <c r="H67" i="11"/>
  <c r="H68" i="11"/>
  <c r="H69" i="11"/>
  <c r="H65" i="11"/>
  <c r="H25" i="9"/>
  <c r="H65" i="9"/>
  <c r="H60" i="9"/>
  <c r="H54" i="9"/>
  <c r="H53" i="9"/>
  <c r="H77" i="9"/>
  <c r="H66" i="9"/>
  <c r="H59" i="9"/>
  <c r="H14" i="9"/>
  <c r="H104" i="9" s="1"/>
  <c r="E57" i="106" l="1"/>
  <c r="E66" i="106"/>
  <c r="E69" i="106"/>
  <c r="E84" i="106"/>
  <c r="E63" i="106"/>
  <c r="E95" i="106"/>
  <c r="E81" i="106"/>
  <c r="E72" i="106"/>
  <c r="E75" i="106" s="1"/>
  <c r="H76" i="11"/>
  <c r="H75" i="11"/>
  <c r="L76" i="11"/>
  <c r="J76" i="11"/>
  <c r="I76" i="11"/>
  <c r="L75" i="11"/>
  <c r="J75" i="11"/>
  <c r="I75" i="11"/>
  <c r="M75" i="11" l="1"/>
  <c r="M76" i="11"/>
  <c r="N75" i="11"/>
  <c r="K76" i="11"/>
  <c r="N76" i="11"/>
  <c r="K75" i="11"/>
  <c r="N78" i="11" l="1"/>
  <c r="O76" i="11" l="1"/>
  <c r="O75" i="11"/>
  <c r="L66" i="11" l="1"/>
  <c r="J66" i="11"/>
  <c r="I66" i="11"/>
  <c r="L65" i="11"/>
  <c r="J65" i="11"/>
  <c r="K65" i="11" s="1"/>
  <c r="I65" i="11"/>
  <c r="N65" i="11" s="1"/>
  <c r="N66" i="11" l="1"/>
  <c r="K66" i="11"/>
  <c r="H70" i="96"/>
  <c r="D8" i="126"/>
  <c r="D7" i="126"/>
  <c r="B11" i="126"/>
  <c r="B11" i="125"/>
  <c r="D8" i="125"/>
  <c r="D7" i="125"/>
  <c r="D8" i="124"/>
  <c r="D7" i="124"/>
  <c r="B11" i="124"/>
  <c r="B11" i="123"/>
  <c r="D8" i="123"/>
  <c r="D7" i="123"/>
  <c r="D8" i="122"/>
  <c r="D7" i="122"/>
  <c r="B11" i="122"/>
  <c r="B11" i="121"/>
  <c r="D8" i="121"/>
  <c r="D7" i="121"/>
  <c r="D7" i="96"/>
  <c r="H23" i="103"/>
  <c r="H23" i="124"/>
  <c r="H23" i="122"/>
  <c r="H23" i="99"/>
  <c r="H23" i="97"/>
  <c r="H42" i="8"/>
  <c r="H112" i="9"/>
  <c r="H41" i="8" s="1"/>
  <c r="L93" i="102"/>
  <c r="M93" i="102" s="1"/>
  <c r="J93" i="102"/>
  <c r="K93" i="102" s="1"/>
  <c r="I93" i="102"/>
  <c r="N93" i="102" s="1"/>
  <c r="L93" i="123"/>
  <c r="M93" i="123" s="1"/>
  <c r="J93" i="123"/>
  <c r="K93" i="123" s="1"/>
  <c r="I93" i="123"/>
  <c r="N93" i="123" s="1"/>
  <c r="L93" i="121"/>
  <c r="M93" i="121" s="1"/>
  <c r="J93" i="121"/>
  <c r="K93" i="121" s="1"/>
  <c r="I93" i="121"/>
  <c r="N93" i="121" s="1"/>
  <c r="L93" i="98"/>
  <c r="M93" i="98" s="1"/>
  <c r="J93" i="98"/>
  <c r="K93" i="98" s="1"/>
  <c r="I93" i="98"/>
  <c r="N93" i="98" s="1"/>
  <c r="L93" i="96"/>
  <c r="M93" i="96" s="1"/>
  <c r="J93" i="96"/>
  <c r="K93" i="96" s="1"/>
  <c r="I93" i="96"/>
  <c r="N93" i="96" s="1"/>
  <c r="L93" i="38"/>
  <c r="M93" i="38" s="1"/>
  <c r="J93" i="38"/>
  <c r="K93" i="38" s="1"/>
  <c r="I93" i="38"/>
  <c r="N93" i="38" s="1"/>
  <c r="L23" i="126"/>
  <c r="I23" i="126"/>
  <c r="H23" i="126"/>
  <c r="L22" i="126"/>
  <c r="I22" i="126"/>
  <c r="A11" i="126"/>
  <c r="N7" i="126"/>
  <c r="M7" i="126"/>
  <c r="N6" i="126"/>
  <c r="N5" i="126"/>
  <c r="D5" i="126"/>
  <c r="N4" i="126"/>
  <c r="D4" i="126"/>
  <c r="L112" i="125"/>
  <c r="J112" i="125"/>
  <c r="I112" i="125"/>
  <c r="L104" i="125"/>
  <c r="J104" i="125"/>
  <c r="I104" i="125"/>
  <c r="L99" i="125"/>
  <c r="J99" i="125"/>
  <c r="I99" i="125"/>
  <c r="L98" i="125"/>
  <c r="J98" i="125"/>
  <c r="I98" i="125"/>
  <c r="H98" i="125"/>
  <c r="H14" i="126" s="1"/>
  <c r="L93" i="125"/>
  <c r="M93" i="125" s="1"/>
  <c r="J93" i="125"/>
  <c r="K93" i="125" s="1"/>
  <c r="I93" i="125"/>
  <c r="N93" i="125" s="1"/>
  <c r="L92" i="125"/>
  <c r="J92" i="125"/>
  <c r="I92" i="125"/>
  <c r="L84" i="125"/>
  <c r="J84" i="125"/>
  <c r="I84" i="125"/>
  <c r="L76" i="125"/>
  <c r="J76" i="125"/>
  <c r="I76" i="125"/>
  <c r="N76" i="125" s="1"/>
  <c r="L71" i="125"/>
  <c r="J71" i="125"/>
  <c r="I71" i="125"/>
  <c r="H71" i="125"/>
  <c r="L70" i="125"/>
  <c r="M70" i="125" s="1"/>
  <c r="J70" i="125"/>
  <c r="I70" i="125"/>
  <c r="L62" i="125"/>
  <c r="J62" i="125"/>
  <c r="I62" i="125"/>
  <c r="L57" i="125"/>
  <c r="J57" i="125"/>
  <c r="I57" i="125"/>
  <c r="L52" i="125"/>
  <c r="J52" i="125"/>
  <c r="I52" i="125"/>
  <c r="L51" i="125"/>
  <c r="J51" i="125"/>
  <c r="I51" i="125"/>
  <c r="L46" i="125"/>
  <c r="J46" i="125"/>
  <c r="I46" i="125"/>
  <c r="L45" i="125"/>
  <c r="J45" i="125"/>
  <c r="I45" i="125"/>
  <c r="L40" i="125"/>
  <c r="J40" i="125"/>
  <c r="K40" i="125" s="1"/>
  <c r="I40" i="125"/>
  <c r="L39" i="125"/>
  <c r="J39" i="125"/>
  <c r="I39" i="125"/>
  <c r="L34" i="125"/>
  <c r="J34" i="125"/>
  <c r="I34" i="125"/>
  <c r="L33" i="125"/>
  <c r="J33" i="125"/>
  <c r="I33" i="125"/>
  <c r="L25" i="125"/>
  <c r="J25" i="125"/>
  <c r="I25" i="125"/>
  <c r="L20" i="125"/>
  <c r="J20" i="125"/>
  <c r="I20" i="125"/>
  <c r="L14" i="125"/>
  <c r="J14" i="125"/>
  <c r="I14" i="125"/>
  <c r="H14" i="125"/>
  <c r="H84" i="125" s="1"/>
  <c r="A11" i="125"/>
  <c r="N7" i="125"/>
  <c r="M7" i="125"/>
  <c r="N6" i="125"/>
  <c r="N5" i="125"/>
  <c r="D5" i="125"/>
  <c r="N4" i="125"/>
  <c r="D4" i="125"/>
  <c r="L23" i="124"/>
  <c r="I23" i="124"/>
  <c r="L22" i="124"/>
  <c r="I22" i="124"/>
  <c r="A11" i="124"/>
  <c r="N7" i="124"/>
  <c r="M7" i="124"/>
  <c r="N6" i="124"/>
  <c r="N5" i="124"/>
  <c r="D5" i="124"/>
  <c r="N4" i="124"/>
  <c r="D4" i="124"/>
  <c r="L112" i="123"/>
  <c r="J112" i="123"/>
  <c r="I112" i="123"/>
  <c r="L104" i="123"/>
  <c r="J104" i="123"/>
  <c r="I104" i="123"/>
  <c r="L99" i="123"/>
  <c r="J99" i="123"/>
  <c r="I99" i="123"/>
  <c r="L98" i="123"/>
  <c r="J98" i="123"/>
  <c r="I98" i="123"/>
  <c r="H98" i="123"/>
  <c r="H14" i="124" s="1"/>
  <c r="L92" i="123"/>
  <c r="J92" i="123"/>
  <c r="I92" i="123"/>
  <c r="L84" i="123"/>
  <c r="J84" i="123"/>
  <c r="I84" i="123"/>
  <c r="L76" i="123"/>
  <c r="M76" i="123" s="1"/>
  <c r="J76" i="123"/>
  <c r="I76" i="123"/>
  <c r="L71" i="123"/>
  <c r="J71" i="123"/>
  <c r="I71" i="123"/>
  <c r="H71" i="123"/>
  <c r="L70" i="123"/>
  <c r="J70" i="123"/>
  <c r="K70" i="123" s="1"/>
  <c r="I70" i="123"/>
  <c r="L62" i="123"/>
  <c r="J62" i="123"/>
  <c r="I62" i="123"/>
  <c r="L57" i="123"/>
  <c r="J57" i="123"/>
  <c r="I57" i="123"/>
  <c r="L52" i="123"/>
  <c r="J52" i="123"/>
  <c r="I52" i="123"/>
  <c r="L51" i="123"/>
  <c r="J51" i="123"/>
  <c r="I51" i="123"/>
  <c r="L46" i="123"/>
  <c r="J46" i="123"/>
  <c r="I46" i="123"/>
  <c r="L45" i="123"/>
  <c r="J45" i="123"/>
  <c r="I45" i="123"/>
  <c r="L40" i="123"/>
  <c r="J40" i="123"/>
  <c r="I40" i="123"/>
  <c r="L39" i="123"/>
  <c r="J39" i="123"/>
  <c r="I39" i="123"/>
  <c r="N39" i="123" s="1"/>
  <c r="L34" i="123"/>
  <c r="J34" i="123"/>
  <c r="I34" i="123"/>
  <c r="L33" i="123"/>
  <c r="J33" i="123"/>
  <c r="I33" i="123"/>
  <c r="L25" i="123"/>
  <c r="J25" i="123"/>
  <c r="I25" i="123"/>
  <c r="L20" i="123"/>
  <c r="J20" i="123"/>
  <c r="I20" i="123"/>
  <c r="L14" i="123"/>
  <c r="J14" i="123"/>
  <c r="I14" i="123"/>
  <c r="H14" i="123"/>
  <c r="H84" i="123" s="1"/>
  <c r="A11" i="123"/>
  <c r="N7" i="123"/>
  <c r="M7" i="123"/>
  <c r="N6" i="123"/>
  <c r="N5" i="123"/>
  <c r="D5" i="123"/>
  <c r="N4" i="123"/>
  <c r="D4" i="123"/>
  <c r="L23" i="122"/>
  <c r="M23" i="122" s="1"/>
  <c r="I23" i="122"/>
  <c r="N23" i="122" s="1"/>
  <c r="L22" i="122"/>
  <c r="I22" i="122"/>
  <c r="A11" i="122"/>
  <c r="N7" i="122"/>
  <c r="M7" i="122"/>
  <c r="N6" i="122"/>
  <c r="N5" i="122"/>
  <c r="D5" i="122"/>
  <c r="N4" i="122"/>
  <c r="D4" i="122"/>
  <c r="L112" i="121"/>
  <c r="J112" i="121"/>
  <c r="I112" i="121"/>
  <c r="L104" i="121"/>
  <c r="J104" i="121"/>
  <c r="I104" i="121"/>
  <c r="L99" i="121"/>
  <c r="J99" i="121"/>
  <c r="I99" i="121"/>
  <c r="L98" i="121"/>
  <c r="J98" i="121"/>
  <c r="I98" i="121"/>
  <c r="H98" i="121"/>
  <c r="H99" i="121" s="1"/>
  <c r="L92" i="121"/>
  <c r="J92" i="121"/>
  <c r="I92" i="121"/>
  <c r="L84" i="121"/>
  <c r="J84" i="121"/>
  <c r="I84" i="121"/>
  <c r="L76" i="121"/>
  <c r="J76" i="121"/>
  <c r="I76" i="121"/>
  <c r="N76" i="121" s="1"/>
  <c r="L71" i="121"/>
  <c r="J71" i="121"/>
  <c r="I71" i="121"/>
  <c r="H71" i="121"/>
  <c r="L70" i="121"/>
  <c r="J70" i="121"/>
  <c r="I70" i="121"/>
  <c r="L62" i="121"/>
  <c r="J62" i="121"/>
  <c r="I62" i="121"/>
  <c r="L57" i="121"/>
  <c r="J57" i="121"/>
  <c r="I57" i="121"/>
  <c r="L52" i="121"/>
  <c r="J52" i="121"/>
  <c r="I52" i="121"/>
  <c r="L51" i="121"/>
  <c r="J51" i="121"/>
  <c r="I51" i="121"/>
  <c r="L46" i="121"/>
  <c r="J46" i="121"/>
  <c r="I46" i="121"/>
  <c r="L45" i="121"/>
  <c r="J45" i="121"/>
  <c r="I45" i="121"/>
  <c r="L40" i="121"/>
  <c r="J40" i="121"/>
  <c r="I40" i="121"/>
  <c r="N40" i="121" s="1"/>
  <c r="L39" i="121"/>
  <c r="J39" i="121"/>
  <c r="I39" i="121"/>
  <c r="L34" i="121"/>
  <c r="J34" i="121"/>
  <c r="I34" i="121"/>
  <c r="L33" i="121"/>
  <c r="J33" i="121"/>
  <c r="I33" i="121"/>
  <c r="L25" i="121"/>
  <c r="J25" i="121"/>
  <c r="I25" i="121"/>
  <c r="L20" i="121"/>
  <c r="J20" i="121"/>
  <c r="I20" i="121"/>
  <c r="L14" i="121"/>
  <c r="J14" i="121"/>
  <c r="I14" i="121"/>
  <c r="H14" i="121"/>
  <c r="H84" i="121" s="1"/>
  <c r="A11" i="121"/>
  <c r="N7" i="121"/>
  <c r="M7" i="121"/>
  <c r="N6" i="121"/>
  <c r="N5" i="121"/>
  <c r="D5" i="121"/>
  <c r="N4" i="121"/>
  <c r="D4" i="121"/>
  <c r="M23" i="124" l="1"/>
  <c r="N71" i="123"/>
  <c r="M71" i="123"/>
  <c r="N23" i="126"/>
  <c r="N71" i="125"/>
  <c r="N98" i="123"/>
  <c r="K71" i="123"/>
  <c r="K98" i="123"/>
  <c r="M14" i="123"/>
  <c r="H20" i="123"/>
  <c r="H25" i="123" s="1"/>
  <c r="K25" i="123" s="1"/>
  <c r="K71" i="121"/>
  <c r="H20" i="121"/>
  <c r="H25" i="121" s="1"/>
  <c r="N25" i="121" s="1"/>
  <c r="N27" i="121" s="1"/>
  <c r="O25" i="121" s="1"/>
  <c r="H92" i="125"/>
  <c r="K98" i="125"/>
  <c r="N98" i="125"/>
  <c r="N70" i="125"/>
  <c r="H99" i="125"/>
  <c r="N99" i="125" s="1"/>
  <c r="N40" i="125"/>
  <c r="H20" i="125"/>
  <c r="H25" i="125" s="1"/>
  <c r="K25" i="125" s="1"/>
  <c r="K71" i="125"/>
  <c r="K39" i="125"/>
  <c r="M71" i="125"/>
  <c r="H99" i="123"/>
  <c r="K99" i="123" s="1"/>
  <c r="N70" i="123"/>
  <c r="N40" i="123"/>
  <c r="N42" i="123" s="1"/>
  <c r="O40" i="123" s="1"/>
  <c r="K40" i="123"/>
  <c r="M70" i="123"/>
  <c r="H92" i="123"/>
  <c r="H22" i="124" s="1"/>
  <c r="N22" i="124" s="1"/>
  <c r="H62" i="123"/>
  <c r="N62" i="123" s="1"/>
  <c r="K14" i="121"/>
  <c r="K40" i="121"/>
  <c r="M14" i="121"/>
  <c r="N34" i="121"/>
  <c r="H92" i="121"/>
  <c r="H22" i="122" s="1"/>
  <c r="M22" i="122" s="1"/>
  <c r="K45" i="121"/>
  <c r="M71" i="121"/>
  <c r="N39" i="121"/>
  <c r="N42" i="121" s="1"/>
  <c r="O39" i="121" s="1"/>
  <c r="N76" i="123"/>
  <c r="N78" i="123" s="1"/>
  <c r="O76" i="123" s="1"/>
  <c r="N23" i="124"/>
  <c r="N14" i="121"/>
  <c r="N17" i="121" s="1"/>
  <c r="H112" i="121"/>
  <c r="N112" i="121" s="1"/>
  <c r="N114" i="121" s="1"/>
  <c r="O112" i="121" s="1"/>
  <c r="M76" i="121"/>
  <c r="K34" i="121"/>
  <c r="N45" i="121"/>
  <c r="N98" i="121"/>
  <c r="K76" i="121"/>
  <c r="H62" i="121"/>
  <c r="N62" i="121" s="1"/>
  <c r="N64" i="121" s="1"/>
  <c r="K39" i="121"/>
  <c r="K46" i="121"/>
  <c r="N57" i="121"/>
  <c r="N59" i="121" s="1"/>
  <c r="N71" i="121"/>
  <c r="H104" i="121"/>
  <c r="K104" i="121" s="1"/>
  <c r="N70" i="121"/>
  <c r="N33" i="121"/>
  <c r="N84" i="121"/>
  <c r="K84" i="121"/>
  <c r="N14" i="124"/>
  <c r="M14" i="124"/>
  <c r="N84" i="125"/>
  <c r="K84" i="125"/>
  <c r="N14" i="126"/>
  <c r="M14" i="126"/>
  <c r="N99" i="121"/>
  <c r="M99" i="121"/>
  <c r="K99" i="121"/>
  <c r="N46" i="123"/>
  <c r="K46" i="123"/>
  <c r="N78" i="125"/>
  <c r="O76" i="125" s="1"/>
  <c r="K70" i="121"/>
  <c r="M23" i="126"/>
  <c r="K33" i="121"/>
  <c r="K39" i="123"/>
  <c r="K14" i="125"/>
  <c r="K76" i="125"/>
  <c r="M70" i="121"/>
  <c r="K98" i="121"/>
  <c r="M98" i="123"/>
  <c r="K14" i="123"/>
  <c r="K76" i="123"/>
  <c r="H104" i="123"/>
  <c r="H112" i="123"/>
  <c r="M14" i="125"/>
  <c r="M76" i="125"/>
  <c r="N78" i="121"/>
  <c r="M98" i="121"/>
  <c r="H14" i="122"/>
  <c r="N14" i="125"/>
  <c r="N14" i="123"/>
  <c r="K70" i="125"/>
  <c r="M98" i="125"/>
  <c r="H104" i="125"/>
  <c r="H112" i="125"/>
  <c r="L72" i="64"/>
  <c r="I72" i="64" s="1"/>
  <c r="I71" i="64"/>
  <c r="I57" i="64"/>
  <c r="I58" i="64"/>
  <c r="I56" i="64"/>
  <c r="L32" i="64"/>
  <c r="L23" i="64"/>
  <c r="L15" i="64"/>
  <c r="L31" i="64"/>
  <c r="L33" i="64"/>
  <c r="L38" i="64"/>
  <c r="L39" i="64"/>
  <c r="L40" i="64"/>
  <c r="L48" i="64"/>
  <c r="L196" i="63"/>
  <c r="L185" i="63"/>
  <c r="L186" i="63"/>
  <c r="L187" i="63"/>
  <c r="L188" i="63"/>
  <c r="L189" i="63"/>
  <c r="L15" i="63"/>
  <c r="L16" i="63"/>
  <c r="L17" i="63"/>
  <c r="L18" i="63"/>
  <c r="L19" i="63"/>
  <c r="L20" i="63"/>
  <c r="L21" i="63"/>
  <c r="L22" i="63"/>
  <c r="L23" i="63"/>
  <c r="L24" i="63"/>
  <c r="L25" i="63"/>
  <c r="L26" i="63"/>
  <c r="L27" i="63"/>
  <c r="L28" i="63"/>
  <c r="L29" i="63"/>
  <c r="L30" i="63"/>
  <c r="L31" i="63"/>
  <c r="L32" i="63"/>
  <c r="L33" i="63"/>
  <c r="L34" i="63"/>
  <c r="L35" i="63"/>
  <c r="L36" i="63"/>
  <c r="L37" i="63"/>
  <c r="L38" i="63"/>
  <c r="L39" i="63"/>
  <c r="L40" i="63"/>
  <c r="L41" i="63"/>
  <c r="L42" i="63"/>
  <c r="L43" i="63"/>
  <c r="L44" i="63"/>
  <c r="L45" i="63"/>
  <c r="L46" i="63"/>
  <c r="L47" i="63"/>
  <c r="L48" i="63"/>
  <c r="L49" i="63"/>
  <c r="L50" i="63"/>
  <c r="L51" i="63"/>
  <c r="L52" i="63"/>
  <c r="L53" i="63"/>
  <c r="L54" i="63"/>
  <c r="L55" i="63"/>
  <c r="L56" i="63"/>
  <c r="L57" i="63"/>
  <c r="L58" i="63"/>
  <c r="L59" i="63"/>
  <c r="L60" i="63"/>
  <c r="L61" i="63"/>
  <c r="L62" i="63"/>
  <c r="L63" i="63"/>
  <c r="L64" i="63"/>
  <c r="L65" i="63"/>
  <c r="L66" i="63"/>
  <c r="L67" i="63"/>
  <c r="L68" i="63"/>
  <c r="L69" i="63"/>
  <c r="L70" i="63"/>
  <c r="L71" i="63"/>
  <c r="L72" i="63"/>
  <c r="L73" i="63"/>
  <c r="L74" i="63"/>
  <c r="L75" i="63"/>
  <c r="L76" i="63"/>
  <c r="L77" i="63"/>
  <c r="L78" i="63"/>
  <c r="L79" i="63"/>
  <c r="L80" i="63"/>
  <c r="L81" i="63"/>
  <c r="L82" i="63"/>
  <c r="L83" i="63"/>
  <c r="L84" i="63"/>
  <c r="L85" i="63"/>
  <c r="L86" i="63"/>
  <c r="L87" i="63"/>
  <c r="L88" i="63"/>
  <c r="L89" i="63"/>
  <c r="L90" i="63"/>
  <c r="L91" i="63"/>
  <c r="L92" i="63"/>
  <c r="L93" i="63"/>
  <c r="L94" i="63"/>
  <c r="L95" i="63"/>
  <c r="L96" i="63"/>
  <c r="L97" i="63"/>
  <c r="L98" i="63"/>
  <c r="L99" i="63"/>
  <c r="L100" i="63"/>
  <c r="L101" i="63"/>
  <c r="L102" i="63"/>
  <c r="L103" i="63"/>
  <c r="L104" i="63"/>
  <c r="L105" i="63"/>
  <c r="L106" i="63"/>
  <c r="L107" i="63"/>
  <c r="L108" i="63"/>
  <c r="L109" i="63"/>
  <c r="L110" i="63"/>
  <c r="L111" i="63"/>
  <c r="L112" i="63"/>
  <c r="L113" i="63"/>
  <c r="L114" i="63"/>
  <c r="L115" i="63"/>
  <c r="L116" i="63"/>
  <c r="L117" i="63"/>
  <c r="L118" i="63"/>
  <c r="L119" i="63"/>
  <c r="L120" i="63"/>
  <c r="L121" i="63"/>
  <c r="L122" i="63"/>
  <c r="L123" i="63"/>
  <c r="L124" i="63"/>
  <c r="L125" i="63"/>
  <c r="L126" i="63"/>
  <c r="L127" i="63"/>
  <c r="L128" i="63"/>
  <c r="L129" i="63"/>
  <c r="L130" i="63"/>
  <c r="L131" i="63"/>
  <c r="L132" i="63"/>
  <c r="L133" i="63"/>
  <c r="L134" i="63"/>
  <c r="L135" i="63"/>
  <c r="L136" i="63"/>
  <c r="L137" i="63"/>
  <c r="L138" i="63"/>
  <c r="L139" i="63"/>
  <c r="L140" i="63"/>
  <c r="L141" i="63"/>
  <c r="L142" i="63"/>
  <c r="L143" i="63"/>
  <c r="L144" i="63"/>
  <c r="L145" i="63"/>
  <c r="L146" i="63"/>
  <c r="L147" i="63"/>
  <c r="L148" i="63"/>
  <c r="L149" i="63"/>
  <c r="L150" i="63"/>
  <c r="L151" i="63"/>
  <c r="L152" i="63"/>
  <c r="L153" i="63"/>
  <c r="L154" i="63"/>
  <c r="L155" i="63"/>
  <c r="L156" i="63"/>
  <c r="L157" i="63"/>
  <c r="L158" i="63"/>
  <c r="L159" i="63"/>
  <c r="L160" i="63"/>
  <c r="L161" i="63"/>
  <c r="L162" i="63"/>
  <c r="L163" i="63"/>
  <c r="L164" i="63"/>
  <c r="L165" i="63"/>
  <c r="L166" i="63"/>
  <c r="L167" i="63"/>
  <c r="L168" i="63"/>
  <c r="L169" i="63"/>
  <c r="L170" i="63"/>
  <c r="L171" i="63"/>
  <c r="L172" i="63"/>
  <c r="L173" i="63"/>
  <c r="L174" i="63"/>
  <c r="L175" i="63"/>
  <c r="J196" i="63"/>
  <c r="J185" i="63"/>
  <c r="J186" i="63"/>
  <c r="J187" i="63"/>
  <c r="J188" i="63"/>
  <c r="J189" i="63"/>
  <c r="J15" i="63"/>
  <c r="J16" i="63"/>
  <c r="J17" i="63"/>
  <c r="J18" i="63"/>
  <c r="J19" i="63"/>
  <c r="J20" i="63"/>
  <c r="J21" i="63"/>
  <c r="J22" i="63"/>
  <c r="J23" i="63"/>
  <c r="J24" i="63"/>
  <c r="J25" i="63"/>
  <c r="J26" i="63"/>
  <c r="J27" i="63"/>
  <c r="J28" i="63"/>
  <c r="J29" i="63"/>
  <c r="J30" i="63"/>
  <c r="J31" i="63"/>
  <c r="J32" i="63"/>
  <c r="J33" i="63"/>
  <c r="J34" i="63"/>
  <c r="J35" i="63"/>
  <c r="J36" i="63"/>
  <c r="J37" i="63"/>
  <c r="J38" i="63"/>
  <c r="J39" i="63"/>
  <c r="J40" i="63"/>
  <c r="J41" i="63"/>
  <c r="J42" i="63"/>
  <c r="J43" i="63"/>
  <c r="J44" i="63"/>
  <c r="J45" i="63"/>
  <c r="J46" i="63"/>
  <c r="J47" i="63"/>
  <c r="J48" i="63"/>
  <c r="J49" i="63"/>
  <c r="J50" i="63"/>
  <c r="J51" i="63"/>
  <c r="J52" i="63"/>
  <c r="J53" i="63"/>
  <c r="J54" i="63"/>
  <c r="J55" i="63"/>
  <c r="J56" i="63"/>
  <c r="J57" i="63"/>
  <c r="J58" i="63"/>
  <c r="J59" i="63"/>
  <c r="J60" i="63"/>
  <c r="J61" i="63"/>
  <c r="J62" i="63"/>
  <c r="J63" i="63"/>
  <c r="J64" i="63"/>
  <c r="J65" i="63"/>
  <c r="J66" i="63"/>
  <c r="J67" i="63"/>
  <c r="J68" i="63"/>
  <c r="J69" i="63"/>
  <c r="J70" i="63"/>
  <c r="J71" i="63"/>
  <c r="J72" i="63"/>
  <c r="J73" i="63"/>
  <c r="J74" i="63"/>
  <c r="J75" i="63"/>
  <c r="J76" i="63"/>
  <c r="J77" i="63"/>
  <c r="J78" i="63"/>
  <c r="J79" i="63"/>
  <c r="J80" i="63"/>
  <c r="J81" i="63"/>
  <c r="J82" i="63"/>
  <c r="J83" i="63"/>
  <c r="J84" i="63"/>
  <c r="J85" i="63"/>
  <c r="J86" i="63"/>
  <c r="J87" i="63"/>
  <c r="J88" i="63"/>
  <c r="J89" i="63"/>
  <c r="J90" i="63"/>
  <c r="J91" i="63"/>
  <c r="J92" i="63"/>
  <c r="J93" i="63"/>
  <c r="J94" i="63"/>
  <c r="J95" i="63"/>
  <c r="J96" i="63"/>
  <c r="J97" i="63"/>
  <c r="J98" i="63"/>
  <c r="J99" i="63"/>
  <c r="J100" i="63"/>
  <c r="J101" i="63"/>
  <c r="J102" i="63"/>
  <c r="J103" i="63"/>
  <c r="J104" i="63"/>
  <c r="J105" i="63"/>
  <c r="J106" i="63"/>
  <c r="J107" i="63"/>
  <c r="J108" i="63"/>
  <c r="J109" i="63"/>
  <c r="J110" i="63"/>
  <c r="J111" i="63"/>
  <c r="J112" i="63"/>
  <c r="J113" i="63"/>
  <c r="J114" i="63"/>
  <c r="J115" i="63"/>
  <c r="J116" i="63"/>
  <c r="J117" i="63"/>
  <c r="J118" i="63"/>
  <c r="J119" i="63"/>
  <c r="J120" i="63"/>
  <c r="J121" i="63"/>
  <c r="J122" i="63"/>
  <c r="J123" i="63"/>
  <c r="J124" i="63"/>
  <c r="J125" i="63"/>
  <c r="J126" i="63"/>
  <c r="J127" i="63"/>
  <c r="J128" i="63"/>
  <c r="J129" i="63"/>
  <c r="J130" i="63"/>
  <c r="J131" i="63"/>
  <c r="J132" i="63"/>
  <c r="J133" i="63"/>
  <c r="J134" i="63"/>
  <c r="J135" i="63"/>
  <c r="J136" i="63"/>
  <c r="J137" i="63"/>
  <c r="J138" i="63"/>
  <c r="J139" i="63"/>
  <c r="J140" i="63"/>
  <c r="J141" i="63"/>
  <c r="J142" i="63"/>
  <c r="J143" i="63"/>
  <c r="J144" i="63"/>
  <c r="J145" i="63"/>
  <c r="J146" i="63"/>
  <c r="J147" i="63"/>
  <c r="J148" i="63"/>
  <c r="J149" i="63"/>
  <c r="J150" i="63"/>
  <c r="J151" i="63"/>
  <c r="J152" i="63"/>
  <c r="J153" i="63"/>
  <c r="J154" i="63"/>
  <c r="J155" i="63"/>
  <c r="J156" i="63"/>
  <c r="J157" i="63"/>
  <c r="J158" i="63"/>
  <c r="J159" i="63"/>
  <c r="J160" i="63"/>
  <c r="J161" i="63"/>
  <c r="J162" i="63"/>
  <c r="J163" i="63"/>
  <c r="J164" i="63"/>
  <c r="J165" i="63"/>
  <c r="J166" i="63"/>
  <c r="J167" i="63"/>
  <c r="J168" i="63"/>
  <c r="J169" i="63"/>
  <c r="J170" i="63"/>
  <c r="J171" i="63"/>
  <c r="J172" i="63"/>
  <c r="J173" i="63"/>
  <c r="J174" i="63"/>
  <c r="J175" i="63"/>
  <c r="I23" i="62"/>
  <c r="I24" i="62"/>
  <c r="I22" i="62"/>
  <c r="J91" i="61"/>
  <c r="J99" i="61"/>
  <c r="J100" i="61"/>
  <c r="J101" i="61"/>
  <c r="J106" i="61"/>
  <c r="J115" i="61"/>
  <c r="J116" i="61"/>
  <c r="J81" i="61"/>
  <c r="J70" i="61"/>
  <c r="J75" i="61"/>
  <c r="J19" i="61"/>
  <c r="J27" i="61"/>
  <c r="J28" i="61"/>
  <c r="J33" i="61"/>
  <c r="J38" i="61"/>
  <c r="J43" i="61"/>
  <c r="J48" i="61"/>
  <c r="J65" i="61"/>
  <c r="J80" i="61"/>
  <c r="J86" i="61"/>
  <c r="J121" i="61"/>
  <c r="J126" i="61"/>
  <c r="J134" i="61"/>
  <c r="J135" i="61"/>
  <c r="J136" i="61"/>
  <c r="J143" i="61"/>
  <c r="J148" i="61"/>
  <c r="J153" i="61"/>
  <c r="J154" i="61"/>
  <c r="J155" i="61"/>
  <c r="J160" i="61"/>
  <c r="J19" i="59"/>
  <c r="J27" i="59"/>
  <c r="J32" i="59"/>
  <c r="J37" i="59"/>
  <c r="J42" i="59"/>
  <c r="J43" i="59"/>
  <c r="J48" i="59"/>
  <c r="J53" i="59"/>
  <c r="J58" i="59"/>
  <c r="J66" i="59"/>
  <c r="J74" i="59"/>
  <c r="J79" i="59"/>
  <c r="J84" i="59"/>
  <c r="J89" i="59"/>
  <c r="J94" i="59"/>
  <c r="J95" i="59"/>
  <c r="J100" i="59"/>
  <c r="J108" i="59"/>
  <c r="J117" i="59"/>
  <c r="J19" i="57"/>
  <c r="J27" i="57"/>
  <c r="J28" i="57"/>
  <c r="J33" i="57"/>
  <c r="J38" i="57"/>
  <c r="J43" i="57"/>
  <c r="J48" i="57"/>
  <c r="J53" i="57"/>
  <c r="J61" i="57"/>
  <c r="J69" i="57"/>
  <c r="J74" i="57"/>
  <c r="J79" i="57"/>
  <c r="J84" i="57"/>
  <c r="J89" i="57"/>
  <c r="J90" i="57"/>
  <c r="J95" i="57"/>
  <c r="J103" i="57"/>
  <c r="J126" i="57"/>
  <c r="L15" i="56"/>
  <c r="L53" i="56"/>
  <c r="M53" i="56" s="1"/>
  <c r="I55" i="56"/>
  <c r="I45" i="56"/>
  <c r="I15" i="56"/>
  <c r="I114" i="55"/>
  <c r="I37" i="55"/>
  <c r="I42" i="55"/>
  <c r="I47" i="55"/>
  <c r="I52" i="55"/>
  <c r="I27" i="55"/>
  <c r="I19" i="55"/>
  <c r="I14" i="55"/>
  <c r="L14" i="54"/>
  <c r="I23" i="54"/>
  <c r="I24" i="54"/>
  <c r="I14" i="54"/>
  <c r="I22" i="54"/>
  <c r="L74" i="53"/>
  <c r="L75" i="53"/>
  <c r="L76" i="53"/>
  <c r="L77" i="53"/>
  <c r="L78" i="53"/>
  <c r="L79" i="53"/>
  <c r="L80" i="53"/>
  <c r="L81" i="53"/>
  <c r="L82" i="53"/>
  <c r="L83" i="53"/>
  <c r="L84" i="53"/>
  <c r="L85" i="53"/>
  <c r="L86" i="53"/>
  <c r="L87" i="53"/>
  <c r="L88" i="53"/>
  <c r="L89" i="53"/>
  <c r="L90" i="53"/>
  <c r="L91" i="53"/>
  <c r="L92" i="53"/>
  <c r="L93" i="53"/>
  <c r="L94" i="53"/>
  <c r="L95" i="53"/>
  <c r="L96" i="53"/>
  <c r="L97" i="53"/>
  <c r="L98" i="53"/>
  <c r="L99" i="53"/>
  <c r="L100" i="53"/>
  <c r="L101" i="53"/>
  <c r="L102" i="53"/>
  <c r="L103" i="53"/>
  <c r="L104" i="53"/>
  <c r="L105" i="53"/>
  <c r="L106" i="53"/>
  <c r="L107" i="53"/>
  <c r="L108" i="53"/>
  <c r="L109" i="53"/>
  <c r="L110" i="53"/>
  <c r="L111" i="53"/>
  <c r="L112" i="53"/>
  <c r="L113" i="53"/>
  <c r="L114" i="53"/>
  <c r="L115" i="53"/>
  <c r="L116" i="53"/>
  <c r="L117" i="53"/>
  <c r="L118" i="53"/>
  <c r="L119" i="53"/>
  <c r="L120" i="53"/>
  <c r="L121" i="53"/>
  <c r="L122" i="53"/>
  <c r="L123" i="53"/>
  <c r="L124" i="53"/>
  <c r="L125" i="53"/>
  <c r="L126" i="53"/>
  <c r="L127" i="53"/>
  <c r="L128" i="53"/>
  <c r="L129" i="53"/>
  <c r="L130" i="53"/>
  <c r="L131" i="53"/>
  <c r="L132" i="53"/>
  <c r="L133" i="53"/>
  <c r="L134" i="53"/>
  <c r="L135" i="53"/>
  <c r="L136" i="53"/>
  <c r="L137" i="53"/>
  <c r="L138" i="53"/>
  <c r="L139" i="53"/>
  <c r="L140" i="53"/>
  <c r="L141" i="53"/>
  <c r="L142" i="53"/>
  <c r="L143" i="53"/>
  <c r="L144" i="53"/>
  <c r="L145" i="53"/>
  <c r="L146" i="53"/>
  <c r="L147" i="53"/>
  <c r="L148" i="53"/>
  <c r="L149" i="53"/>
  <c r="L150" i="53"/>
  <c r="L151" i="53"/>
  <c r="L152" i="53"/>
  <c r="L153" i="53"/>
  <c r="L154" i="53"/>
  <c r="L155" i="53"/>
  <c r="L156" i="53"/>
  <c r="L157" i="53"/>
  <c r="L158" i="53"/>
  <c r="L159" i="53"/>
  <c r="L160" i="53"/>
  <c r="L161" i="53"/>
  <c r="L162" i="53"/>
  <c r="L15" i="53"/>
  <c r="L16" i="53"/>
  <c r="L17" i="53"/>
  <c r="L18" i="53"/>
  <c r="L19" i="53"/>
  <c r="L20" i="53"/>
  <c r="L21" i="53"/>
  <c r="L22" i="53"/>
  <c r="L23" i="53"/>
  <c r="L24" i="53"/>
  <c r="L25" i="53"/>
  <c r="L26" i="53"/>
  <c r="L27" i="53"/>
  <c r="L28" i="53"/>
  <c r="L29" i="53"/>
  <c r="L30" i="53"/>
  <c r="L31" i="53"/>
  <c r="L32" i="53"/>
  <c r="L33" i="53"/>
  <c r="L34" i="53"/>
  <c r="L35" i="53"/>
  <c r="L36" i="53"/>
  <c r="L37" i="53"/>
  <c r="L38" i="53"/>
  <c r="L39" i="53"/>
  <c r="L40" i="53"/>
  <c r="L41" i="53"/>
  <c r="L42" i="53"/>
  <c r="L43" i="53"/>
  <c r="L44" i="53"/>
  <c r="L45" i="53"/>
  <c r="L46" i="53"/>
  <c r="L47" i="53"/>
  <c r="L48" i="53"/>
  <c r="L49" i="53"/>
  <c r="L50" i="53"/>
  <c r="L51" i="53"/>
  <c r="L52" i="53"/>
  <c r="L53" i="53"/>
  <c r="L54" i="53"/>
  <c r="L55" i="53"/>
  <c r="L56" i="53"/>
  <c r="L57" i="53"/>
  <c r="L58" i="53"/>
  <c r="L59" i="53"/>
  <c r="L60" i="53"/>
  <c r="J74" i="53"/>
  <c r="J75" i="53"/>
  <c r="J76" i="53"/>
  <c r="J77" i="53"/>
  <c r="J78" i="53"/>
  <c r="J79" i="53"/>
  <c r="J80" i="53"/>
  <c r="J81" i="53"/>
  <c r="J82" i="53"/>
  <c r="J83" i="53"/>
  <c r="J84" i="53"/>
  <c r="J85" i="53"/>
  <c r="J86" i="53"/>
  <c r="J87" i="53"/>
  <c r="J88" i="53"/>
  <c r="J89" i="53"/>
  <c r="J90" i="53"/>
  <c r="J91" i="53"/>
  <c r="J92" i="53"/>
  <c r="J93" i="53"/>
  <c r="J94" i="53"/>
  <c r="J95" i="53"/>
  <c r="J96" i="53"/>
  <c r="J97" i="53"/>
  <c r="J98" i="53"/>
  <c r="J99" i="53"/>
  <c r="J100" i="53"/>
  <c r="J101" i="53"/>
  <c r="J102" i="53"/>
  <c r="J103" i="53"/>
  <c r="J104" i="53"/>
  <c r="J105" i="53"/>
  <c r="J106" i="53"/>
  <c r="J107" i="53"/>
  <c r="J108" i="53"/>
  <c r="J109" i="53"/>
  <c r="J110" i="53"/>
  <c r="J111" i="53"/>
  <c r="J112" i="53"/>
  <c r="J113" i="53"/>
  <c r="J114" i="53"/>
  <c r="J115" i="53"/>
  <c r="J116" i="53"/>
  <c r="J117" i="53"/>
  <c r="J118" i="53"/>
  <c r="J119" i="53"/>
  <c r="J120" i="53"/>
  <c r="J121" i="53"/>
  <c r="J122" i="53"/>
  <c r="J123" i="53"/>
  <c r="J124" i="53"/>
  <c r="J125" i="53"/>
  <c r="J126" i="53"/>
  <c r="J127" i="53"/>
  <c r="J128" i="53"/>
  <c r="J129" i="53"/>
  <c r="J130" i="53"/>
  <c r="J131" i="53"/>
  <c r="J132" i="53"/>
  <c r="J133" i="53"/>
  <c r="J134" i="53"/>
  <c r="J135" i="53"/>
  <c r="J136" i="53"/>
  <c r="J137" i="53"/>
  <c r="J138" i="53"/>
  <c r="J139" i="53"/>
  <c r="J140" i="53"/>
  <c r="J141" i="53"/>
  <c r="J142" i="53"/>
  <c r="J143" i="53"/>
  <c r="J144" i="53"/>
  <c r="J145" i="53"/>
  <c r="J146" i="53"/>
  <c r="J147" i="53"/>
  <c r="J148" i="53"/>
  <c r="J149" i="53"/>
  <c r="J150" i="53"/>
  <c r="J151" i="53"/>
  <c r="J152" i="53"/>
  <c r="J153" i="53"/>
  <c r="J154" i="53"/>
  <c r="J155" i="53"/>
  <c r="J156" i="53"/>
  <c r="J157" i="53"/>
  <c r="J158" i="53"/>
  <c r="J159" i="53"/>
  <c r="J160" i="53"/>
  <c r="J161" i="53"/>
  <c r="J162" i="53"/>
  <c r="J15" i="53"/>
  <c r="J16" i="53"/>
  <c r="J17" i="53"/>
  <c r="J18" i="53"/>
  <c r="J19" i="53"/>
  <c r="J20" i="53"/>
  <c r="J21" i="53"/>
  <c r="J22" i="53"/>
  <c r="J23" i="53"/>
  <c r="J24" i="53"/>
  <c r="J25" i="53"/>
  <c r="J26" i="53"/>
  <c r="J27" i="53"/>
  <c r="J28" i="53"/>
  <c r="J29" i="53"/>
  <c r="J30" i="53"/>
  <c r="J31" i="53"/>
  <c r="J32" i="53"/>
  <c r="J33" i="53"/>
  <c r="J34" i="53"/>
  <c r="J35" i="53"/>
  <c r="J36" i="53"/>
  <c r="J37" i="53"/>
  <c r="J38" i="53"/>
  <c r="J39" i="53"/>
  <c r="J40" i="53"/>
  <c r="J41" i="53"/>
  <c r="J42" i="53"/>
  <c r="J43" i="53"/>
  <c r="J44" i="53"/>
  <c r="J45" i="53"/>
  <c r="J46" i="53"/>
  <c r="J47" i="53"/>
  <c r="J48" i="53"/>
  <c r="J49" i="53"/>
  <c r="J50" i="53"/>
  <c r="J51" i="53"/>
  <c r="J52" i="53"/>
  <c r="J53" i="53"/>
  <c r="J54" i="53"/>
  <c r="J55" i="53"/>
  <c r="J56" i="53"/>
  <c r="J57" i="53"/>
  <c r="J58" i="53"/>
  <c r="J59" i="53"/>
  <c r="J60" i="53"/>
  <c r="I73" i="53"/>
  <c r="I78" i="53"/>
  <c r="I83" i="53"/>
  <c r="I84" i="53"/>
  <c r="I89" i="53"/>
  <c r="I94" i="53"/>
  <c r="I99" i="53"/>
  <c r="I104" i="53"/>
  <c r="I105" i="53"/>
  <c r="I113" i="53"/>
  <c r="I121" i="53"/>
  <c r="I126" i="53"/>
  <c r="I131" i="53"/>
  <c r="I141" i="53"/>
  <c r="I149" i="53"/>
  <c r="I157" i="53"/>
  <c r="I162" i="53"/>
  <c r="I27" i="53"/>
  <c r="I32" i="53"/>
  <c r="I37" i="53"/>
  <c r="I42" i="53"/>
  <c r="I47" i="53"/>
  <c r="I52" i="53"/>
  <c r="I60" i="53"/>
  <c r="I14" i="53"/>
  <c r="L15" i="52"/>
  <c r="L16" i="52"/>
  <c r="L17" i="52"/>
  <c r="L18" i="52"/>
  <c r="L19" i="52"/>
  <c r="I56" i="51"/>
  <c r="I14" i="51"/>
  <c r="I19" i="51"/>
  <c r="I24" i="51"/>
  <c r="I29" i="51"/>
  <c r="I34" i="51"/>
  <c r="I39" i="51"/>
  <c r="I47" i="51"/>
  <c r="I48" i="51"/>
  <c r="I87" i="51"/>
  <c r="I70" i="51"/>
  <c r="I71" i="51"/>
  <c r="I72" i="51"/>
  <c r="I73" i="51"/>
  <c r="I74" i="51"/>
  <c r="I61" i="51"/>
  <c r="I69" i="51"/>
  <c r="I75" i="51"/>
  <c r="I76" i="51"/>
  <c r="I77" i="51"/>
  <c r="I78" i="51"/>
  <c r="I79" i="51"/>
  <c r="I49" i="50"/>
  <c r="I44" i="50"/>
  <c r="I32" i="50"/>
  <c r="L20" i="50"/>
  <c r="I20" i="50"/>
  <c r="L20" i="49"/>
  <c r="L28" i="49"/>
  <c r="L29" i="49"/>
  <c r="L34" i="49"/>
  <c r="L39" i="49"/>
  <c r="L40" i="49"/>
  <c r="L45" i="49"/>
  <c r="L46" i="49"/>
  <c r="L51" i="49"/>
  <c r="L56" i="49"/>
  <c r="L64" i="49"/>
  <c r="L65" i="49"/>
  <c r="L73" i="49"/>
  <c r="L81" i="49"/>
  <c r="L82" i="49"/>
  <c r="L83" i="49"/>
  <c r="L84" i="49"/>
  <c r="L85" i="49"/>
  <c r="L86" i="49"/>
  <c r="L91" i="49"/>
  <c r="L92" i="49"/>
  <c r="L93" i="49"/>
  <c r="L94" i="49"/>
  <c r="L95" i="49"/>
  <c r="L100" i="49"/>
  <c r="L108" i="49"/>
  <c r="L113" i="49"/>
  <c r="L129" i="49"/>
  <c r="L130" i="49"/>
  <c r="J20" i="49"/>
  <c r="J28" i="49"/>
  <c r="J29" i="49"/>
  <c r="J34" i="49"/>
  <c r="J39" i="49"/>
  <c r="J40" i="49"/>
  <c r="J45" i="49"/>
  <c r="J46" i="49"/>
  <c r="J51" i="49"/>
  <c r="J56" i="49"/>
  <c r="J64" i="49"/>
  <c r="J65" i="49"/>
  <c r="J73" i="49"/>
  <c r="J81" i="49"/>
  <c r="J82" i="49"/>
  <c r="J83" i="49"/>
  <c r="J84" i="49"/>
  <c r="J85" i="49"/>
  <c r="J86" i="49"/>
  <c r="J91" i="49"/>
  <c r="J92" i="49"/>
  <c r="J93" i="49"/>
  <c r="J94" i="49"/>
  <c r="J95" i="49"/>
  <c r="J100" i="49"/>
  <c r="J108" i="49"/>
  <c r="J113" i="49"/>
  <c r="J129" i="49"/>
  <c r="J130" i="49"/>
  <c r="I20" i="49"/>
  <c r="I28" i="49"/>
  <c r="I29" i="49"/>
  <c r="I34" i="49"/>
  <c r="I39" i="49"/>
  <c r="I40" i="49"/>
  <c r="I45" i="49"/>
  <c r="I46" i="49"/>
  <c r="I51" i="49"/>
  <c r="I56" i="49"/>
  <c r="I64" i="49"/>
  <c r="I65" i="49"/>
  <c r="I73" i="49"/>
  <c r="I81" i="49"/>
  <c r="I82" i="49"/>
  <c r="I83" i="49"/>
  <c r="I84" i="49"/>
  <c r="I85" i="49"/>
  <c r="I86" i="49"/>
  <c r="I91" i="49"/>
  <c r="I92" i="49"/>
  <c r="I93" i="49"/>
  <c r="I94" i="49"/>
  <c r="I95" i="49"/>
  <c r="I100" i="49"/>
  <c r="I108" i="49"/>
  <c r="I113" i="49"/>
  <c r="I129" i="49"/>
  <c r="I130" i="49"/>
  <c r="L19" i="65"/>
  <c r="L27" i="65"/>
  <c r="L40" i="65"/>
  <c r="L45" i="65"/>
  <c r="L50" i="65"/>
  <c r="L51" i="65"/>
  <c r="L56" i="65"/>
  <c r="L61" i="65"/>
  <c r="L66" i="65"/>
  <c r="L82" i="65"/>
  <c r="L83" i="65"/>
  <c r="L84" i="65"/>
  <c r="L85" i="65"/>
  <c r="L93" i="65"/>
  <c r="L94" i="65"/>
  <c r="L99" i="65"/>
  <c r="L100" i="65"/>
  <c r="L108" i="65"/>
  <c r="J19" i="65"/>
  <c r="J27" i="65"/>
  <c r="J40" i="65"/>
  <c r="J45" i="65"/>
  <c r="J50" i="65"/>
  <c r="J51" i="65"/>
  <c r="J56" i="65"/>
  <c r="J61" i="65"/>
  <c r="J66" i="65"/>
  <c r="J82" i="65"/>
  <c r="J83" i="65"/>
  <c r="J84" i="65"/>
  <c r="J85" i="65"/>
  <c r="J93" i="65"/>
  <c r="J94" i="65"/>
  <c r="J99" i="65"/>
  <c r="J100" i="65"/>
  <c r="J108" i="65"/>
  <c r="I19" i="65"/>
  <c r="I27" i="65"/>
  <c r="I40" i="65"/>
  <c r="I45" i="65"/>
  <c r="I50" i="65"/>
  <c r="I51" i="65"/>
  <c r="I56" i="65"/>
  <c r="I61" i="65"/>
  <c r="I66" i="65"/>
  <c r="I82" i="65"/>
  <c r="I83" i="65"/>
  <c r="I84" i="65"/>
  <c r="I85" i="65"/>
  <c r="I93" i="65"/>
  <c r="I94" i="65"/>
  <c r="I99" i="65"/>
  <c r="I100" i="65"/>
  <c r="I108" i="65"/>
  <c r="L53" i="76"/>
  <c r="L19" i="76"/>
  <c r="L24" i="76"/>
  <c r="L32" i="76"/>
  <c r="L40" i="76"/>
  <c r="L45" i="76"/>
  <c r="L54" i="76"/>
  <c r="J19" i="76"/>
  <c r="J24" i="76"/>
  <c r="J32" i="76"/>
  <c r="J40" i="76"/>
  <c r="J45" i="76"/>
  <c r="J53" i="76"/>
  <c r="J54" i="76"/>
  <c r="I45" i="76"/>
  <c r="I53" i="76"/>
  <c r="I54" i="76"/>
  <c r="I40" i="76"/>
  <c r="I19" i="76"/>
  <c r="I24" i="76"/>
  <c r="I32" i="76"/>
  <c r="I14" i="76"/>
  <c r="N73" i="123" l="1"/>
  <c r="O70" i="123" s="1"/>
  <c r="K62" i="123"/>
  <c r="N99" i="123"/>
  <c r="N101" i="123" s="1"/>
  <c r="O98" i="123" s="1"/>
  <c r="N73" i="125"/>
  <c r="N22" i="122"/>
  <c r="N25" i="122" s="1"/>
  <c r="O23" i="122" s="1"/>
  <c r="N20" i="123"/>
  <c r="N22" i="123" s="1"/>
  <c r="O20" i="123" s="1"/>
  <c r="K20" i="123"/>
  <c r="M99" i="123"/>
  <c r="K92" i="121"/>
  <c r="N25" i="124"/>
  <c r="N27" i="124" s="1"/>
  <c r="O25" i="124" s="1"/>
  <c r="N101" i="125"/>
  <c r="O98" i="125" s="1"/>
  <c r="M92" i="123"/>
  <c r="K20" i="121"/>
  <c r="K25" i="121"/>
  <c r="N25" i="123"/>
  <c r="N27" i="123" s="1"/>
  <c r="O25" i="123" s="1"/>
  <c r="N20" i="121"/>
  <c r="N22" i="121" s="1"/>
  <c r="N29" i="121" s="1"/>
  <c r="O27" i="121" s="1"/>
  <c r="M112" i="121"/>
  <c r="N92" i="123"/>
  <c r="N95" i="123" s="1"/>
  <c r="O93" i="123" s="1"/>
  <c r="N36" i="121"/>
  <c r="O33" i="121" s="1"/>
  <c r="N104" i="121"/>
  <c r="N106" i="121" s="1"/>
  <c r="O104" i="121" s="1"/>
  <c r="K20" i="125"/>
  <c r="N20" i="125"/>
  <c r="N22" i="125" s="1"/>
  <c r="N25" i="125"/>
  <c r="N27" i="125" s="1"/>
  <c r="O25" i="125" s="1"/>
  <c r="O70" i="125"/>
  <c r="O71" i="125"/>
  <c r="M99" i="125"/>
  <c r="K99" i="125"/>
  <c r="N39" i="125"/>
  <c r="N42" i="125" s="1"/>
  <c r="N57" i="123"/>
  <c r="M22" i="124"/>
  <c r="M29" i="124" s="1"/>
  <c r="K57" i="123"/>
  <c r="K92" i="123"/>
  <c r="K62" i="121"/>
  <c r="M104" i="121"/>
  <c r="O62" i="121"/>
  <c r="N73" i="121"/>
  <c r="O71" i="121" s="1"/>
  <c r="K52" i="121"/>
  <c r="N46" i="121"/>
  <c r="N48" i="121" s="1"/>
  <c r="O45" i="121" s="1"/>
  <c r="K112" i="121"/>
  <c r="O57" i="121"/>
  <c r="N92" i="121"/>
  <c r="N95" i="121" s="1"/>
  <c r="M92" i="121"/>
  <c r="K57" i="121"/>
  <c r="O14" i="121"/>
  <c r="O40" i="121"/>
  <c r="N17" i="125"/>
  <c r="O14" i="125" s="1"/>
  <c r="H62" i="125"/>
  <c r="N57" i="125"/>
  <c r="K57" i="125"/>
  <c r="N59" i="123"/>
  <c r="O57" i="123" s="1"/>
  <c r="N14" i="122"/>
  <c r="M14" i="122"/>
  <c r="M29" i="122" s="1"/>
  <c r="K104" i="125"/>
  <c r="N104" i="125"/>
  <c r="M104" i="125"/>
  <c r="N34" i="125"/>
  <c r="K34" i="125"/>
  <c r="N45" i="125"/>
  <c r="K45" i="125"/>
  <c r="N16" i="126"/>
  <c r="O14" i="126" s="1"/>
  <c r="K46" i="125"/>
  <c r="N46" i="125"/>
  <c r="O39" i="123"/>
  <c r="N80" i="125"/>
  <c r="O78" i="125" s="1"/>
  <c r="N16" i="124"/>
  <c r="O14" i="124" s="1"/>
  <c r="K112" i="125"/>
  <c r="N112" i="125"/>
  <c r="M112" i="125"/>
  <c r="K33" i="123"/>
  <c r="N33" i="123"/>
  <c r="N27" i="122"/>
  <c r="O25" i="122" s="1"/>
  <c r="O76" i="121"/>
  <c r="N116" i="121"/>
  <c r="O114" i="121" s="1"/>
  <c r="N86" i="125"/>
  <c r="O84" i="125" s="1"/>
  <c r="N17" i="123"/>
  <c r="O14" i="123" s="1"/>
  <c r="N45" i="123"/>
  <c r="N48" i="123" s="1"/>
  <c r="O46" i="123" s="1"/>
  <c r="K45" i="123"/>
  <c r="O22" i="122"/>
  <c r="N101" i="121"/>
  <c r="O99" i="121" s="1"/>
  <c r="N86" i="121"/>
  <c r="O84" i="121" s="1"/>
  <c r="N84" i="123"/>
  <c r="K84" i="123"/>
  <c r="N34" i="123"/>
  <c r="K34" i="123"/>
  <c r="N52" i="123"/>
  <c r="K52" i="123"/>
  <c r="N104" i="123"/>
  <c r="M104" i="123"/>
  <c r="K104" i="123"/>
  <c r="N80" i="123"/>
  <c r="O78" i="123" s="1"/>
  <c r="H22" i="126"/>
  <c r="N92" i="125"/>
  <c r="N95" i="125" s="1"/>
  <c r="M92" i="125"/>
  <c r="K92" i="125"/>
  <c r="N33" i="125"/>
  <c r="K33" i="125"/>
  <c r="N112" i="123"/>
  <c r="M112" i="123"/>
  <c r="K112" i="123"/>
  <c r="O71" i="123"/>
  <c r="N64" i="123"/>
  <c r="O62" i="123" s="1"/>
  <c r="K13" i="86"/>
  <c r="M13" i="86"/>
  <c r="M13" i="120"/>
  <c r="M19" i="120" s="1"/>
  <c r="K13" i="120"/>
  <c r="K19" i="120" s="1"/>
  <c r="H14" i="118"/>
  <c r="H20" i="118" s="1"/>
  <c r="F92" i="3"/>
  <c r="F90" i="3"/>
  <c r="F88" i="3"/>
  <c r="D8" i="120"/>
  <c r="D7" i="120"/>
  <c r="D8" i="119"/>
  <c r="D7" i="119"/>
  <c r="D8" i="118"/>
  <c r="D7" i="118"/>
  <c r="D9" i="117"/>
  <c r="D7" i="117"/>
  <c r="D8" i="116"/>
  <c r="D7" i="116"/>
  <c r="D9" i="115"/>
  <c r="D7" i="115"/>
  <c r="D8" i="114"/>
  <c r="D7" i="114"/>
  <c r="D8" i="113"/>
  <c r="D7" i="113"/>
  <c r="D8" i="112"/>
  <c r="D7" i="112"/>
  <c r="B11" i="120"/>
  <c r="A11" i="120"/>
  <c r="N7" i="120"/>
  <c r="M7" i="120"/>
  <c r="N6" i="120"/>
  <c r="N5" i="120"/>
  <c r="D5" i="120"/>
  <c r="N4" i="120"/>
  <c r="D4" i="120"/>
  <c r="M45" i="119"/>
  <c r="I45" i="119"/>
  <c r="N45" i="119" s="1"/>
  <c r="N44" i="119"/>
  <c r="M44" i="119"/>
  <c r="N43" i="119"/>
  <c r="M43" i="119"/>
  <c r="N42" i="119"/>
  <c r="M42" i="119"/>
  <c r="N41" i="119"/>
  <c r="M41" i="119"/>
  <c r="N40" i="119"/>
  <c r="M40" i="119"/>
  <c r="N39" i="119"/>
  <c r="M39" i="119"/>
  <c r="N38" i="119"/>
  <c r="M38" i="119"/>
  <c r="M37" i="119"/>
  <c r="I37" i="119"/>
  <c r="N37" i="119" s="1"/>
  <c r="M36" i="119"/>
  <c r="I36" i="119"/>
  <c r="N36" i="119" s="1"/>
  <c r="M35" i="119"/>
  <c r="I35" i="119"/>
  <c r="N35" i="119" s="1"/>
  <c r="M34" i="119"/>
  <c r="I34" i="119"/>
  <c r="N34" i="119" s="1"/>
  <c r="M33" i="119"/>
  <c r="I33" i="119"/>
  <c r="N33" i="119" s="1"/>
  <c r="M32" i="119"/>
  <c r="I32" i="119"/>
  <c r="N32" i="119" s="1"/>
  <c r="M31" i="119"/>
  <c r="I31" i="119"/>
  <c r="N31" i="119" s="1"/>
  <c r="M30" i="119"/>
  <c r="I30" i="119"/>
  <c r="N30" i="119" s="1"/>
  <c r="M29" i="119"/>
  <c r="I29" i="119"/>
  <c r="N29" i="119" s="1"/>
  <c r="M28" i="119"/>
  <c r="I28" i="119"/>
  <c r="N28" i="119" s="1"/>
  <c r="M27" i="119"/>
  <c r="I27" i="119"/>
  <c r="N27" i="119" s="1"/>
  <c r="M26" i="119"/>
  <c r="I26" i="119"/>
  <c r="N26" i="119" s="1"/>
  <c r="M25" i="119"/>
  <c r="I25" i="119"/>
  <c r="N25" i="119" s="1"/>
  <c r="M24" i="119"/>
  <c r="I24" i="119"/>
  <c r="N24" i="119" s="1"/>
  <c r="M23" i="119"/>
  <c r="I23" i="119"/>
  <c r="N23" i="119" s="1"/>
  <c r="M22" i="119"/>
  <c r="I22" i="119"/>
  <c r="N22" i="119" s="1"/>
  <c r="M21" i="119"/>
  <c r="I21" i="119"/>
  <c r="N21" i="119" s="1"/>
  <c r="N20" i="119"/>
  <c r="M20" i="119"/>
  <c r="M19" i="119"/>
  <c r="I19" i="119"/>
  <c r="N19" i="119" s="1"/>
  <c r="L18" i="119"/>
  <c r="M18" i="119" s="1"/>
  <c r="J18" i="119"/>
  <c r="I18" i="119"/>
  <c r="N18" i="119" s="1"/>
  <c r="M17" i="119"/>
  <c r="I17" i="119"/>
  <c r="N17" i="119" s="1"/>
  <c r="M16" i="119"/>
  <c r="I16" i="119"/>
  <c r="N16" i="119" s="1"/>
  <c r="M15" i="119"/>
  <c r="I15" i="119"/>
  <c r="N15" i="119" s="1"/>
  <c r="M14" i="119"/>
  <c r="I14" i="119"/>
  <c r="N14" i="119" s="1"/>
  <c r="B11" i="119"/>
  <c r="A11" i="119"/>
  <c r="N7" i="119"/>
  <c r="M7" i="119"/>
  <c r="N6" i="119"/>
  <c r="N5" i="119"/>
  <c r="D5" i="119"/>
  <c r="N4" i="119"/>
  <c r="D4" i="119"/>
  <c r="L78" i="118"/>
  <c r="J78" i="118"/>
  <c r="I78" i="118"/>
  <c r="L77" i="118"/>
  <c r="J77" i="118"/>
  <c r="I77" i="118"/>
  <c r="L69" i="118"/>
  <c r="J69" i="118"/>
  <c r="K69" i="118" s="1"/>
  <c r="I69" i="118"/>
  <c r="N69" i="118" s="1"/>
  <c r="L68" i="118"/>
  <c r="J68" i="118"/>
  <c r="K68" i="118" s="1"/>
  <c r="I68" i="118"/>
  <c r="N68" i="118" s="1"/>
  <c r="L67" i="118"/>
  <c r="J67" i="118"/>
  <c r="K67" i="118" s="1"/>
  <c r="I67" i="118"/>
  <c r="N67" i="118" s="1"/>
  <c r="L66" i="118"/>
  <c r="J66" i="118"/>
  <c r="K66" i="118" s="1"/>
  <c r="I66" i="118"/>
  <c r="N66" i="118" s="1"/>
  <c r="L65" i="118"/>
  <c r="J65" i="118"/>
  <c r="K65" i="118" s="1"/>
  <c r="I65" i="118"/>
  <c r="N65" i="118" s="1"/>
  <c r="L64" i="118"/>
  <c r="J64" i="118"/>
  <c r="I64" i="118"/>
  <c r="L56" i="118"/>
  <c r="J56" i="118"/>
  <c r="I56" i="118"/>
  <c r="L48" i="118"/>
  <c r="J48" i="118"/>
  <c r="I48" i="118"/>
  <c r="L43" i="118"/>
  <c r="J43" i="118"/>
  <c r="I43" i="118"/>
  <c r="L38" i="118"/>
  <c r="J38" i="118"/>
  <c r="I38" i="118"/>
  <c r="L33" i="118"/>
  <c r="J33" i="118"/>
  <c r="I33" i="118"/>
  <c r="L28" i="118"/>
  <c r="J28" i="118"/>
  <c r="I28" i="118"/>
  <c r="L20" i="118"/>
  <c r="J20" i="118"/>
  <c r="I20" i="118"/>
  <c r="L14" i="118"/>
  <c r="M14" i="118" s="1"/>
  <c r="J14" i="118"/>
  <c r="I14" i="118"/>
  <c r="B11" i="118"/>
  <c r="A11" i="118"/>
  <c r="N7" i="118"/>
  <c r="M7" i="118"/>
  <c r="N6" i="118"/>
  <c r="N5" i="118"/>
  <c r="D5" i="118"/>
  <c r="N4" i="118"/>
  <c r="D4" i="118"/>
  <c r="L58" i="117"/>
  <c r="M58" i="117" s="1"/>
  <c r="J58" i="117"/>
  <c r="I58" i="117"/>
  <c r="N58" i="117" s="1"/>
  <c r="N50" i="117"/>
  <c r="M50" i="117"/>
  <c r="J50" i="117"/>
  <c r="N49" i="117"/>
  <c r="M49" i="117"/>
  <c r="J49" i="117"/>
  <c r="N48" i="117"/>
  <c r="M48" i="117"/>
  <c r="J48" i="117"/>
  <c r="N47" i="117"/>
  <c r="M47" i="117"/>
  <c r="J47" i="117"/>
  <c r="N46" i="117"/>
  <c r="M46" i="117"/>
  <c r="J46" i="117"/>
  <c r="N45" i="117"/>
  <c r="M45" i="117"/>
  <c r="J45" i="117"/>
  <c r="N44" i="117"/>
  <c r="M44" i="117"/>
  <c r="J44" i="117"/>
  <c r="N43" i="117"/>
  <c r="M43" i="117"/>
  <c r="J43" i="117"/>
  <c r="N42" i="117"/>
  <c r="M42" i="117"/>
  <c r="J42" i="117"/>
  <c r="N41" i="117"/>
  <c r="M41" i="117"/>
  <c r="J41" i="117"/>
  <c r="N40" i="117"/>
  <c r="M40" i="117"/>
  <c r="N39" i="117"/>
  <c r="M39" i="117"/>
  <c r="N38" i="117"/>
  <c r="M38" i="117"/>
  <c r="J38" i="117"/>
  <c r="N37" i="117"/>
  <c r="M37" i="117"/>
  <c r="J37" i="117"/>
  <c r="N36" i="117"/>
  <c r="M36" i="117"/>
  <c r="J36" i="117"/>
  <c r="N35" i="117"/>
  <c r="M35" i="117"/>
  <c r="J35" i="117"/>
  <c r="N34" i="117"/>
  <c r="M34" i="117"/>
  <c r="J34" i="117"/>
  <c r="M33" i="117"/>
  <c r="I33" i="117"/>
  <c r="N33" i="117" s="1"/>
  <c r="M32" i="117"/>
  <c r="I32" i="117"/>
  <c r="N32" i="117" s="1"/>
  <c r="N31" i="117"/>
  <c r="M31" i="117"/>
  <c r="N30" i="117"/>
  <c r="M30" i="117"/>
  <c r="N29" i="117"/>
  <c r="M29" i="117"/>
  <c r="N28" i="117"/>
  <c r="M28" i="117"/>
  <c r="N27" i="117"/>
  <c r="M27" i="117"/>
  <c r="N22" i="117"/>
  <c r="M22" i="117"/>
  <c r="N21" i="117"/>
  <c r="M21" i="117"/>
  <c r="N20" i="117"/>
  <c r="M20" i="117"/>
  <c r="N15" i="117"/>
  <c r="N17" i="117" s="1"/>
  <c r="M15" i="117"/>
  <c r="B12" i="117"/>
  <c r="A12" i="117"/>
  <c r="N7" i="117"/>
  <c r="M7" i="117"/>
  <c r="N6" i="117"/>
  <c r="N5" i="117"/>
  <c r="D5" i="117"/>
  <c r="N4" i="117"/>
  <c r="D4" i="117"/>
  <c r="L60" i="116"/>
  <c r="M60" i="116" s="1"/>
  <c r="J60" i="116"/>
  <c r="K60" i="116" s="1"/>
  <c r="I60" i="116"/>
  <c r="N60" i="116" s="1"/>
  <c r="L55" i="116"/>
  <c r="M55" i="116" s="1"/>
  <c r="J55" i="116"/>
  <c r="K55" i="116" s="1"/>
  <c r="I55" i="116"/>
  <c r="N55" i="116" s="1"/>
  <c r="L50" i="116"/>
  <c r="M50" i="116" s="1"/>
  <c r="J50" i="116"/>
  <c r="K50" i="116" s="1"/>
  <c r="I50" i="116"/>
  <c r="N50" i="116" s="1"/>
  <c r="N52" i="116" s="1"/>
  <c r="L42" i="116"/>
  <c r="J42" i="116"/>
  <c r="K42" i="116" s="1"/>
  <c r="I42" i="116"/>
  <c r="N42" i="116" s="1"/>
  <c r="L37" i="116"/>
  <c r="J37" i="116"/>
  <c r="K37" i="116" s="1"/>
  <c r="I37" i="116"/>
  <c r="N37" i="116" s="1"/>
  <c r="L32" i="116"/>
  <c r="J32" i="116"/>
  <c r="K32" i="116" s="1"/>
  <c r="I32" i="116"/>
  <c r="N32" i="116" s="1"/>
  <c r="L27" i="116"/>
  <c r="J27" i="116"/>
  <c r="K27" i="116" s="1"/>
  <c r="I27" i="116"/>
  <c r="N27" i="116" s="1"/>
  <c r="N22" i="116"/>
  <c r="L22" i="116"/>
  <c r="K22" i="116"/>
  <c r="L21" i="116"/>
  <c r="J21" i="116"/>
  <c r="K21" i="116" s="1"/>
  <c r="I21" i="116"/>
  <c r="N21" i="116" s="1"/>
  <c r="L20" i="116"/>
  <c r="J20" i="116"/>
  <c r="K20" i="116" s="1"/>
  <c r="I20" i="116"/>
  <c r="N20" i="116" s="1"/>
  <c r="L15" i="116"/>
  <c r="J15" i="116"/>
  <c r="K15" i="116" s="1"/>
  <c r="I15" i="116"/>
  <c r="N15" i="116" s="1"/>
  <c r="L14" i="116"/>
  <c r="J14" i="116"/>
  <c r="K14" i="116" s="1"/>
  <c r="I14" i="116"/>
  <c r="N14" i="116" s="1"/>
  <c r="B11" i="116"/>
  <c r="A11" i="116"/>
  <c r="N7" i="116"/>
  <c r="M7" i="116"/>
  <c r="N6" i="116"/>
  <c r="N5" i="116"/>
  <c r="D5" i="116"/>
  <c r="N4" i="116"/>
  <c r="D4" i="116"/>
  <c r="N258" i="115"/>
  <c r="M258" i="115"/>
  <c r="N257" i="115"/>
  <c r="M257" i="115"/>
  <c r="N256" i="115"/>
  <c r="M256" i="115"/>
  <c r="N255" i="115"/>
  <c r="M255" i="115"/>
  <c r="N254" i="115"/>
  <c r="M254" i="115"/>
  <c r="N253" i="115"/>
  <c r="M253" i="115"/>
  <c r="N252" i="115"/>
  <c r="M252" i="115"/>
  <c r="N251" i="115"/>
  <c r="M251" i="115"/>
  <c r="N250" i="115"/>
  <c r="M250" i="115"/>
  <c r="N249" i="115"/>
  <c r="M249" i="115"/>
  <c r="N242" i="115"/>
  <c r="M242" i="115"/>
  <c r="N241" i="115"/>
  <c r="M241" i="115"/>
  <c r="N236" i="115"/>
  <c r="M236" i="115"/>
  <c r="N235" i="115"/>
  <c r="M235" i="115"/>
  <c r="N230" i="115"/>
  <c r="N232" i="115" s="1"/>
  <c r="M230" i="115"/>
  <c r="N225" i="115"/>
  <c r="M225" i="115"/>
  <c r="N224" i="115"/>
  <c r="M224" i="115"/>
  <c r="L216" i="115"/>
  <c r="M216" i="115" s="1"/>
  <c r="J216" i="115"/>
  <c r="I216" i="115"/>
  <c r="N216" i="115" s="1"/>
  <c r="L210" i="115"/>
  <c r="M210" i="115" s="1"/>
  <c r="J210" i="115"/>
  <c r="I210" i="115"/>
  <c r="N210" i="115" s="1"/>
  <c r="L205" i="115"/>
  <c r="M205" i="115" s="1"/>
  <c r="J205" i="115"/>
  <c r="I205" i="115"/>
  <c r="N205" i="115" s="1"/>
  <c r="L204" i="115"/>
  <c r="M204" i="115" s="1"/>
  <c r="J204" i="115"/>
  <c r="I204" i="115"/>
  <c r="N204" i="115" s="1"/>
  <c r="L199" i="115"/>
  <c r="M199" i="115" s="1"/>
  <c r="J199" i="115"/>
  <c r="I199" i="115"/>
  <c r="N199" i="115" s="1"/>
  <c r="N191" i="115"/>
  <c r="M191" i="115"/>
  <c r="N190" i="115"/>
  <c r="M190" i="115"/>
  <c r="L189" i="115"/>
  <c r="M189" i="115" s="1"/>
  <c r="J189" i="115"/>
  <c r="I189" i="115"/>
  <c r="N189" i="115" s="1"/>
  <c r="L188" i="115"/>
  <c r="M188" i="115" s="1"/>
  <c r="J188" i="115"/>
  <c r="I188" i="115"/>
  <c r="N188" i="115" s="1"/>
  <c r="L183" i="115"/>
  <c r="M183" i="115" s="1"/>
  <c r="J183" i="115"/>
  <c r="I183" i="115"/>
  <c r="N183" i="115" s="1"/>
  <c r="N185" i="115" s="1"/>
  <c r="L178" i="115"/>
  <c r="M178" i="115" s="1"/>
  <c r="J178" i="115"/>
  <c r="I178" i="115"/>
  <c r="N178" i="115" s="1"/>
  <c r="L177" i="115"/>
  <c r="M177" i="115" s="1"/>
  <c r="J177" i="115"/>
  <c r="I177" i="115"/>
  <c r="N177" i="115" s="1"/>
  <c r="N169" i="115"/>
  <c r="N171" i="115" s="1"/>
  <c r="M169" i="115"/>
  <c r="L164" i="115"/>
  <c r="M164" i="115" s="1"/>
  <c r="J164" i="115"/>
  <c r="I164" i="115"/>
  <c r="N164" i="115" s="1"/>
  <c r="L163" i="115"/>
  <c r="M163" i="115" s="1"/>
  <c r="J163" i="115"/>
  <c r="I163" i="115"/>
  <c r="N163" i="115" s="1"/>
  <c r="L162" i="115"/>
  <c r="M162" i="115" s="1"/>
  <c r="J162" i="115"/>
  <c r="I162" i="115"/>
  <c r="N162" i="115" s="1"/>
  <c r="L161" i="115"/>
  <c r="M161" i="115" s="1"/>
  <c r="J161" i="115"/>
  <c r="I161" i="115"/>
  <c r="N161" i="115" s="1"/>
  <c r="L160" i="115"/>
  <c r="M160" i="115" s="1"/>
  <c r="J160" i="115"/>
  <c r="I160" i="115"/>
  <c r="N160" i="115" s="1"/>
  <c r="L159" i="115"/>
  <c r="M159" i="115" s="1"/>
  <c r="J159" i="115"/>
  <c r="I159" i="115"/>
  <c r="N159" i="115" s="1"/>
  <c r="L158" i="115"/>
  <c r="M158" i="115" s="1"/>
  <c r="J158" i="115"/>
  <c r="I158" i="115"/>
  <c r="N158" i="115" s="1"/>
  <c r="L157" i="115"/>
  <c r="M157" i="115" s="1"/>
  <c r="J157" i="115"/>
  <c r="I157" i="115"/>
  <c r="N157" i="115" s="1"/>
  <c r="L152" i="115"/>
  <c r="M152" i="115" s="1"/>
  <c r="J152" i="115"/>
  <c r="I152" i="115"/>
  <c r="N152" i="115" s="1"/>
  <c r="L151" i="115"/>
  <c r="M151" i="115" s="1"/>
  <c r="J151" i="115"/>
  <c r="I151" i="115"/>
  <c r="N151" i="115" s="1"/>
  <c r="L150" i="115"/>
  <c r="M150" i="115" s="1"/>
  <c r="J150" i="115"/>
  <c r="I150" i="115"/>
  <c r="N150" i="115" s="1"/>
  <c r="L149" i="115"/>
  <c r="M149" i="115" s="1"/>
  <c r="J149" i="115"/>
  <c r="I149" i="115"/>
  <c r="N149" i="115" s="1"/>
  <c r="L148" i="115"/>
  <c r="M148" i="115" s="1"/>
  <c r="J148" i="115"/>
  <c r="I148" i="115"/>
  <c r="N148" i="115" s="1"/>
  <c r="L147" i="115"/>
  <c r="M147" i="115" s="1"/>
  <c r="J147" i="115"/>
  <c r="I147" i="115"/>
  <c r="N147" i="115" s="1"/>
  <c r="L146" i="115"/>
  <c r="M146" i="115" s="1"/>
  <c r="J146" i="115"/>
  <c r="I146" i="115"/>
  <c r="N146" i="115" s="1"/>
  <c r="L141" i="115"/>
  <c r="M141" i="115" s="1"/>
  <c r="J141" i="115"/>
  <c r="I141" i="115"/>
  <c r="N141" i="115" s="1"/>
  <c r="L140" i="115"/>
  <c r="M140" i="115" s="1"/>
  <c r="J140" i="115"/>
  <c r="I140" i="115"/>
  <c r="N140" i="115" s="1"/>
  <c r="L139" i="115"/>
  <c r="M139" i="115" s="1"/>
  <c r="J139" i="115"/>
  <c r="I139" i="115"/>
  <c r="N139" i="115" s="1"/>
  <c r="L138" i="115"/>
  <c r="M138" i="115" s="1"/>
  <c r="J138" i="115"/>
  <c r="I138" i="115"/>
  <c r="N138" i="115" s="1"/>
  <c r="L137" i="115"/>
  <c r="M137" i="115" s="1"/>
  <c r="J137" i="115"/>
  <c r="I137" i="115"/>
  <c r="N137" i="115" s="1"/>
  <c r="L136" i="115"/>
  <c r="M136" i="115" s="1"/>
  <c r="J136" i="115"/>
  <c r="I136" i="115"/>
  <c r="N136" i="115" s="1"/>
  <c r="L135" i="115"/>
  <c r="M135" i="115" s="1"/>
  <c r="J135" i="115"/>
  <c r="I135" i="115"/>
  <c r="N135" i="115" s="1"/>
  <c r="L134" i="115"/>
  <c r="M134" i="115" s="1"/>
  <c r="J134" i="115"/>
  <c r="I134" i="115"/>
  <c r="N134" i="115" s="1"/>
  <c r="L133" i="115"/>
  <c r="M133" i="115" s="1"/>
  <c r="J133" i="115"/>
  <c r="I133" i="115"/>
  <c r="N133" i="115" s="1"/>
  <c r="L128" i="115"/>
  <c r="M128" i="115" s="1"/>
  <c r="J128" i="115"/>
  <c r="I128" i="115"/>
  <c r="N128" i="115" s="1"/>
  <c r="L127" i="115"/>
  <c r="M127" i="115" s="1"/>
  <c r="J127" i="115"/>
  <c r="I127" i="115"/>
  <c r="N127" i="115" s="1"/>
  <c r="L126" i="115"/>
  <c r="M126" i="115" s="1"/>
  <c r="J126" i="115"/>
  <c r="I126" i="115"/>
  <c r="N126" i="115" s="1"/>
  <c r="L125" i="115"/>
  <c r="M125" i="115" s="1"/>
  <c r="J125" i="115"/>
  <c r="I125" i="115"/>
  <c r="N125" i="115" s="1"/>
  <c r="L124" i="115"/>
  <c r="M124" i="115" s="1"/>
  <c r="J124" i="115"/>
  <c r="I124" i="115"/>
  <c r="N124" i="115" s="1"/>
  <c r="L123" i="115"/>
  <c r="M123" i="115" s="1"/>
  <c r="J123" i="115"/>
  <c r="I123" i="115"/>
  <c r="N123" i="115" s="1"/>
  <c r="L122" i="115"/>
  <c r="M122" i="115" s="1"/>
  <c r="J122" i="115"/>
  <c r="I122" i="115"/>
  <c r="N122" i="115" s="1"/>
  <c r="L121" i="115"/>
  <c r="M121" i="115" s="1"/>
  <c r="J121" i="115"/>
  <c r="I121" i="115"/>
  <c r="N121" i="115" s="1"/>
  <c r="L120" i="115"/>
  <c r="M120" i="115" s="1"/>
  <c r="J120" i="115"/>
  <c r="I120" i="115"/>
  <c r="N120" i="115" s="1"/>
  <c r="L119" i="115"/>
  <c r="M119" i="115" s="1"/>
  <c r="J119" i="115"/>
  <c r="I119" i="115"/>
  <c r="N119" i="115" s="1"/>
  <c r="L118" i="115"/>
  <c r="M118" i="115" s="1"/>
  <c r="J118" i="115"/>
  <c r="I118" i="115"/>
  <c r="N118" i="115" s="1"/>
  <c r="L117" i="115"/>
  <c r="M117" i="115" s="1"/>
  <c r="J117" i="115"/>
  <c r="I117" i="115"/>
  <c r="N117" i="115" s="1"/>
  <c r="L116" i="115"/>
  <c r="M116" i="115" s="1"/>
  <c r="J116" i="115"/>
  <c r="I116" i="115"/>
  <c r="N116" i="115" s="1"/>
  <c r="L115" i="115"/>
  <c r="M115" i="115" s="1"/>
  <c r="J115" i="115"/>
  <c r="I115" i="115"/>
  <c r="N115" i="115" s="1"/>
  <c r="L114" i="115"/>
  <c r="M114" i="115" s="1"/>
  <c r="J114" i="115"/>
  <c r="I114" i="115"/>
  <c r="N114" i="115" s="1"/>
  <c r="L113" i="115"/>
  <c r="M113" i="115" s="1"/>
  <c r="J113" i="115"/>
  <c r="I113" i="115"/>
  <c r="N113" i="115" s="1"/>
  <c r="L108" i="115"/>
  <c r="M108" i="115" s="1"/>
  <c r="J108" i="115"/>
  <c r="I108" i="115"/>
  <c r="N108" i="115" s="1"/>
  <c r="L107" i="115"/>
  <c r="M107" i="115" s="1"/>
  <c r="J107" i="115"/>
  <c r="I107" i="115"/>
  <c r="N107" i="115" s="1"/>
  <c r="L106" i="115"/>
  <c r="M106" i="115" s="1"/>
  <c r="J106" i="115"/>
  <c r="I106" i="115"/>
  <c r="N106" i="115" s="1"/>
  <c r="L105" i="115"/>
  <c r="M105" i="115" s="1"/>
  <c r="J105" i="115"/>
  <c r="I105" i="115"/>
  <c r="N105" i="115" s="1"/>
  <c r="L100" i="115"/>
  <c r="M100" i="115" s="1"/>
  <c r="J100" i="115"/>
  <c r="I100" i="115"/>
  <c r="N100" i="115" s="1"/>
  <c r="N102" i="115" s="1"/>
  <c r="L95" i="115"/>
  <c r="M95" i="115" s="1"/>
  <c r="J95" i="115"/>
  <c r="I95" i="115"/>
  <c r="N95" i="115" s="1"/>
  <c r="N97" i="115" s="1"/>
  <c r="L90" i="115"/>
  <c r="M90" i="115" s="1"/>
  <c r="J90" i="115"/>
  <c r="I90" i="115"/>
  <c r="N90" i="115" s="1"/>
  <c r="L89" i="115"/>
  <c r="M89" i="115" s="1"/>
  <c r="J89" i="115"/>
  <c r="I89" i="115"/>
  <c r="N89" i="115" s="1"/>
  <c r="L84" i="115"/>
  <c r="M84" i="115" s="1"/>
  <c r="J84" i="115"/>
  <c r="I84" i="115"/>
  <c r="N84" i="115" s="1"/>
  <c r="L83" i="115"/>
  <c r="M83" i="115" s="1"/>
  <c r="J83" i="115"/>
  <c r="I83" i="115"/>
  <c r="N83" i="115" s="1"/>
  <c r="L82" i="115"/>
  <c r="M82" i="115" s="1"/>
  <c r="J82" i="115"/>
  <c r="I82" i="115"/>
  <c r="N82" i="115" s="1"/>
  <c r="L81" i="115"/>
  <c r="M81" i="115" s="1"/>
  <c r="J81" i="115"/>
  <c r="I81" i="115"/>
  <c r="N81" i="115" s="1"/>
  <c r="L80" i="115"/>
  <c r="M80" i="115" s="1"/>
  <c r="J80" i="115"/>
  <c r="I80" i="115"/>
  <c r="N80" i="115" s="1"/>
  <c r="L79" i="115"/>
  <c r="M79" i="115" s="1"/>
  <c r="J79" i="115"/>
  <c r="I79" i="115"/>
  <c r="N79" i="115" s="1"/>
  <c r="L74" i="115"/>
  <c r="M74" i="115" s="1"/>
  <c r="J74" i="115"/>
  <c r="I74" i="115"/>
  <c r="N74" i="115" s="1"/>
  <c r="L73" i="115"/>
  <c r="M73" i="115" s="1"/>
  <c r="J73" i="115"/>
  <c r="I73" i="115"/>
  <c r="N73" i="115" s="1"/>
  <c r="L72" i="115"/>
  <c r="M72" i="115" s="1"/>
  <c r="J72" i="115"/>
  <c r="I72" i="115"/>
  <c r="N72" i="115" s="1"/>
  <c r="L71" i="115"/>
  <c r="M71" i="115" s="1"/>
  <c r="J71" i="115"/>
  <c r="I71" i="115"/>
  <c r="N71" i="115" s="1"/>
  <c r="L70" i="115"/>
  <c r="M70" i="115" s="1"/>
  <c r="J70" i="115"/>
  <c r="I70" i="115"/>
  <c r="N70" i="115" s="1"/>
  <c r="L69" i="115"/>
  <c r="M69" i="115" s="1"/>
  <c r="J69" i="115"/>
  <c r="I69" i="115"/>
  <c r="N69" i="115" s="1"/>
  <c r="L68" i="115"/>
  <c r="M68" i="115" s="1"/>
  <c r="J68" i="115"/>
  <c r="I68" i="115"/>
  <c r="N68" i="115" s="1"/>
  <c r="L60" i="115"/>
  <c r="M60" i="115" s="1"/>
  <c r="J60" i="115"/>
  <c r="I60" i="115"/>
  <c r="N60" i="115" s="1"/>
  <c r="N55" i="115"/>
  <c r="M55" i="115"/>
  <c r="N54" i="115"/>
  <c r="M54" i="115"/>
  <c r="L49" i="115"/>
  <c r="M49" i="115" s="1"/>
  <c r="J49" i="115"/>
  <c r="I49" i="115"/>
  <c r="N49" i="115" s="1"/>
  <c r="L48" i="115"/>
  <c r="M48" i="115" s="1"/>
  <c r="J48" i="115"/>
  <c r="I48" i="115"/>
  <c r="N48" i="115" s="1"/>
  <c r="L47" i="115"/>
  <c r="M47" i="115" s="1"/>
  <c r="J47" i="115"/>
  <c r="I47" i="115"/>
  <c r="N47" i="115" s="1"/>
  <c r="L46" i="115"/>
  <c r="M46" i="115" s="1"/>
  <c r="J46" i="115"/>
  <c r="I46" i="115"/>
  <c r="N46" i="115" s="1"/>
  <c r="L41" i="115"/>
  <c r="M41" i="115" s="1"/>
  <c r="J41" i="115"/>
  <c r="I41" i="115"/>
  <c r="N41" i="115" s="1"/>
  <c r="L40" i="115"/>
  <c r="M40" i="115" s="1"/>
  <c r="J40" i="115"/>
  <c r="I40" i="115"/>
  <c r="N40" i="115" s="1"/>
  <c r="L39" i="115"/>
  <c r="M39" i="115" s="1"/>
  <c r="J39" i="115"/>
  <c r="I39" i="115"/>
  <c r="N39" i="115" s="1"/>
  <c r="L38" i="115"/>
  <c r="M38" i="115" s="1"/>
  <c r="J38" i="115"/>
  <c r="I38" i="115"/>
  <c r="N38" i="115" s="1"/>
  <c r="L37" i="115"/>
  <c r="M37" i="115" s="1"/>
  <c r="J37" i="115"/>
  <c r="I37" i="115"/>
  <c r="N37" i="115" s="1"/>
  <c r="L32" i="115"/>
  <c r="M32" i="115" s="1"/>
  <c r="J32" i="115"/>
  <c r="I32" i="115"/>
  <c r="N32" i="115" s="1"/>
  <c r="L31" i="115"/>
  <c r="M31" i="115" s="1"/>
  <c r="J31" i="115"/>
  <c r="I31" i="115"/>
  <c r="N31" i="115" s="1"/>
  <c r="L30" i="115"/>
  <c r="M30" i="115" s="1"/>
  <c r="J30" i="115"/>
  <c r="I30" i="115"/>
  <c r="N30" i="115" s="1"/>
  <c r="L29" i="115"/>
  <c r="M29" i="115" s="1"/>
  <c r="J29" i="115"/>
  <c r="I29" i="115"/>
  <c r="N29" i="115" s="1"/>
  <c r="L28" i="115"/>
  <c r="M28" i="115" s="1"/>
  <c r="J28" i="115"/>
  <c r="I28" i="115"/>
  <c r="N28" i="115" s="1"/>
  <c r="L23" i="115"/>
  <c r="M23" i="115" s="1"/>
  <c r="J23" i="115"/>
  <c r="I23" i="115"/>
  <c r="N23" i="115" s="1"/>
  <c r="L22" i="115"/>
  <c r="M22" i="115" s="1"/>
  <c r="J22" i="115"/>
  <c r="I22" i="115"/>
  <c r="N22" i="115" s="1"/>
  <c r="L21" i="115"/>
  <c r="M21" i="115" s="1"/>
  <c r="J21" i="115"/>
  <c r="I21" i="115"/>
  <c r="N21" i="115" s="1"/>
  <c r="L16" i="115"/>
  <c r="M16" i="115" s="1"/>
  <c r="J16" i="115"/>
  <c r="I16" i="115"/>
  <c r="N16" i="115" s="1"/>
  <c r="L15" i="115"/>
  <c r="M15" i="115" s="1"/>
  <c r="J15" i="115"/>
  <c r="I15" i="115"/>
  <c r="N15" i="115" s="1"/>
  <c r="B12" i="115"/>
  <c r="A12" i="115"/>
  <c r="N7" i="115"/>
  <c r="M7" i="115"/>
  <c r="N6" i="115"/>
  <c r="N5" i="115"/>
  <c r="D5" i="115"/>
  <c r="N4" i="115"/>
  <c r="D4" i="115"/>
  <c r="L136" i="114"/>
  <c r="J136" i="114"/>
  <c r="I136" i="114"/>
  <c r="L135" i="114"/>
  <c r="J135" i="114"/>
  <c r="I135" i="114"/>
  <c r="H135" i="114"/>
  <c r="H136" i="114" s="1"/>
  <c r="L127" i="114"/>
  <c r="J127" i="114"/>
  <c r="K127" i="114" s="1"/>
  <c r="I127" i="114"/>
  <c r="N127" i="114" s="1"/>
  <c r="L126" i="114"/>
  <c r="J126" i="114"/>
  <c r="K126" i="114" s="1"/>
  <c r="I126" i="114"/>
  <c r="N126" i="114" s="1"/>
  <c r="L125" i="114"/>
  <c r="J125" i="114"/>
  <c r="K125" i="114" s="1"/>
  <c r="I125" i="114"/>
  <c r="N125" i="114" s="1"/>
  <c r="L124" i="114"/>
  <c r="J124" i="114"/>
  <c r="K124" i="114" s="1"/>
  <c r="I124" i="114"/>
  <c r="N124" i="114" s="1"/>
  <c r="L123" i="114"/>
  <c r="J123" i="114"/>
  <c r="K123" i="114" s="1"/>
  <c r="I123" i="114"/>
  <c r="N123" i="114" s="1"/>
  <c r="L122" i="114"/>
  <c r="M122" i="114" s="1"/>
  <c r="J122" i="114"/>
  <c r="K122" i="114" s="1"/>
  <c r="I122" i="114"/>
  <c r="N122" i="114" s="1"/>
  <c r="L121" i="114"/>
  <c r="M121" i="114" s="1"/>
  <c r="J121" i="114"/>
  <c r="K121" i="114" s="1"/>
  <c r="I121" i="114"/>
  <c r="N121" i="114" s="1"/>
  <c r="L120" i="114"/>
  <c r="M120" i="114" s="1"/>
  <c r="J120" i="114"/>
  <c r="K120" i="114" s="1"/>
  <c r="I120" i="114"/>
  <c r="N120" i="114" s="1"/>
  <c r="L119" i="114"/>
  <c r="M119" i="114" s="1"/>
  <c r="J119" i="114"/>
  <c r="K119" i="114" s="1"/>
  <c r="I119" i="114"/>
  <c r="N119" i="114" s="1"/>
  <c r="L114" i="114"/>
  <c r="J114" i="114"/>
  <c r="K114" i="114" s="1"/>
  <c r="I114" i="114"/>
  <c r="N114" i="114" s="1"/>
  <c r="L113" i="114"/>
  <c r="J113" i="114"/>
  <c r="K113" i="114" s="1"/>
  <c r="I113" i="114"/>
  <c r="N113" i="114" s="1"/>
  <c r="L112" i="114"/>
  <c r="J112" i="114"/>
  <c r="K112" i="114" s="1"/>
  <c r="I112" i="114"/>
  <c r="N112" i="114" s="1"/>
  <c r="L107" i="114"/>
  <c r="J107" i="114"/>
  <c r="K107" i="114" s="1"/>
  <c r="I107" i="114"/>
  <c r="N107" i="114" s="1"/>
  <c r="L106" i="114"/>
  <c r="J106" i="114"/>
  <c r="K106" i="114" s="1"/>
  <c r="I106" i="114"/>
  <c r="N106" i="114" s="1"/>
  <c r="L98" i="114"/>
  <c r="M98" i="114" s="1"/>
  <c r="J98" i="114"/>
  <c r="K98" i="114" s="1"/>
  <c r="I98" i="114"/>
  <c r="N98" i="114" s="1"/>
  <c r="N100" i="114" s="1"/>
  <c r="L93" i="114"/>
  <c r="M93" i="114" s="1"/>
  <c r="J93" i="114"/>
  <c r="K93" i="114" s="1"/>
  <c r="I93" i="114"/>
  <c r="N93" i="114" s="1"/>
  <c r="L92" i="114"/>
  <c r="M92" i="114" s="1"/>
  <c r="J92" i="114"/>
  <c r="K92" i="114" s="1"/>
  <c r="I92" i="114"/>
  <c r="N92" i="114" s="1"/>
  <c r="L84" i="114"/>
  <c r="J84" i="114"/>
  <c r="I84" i="114"/>
  <c r="H84" i="114"/>
  <c r="L79" i="114"/>
  <c r="M79" i="114" s="1"/>
  <c r="J79" i="114"/>
  <c r="K79" i="114" s="1"/>
  <c r="I79" i="114"/>
  <c r="N79" i="114" s="1"/>
  <c r="L74" i="114"/>
  <c r="M74" i="114" s="1"/>
  <c r="J74" i="114"/>
  <c r="K74" i="114" s="1"/>
  <c r="I74" i="114"/>
  <c r="N74" i="114" s="1"/>
  <c r="L69" i="114"/>
  <c r="M69" i="114" s="1"/>
  <c r="J69" i="114"/>
  <c r="K69" i="114" s="1"/>
  <c r="I69" i="114"/>
  <c r="N69" i="114" s="1"/>
  <c r="N71" i="114" s="1"/>
  <c r="L64" i="114"/>
  <c r="M64" i="114" s="1"/>
  <c r="J64" i="114"/>
  <c r="K64" i="114" s="1"/>
  <c r="I64" i="114"/>
  <c r="N64" i="114" s="1"/>
  <c r="N66" i="114" s="1"/>
  <c r="L56" i="114"/>
  <c r="J56" i="114"/>
  <c r="I56" i="114"/>
  <c r="L48" i="114"/>
  <c r="J48" i="114"/>
  <c r="I48" i="114"/>
  <c r="L43" i="114"/>
  <c r="J43" i="114"/>
  <c r="I43" i="114"/>
  <c r="L38" i="114"/>
  <c r="J38" i="114"/>
  <c r="I38" i="114"/>
  <c r="L33" i="114"/>
  <c r="J33" i="114"/>
  <c r="I33" i="114"/>
  <c r="L28" i="114"/>
  <c r="J28" i="114"/>
  <c r="I28" i="114"/>
  <c r="H28" i="114"/>
  <c r="H56" i="114" s="1"/>
  <c r="L20" i="114"/>
  <c r="J20" i="114"/>
  <c r="I20" i="114"/>
  <c r="H20" i="114"/>
  <c r="L14" i="114"/>
  <c r="M14" i="114" s="1"/>
  <c r="J14" i="114"/>
  <c r="K14" i="114" s="1"/>
  <c r="I14" i="114"/>
  <c r="N14" i="114" s="1"/>
  <c r="B11" i="114"/>
  <c r="A11" i="114"/>
  <c r="N7" i="114"/>
  <c r="M7" i="114"/>
  <c r="N6" i="114"/>
  <c r="N5" i="114"/>
  <c r="D5" i="114"/>
  <c r="N4" i="114"/>
  <c r="D4" i="114"/>
  <c r="N151" i="113"/>
  <c r="N153" i="113" s="1"/>
  <c r="M151" i="113"/>
  <c r="K151" i="113"/>
  <c r="L144" i="113"/>
  <c r="M144" i="113" s="1"/>
  <c r="J144" i="113"/>
  <c r="K144" i="113" s="1"/>
  <c r="I144" i="113"/>
  <c r="N144" i="113" s="1"/>
  <c r="N146" i="113" s="1"/>
  <c r="L136" i="113"/>
  <c r="J136" i="113"/>
  <c r="I136" i="113"/>
  <c r="H136" i="113"/>
  <c r="L128" i="113"/>
  <c r="M128" i="113" s="1"/>
  <c r="J128" i="113"/>
  <c r="K128" i="113" s="1"/>
  <c r="I128" i="113"/>
  <c r="N128" i="113" s="1"/>
  <c r="N130" i="113" s="1"/>
  <c r="L123" i="113"/>
  <c r="M123" i="113" s="1"/>
  <c r="J123" i="113"/>
  <c r="K123" i="113" s="1"/>
  <c r="I123" i="113"/>
  <c r="N123" i="113" s="1"/>
  <c r="L122" i="113"/>
  <c r="J122" i="113"/>
  <c r="K122" i="113" s="1"/>
  <c r="I122" i="113"/>
  <c r="N122" i="113" s="1"/>
  <c r="L117" i="113"/>
  <c r="J117" i="113"/>
  <c r="I117" i="113"/>
  <c r="H117" i="113"/>
  <c r="L112" i="113"/>
  <c r="M112" i="113" s="1"/>
  <c r="J112" i="113"/>
  <c r="K112" i="113" s="1"/>
  <c r="I112" i="113"/>
  <c r="N112" i="113" s="1"/>
  <c r="N114" i="113" s="1"/>
  <c r="L107" i="113"/>
  <c r="M107" i="113" s="1"/>
  <c r="J107" i="113"/>
  <c r="K107" i="113" s="1"/>
  <c r="I107" i="113"/>
  <c r="N107" i="113" s="1"/>
  <c r="L102" i="113"/>
  <c r="M102" i="113" s="1"/>
  <c r="J102" i="113"/>
  <c r="K102" i="113" s="1"/>
  <c r="I102" i="113"/>
  <c r="N102" i="113" s="1"/>
  <c r="L101" i="113"/>
  <c r="M101" i="113" s="1"/>
  <c r="J101" i="113"/>
  <c r="K101" i="113" s="1"/>
  <c r="I101" i="113"/>
  <c r="N101" i="113" s="1"/>
  <c r="L96" i="113"/>
  <c r="M96" i="113" s="1"/>
  <c r="J96" i="113"/>
  <c r="K96" i="113" s="1"/>
  <c r="I96" i="113"/>
  <c r="N96" i="113" s="1"/>
  <c r="L91" i="113"/>
  <c r="M91" i="113" s="1"/>
  <c r="J91" i="113"/>
  <c r="K91" i="113" s="1"/>
  <c r="I91" i="113"/>
  <c r="N91" i="113" s="1"/>
  <c r="L86" i="113"/>
  <c r="J86" i="113"/>
  <c r="K86" i="113" s="1"/>
  <c r="I86" i="113"/>
  <c r="N86" i="113" s="1"/>
  <c r="K81" i="113"/>
  <c r="L73" i="113"/>
  <c r="J73" i="113"/>
  <c r="I73" i="113"/>
  <c r="H73" i="113"/>
  <c r="L65" i="113"/>
  <c r="M65" i="113" s="1"/>
  <c r="J65" i="113"/>
  <c r="K65" i="113" s="1"/>
  <c r="I65" i="113"/>
  <c r="N65" i="113" s="1"/>
  <c r="L64" i="113"/>
  <c r="M64" i="113" s="1"/>
  <c r="J64" i="113"/>
  <c r="K64" i="113" s="1"/>
  <c r="I64" i="113"/>
  <c r="N64" i="113" s="1"/>
  <c r="L56" i="113"/>
  <c r="J56" i="113"/>
  <c r="I56" i="113"/>
  <c r="L51" i="113"/>
  <c r="J51" i="113"/>
  <c r="I51" i="113"/>
  <c r="H51" i="113"/>
  <c r="L46" i="113"/>
  <c r="J46" i="113"/>
  <c r="I46" i="113"/>
  <c r="H46" i="113"/>
  <c r="L45" i="113"/>
  <c r="J45" i="113"/>
  <c r="I45" i="113"/>
  <c r="H45" i="113"/>
  <c r="L40" i="113"/>
  <c r="J40" i="113"/>
  <c r="K40" i="113" s="1"/>
  <c r="I40" i="113"/>
  <c r="N40" i="113" s="1"/>
  <c r="L39" i="113"/>
  <c r="J39" i="113"/>
  <c r="K39" i="113" s="1"/>
  <c r="I39" i="113"/>
  <c r="N39" i="113" s="1"/>
  <c r="L34" i="113"/>
  <c r="J34" i="113"/>
  <c r="K34" i="113" s="1"/>
  <c r="I34" i="113"/>
  <c r="N34" i="113" s="1"/>
  <c r="L33" i="113"/>
  <c r="J33" i="113"/>
  <c r="K33" i="113" s="1"/>
  <c r="I33" i="113"/>
  <c r="N33" i="113" s="1"/>
  <c r="L24" i="113"/>
  <c r="J24" i="113"/>
  <c r="K24" i="113" s="1"/>
  <c r="I24" i="113"/>
  <c r="N24" i="113" s="1"/>
  <c r="L19" i="113"/>
  <c r="J19" i="113"/>
  <c r="I19" i="113"/>
  <c r="H19" i="113"/>
  <c r="L14" i="113"/>
  <c r="M14" i="113" s="1"/>
  <c r="J14" i="113"/>
  <c r="K14" i="113" s="1"/>
  <c r="I14" i="113"/>
  <c r="N14" i="113" s="1"/>
  <c r="B11" i="113"/>
  <c r="A11" i="113"/>
  <c r="N7" i="113"/>
  <c r="M7" i="113"/>
  <c r="N6" i="113"/>
  <c r="N5" i="113"/>
  <c r="D5" i="113"/>
  <c r="N4" i="113"/>
  <c r="D4" i="113"/>
  <c r="N49" i="112"/>
  <c r="M49" i="112"/>
  <c r="K49" i="112"/>
  <c r="L48" i="112"/>
  <c r="M48" i="112" s="1"/>
  <c r="J48" i="112"/>
  <c r="K48" i="112" s="1"/>
  <c r="I48" i="112"/>
  <c r="N48" i="112" s="1"/>
  <c r="L47" i="112"/>
  <c r="M47" i="112" s="1"/>
  <c r="J47" i="112"/>
  <c r="K47" i="112" s="1"/>
  <c r="I47" i="112"/>
  <c r="N47" i="112" s="1"/>
  <c r="L46" i="112"/>
  <c r="M46" i="112" s="1"/>
  <c r="J46" i="112"/>
  <c r="K46" i="112" s="1"/>
  <c r="I46" i="112"/>
  <c r="N46" i="112" s="1"/>
  <c r="L45" i="112"/>
  <c r="M45" i="112" s="1"/>
  <c r="J45" i="112"/>
  <c r="K45" i="112" s="1"/>
  <c r="I45" i="112"/>
  <c r="N45" i="112" s="1"/>
  <c r="L44" i="112"/>
  <c r="M44" i="112" s="1"/>
  <c r="J44" i="112"/>
  <c r="K44" i="112" s="1"/>
  <c r="I44" i="112"/>
  <c r="N44" i="112" s="1"/>
  <c r="L39" i="112"/>
  <c r="M39" i="112" s="1"/>
  <c r="J39" i="112"/>
  <c r="K39" i="112" s="1"/>
  <c r="I39" i="112"/>
  <c r="N39" i="112" s="1"/>
  <c r="L38" i="112"/>
  <c r="M38" i="112" s="1"/>
  <c r="J38" i="112"/>
  <c r="K38" i="112" s="1"/>
  <c r="I38" i="112"/>
  <c r="N38" i="112" s="1"/>
  <c r="L33" i="112"/>
  <c r="M33" i="112" s="1"/>
  <c r="J33" i="112"/>
  <c r="K33" i="112" s="1"/>
  <c r="I33" i="112"/>
  <c r="N33" i="112" s="1"/>
  <c r="L32" i="112"/>
  <c r="M32" i="112" s="1"/>
  <c r="J32" i="112"/>
  <c r="K32" i="112" s="1"/>
  <c r="I32" i="112"/>
  <c r="N32" i="112" s="1"/>
  <c r="L24" i="112"/>
  <c r="M24" i="112" s="1"/>
  <c r="J24" i="112"/>
  <c r="K24" i="112" s="1"/>
  <c r="I24" i="112"/>
  <c r="N24" i="112" s="1"/>
  <c r="L23" i="112"/>
  <c r="M23" i="112" s="1"/>
  <c r="J23" i="112"/>
  <c r="K23" i="112" s="1"/>
  <c r="I23" i="112"/>
  <c r="N23" i="112" s="1"/>
  <c r="L22" i="112"/>
  <c r="M22" i="112" s="1"/>
  <c r="J22" i="112"/>
  <c r="K22" i="112" s="1"/>
  <c r="I22" i="112"/>
  <c r="N22" i="112" s="1"/>
  <c r="L14" i="112"/>
  <c r="J14" i="112"/>
  <c r="K14" i="112" s="1"/>
  <c r="I14" i="112"/>
  <c r="N14" i="112" s="1"/>
  <c r="B11" i="112"/>
  <c r="A11" i="112"/>
  <c r="N7" i="112"/>
  <c r="M7" i="112"/>
  <c r="N6" i="112"/>
  <c r="N5" i="112"/>
  <c r="D5" i="112"/>
  <c r="N4" i="112"/>
  <c r="D4" i="112"/>
  <c r="I58" i="83"/>
  <c r="I60" i="82"/>
  <c r="I55" i="82"/>
  <c r="I50" i="82"/>
  <c r="I42" i="82"/>
  <c r="I37" i="82"/>
  <c r="I32" i="82"/>
  <c r="I27" i="82"/>
  <c r="I21" i="82"/>
  <c r="I20" i="82"/>
  <c r="I15" i="82"/>
  <c r="I14" i="82"/>
  <c r="I216" i="81"/>
  <c r="I210" i="81"/>
  <c r="I205" i="81"/>
  <c r="I204" i="81"/>
  <c r="I199" i="81"/>
  <c r="I189" i="81"/>
  <c r="I188" i="81"/>
  <c r="I183" i="81"/>
  <c r="I178" i="81"/>
  <c r="I177" i="81"/>
  <c r="I164" i="81"/>
  <c r="I163" i="81"/>
  <c r="I162" i="81"/>
  <c r="I161" i="81"/>
  <c r="I160" i="81"/>
  <c r="I159" i="81"/>
  <c r="I158" i="81"/>
  <c r="I157" i="81"/>
  <c r="I152" i="81"/>
  <c r="I151" i="81"/>
  <c r="I150" i="81"/>
  <c r="I149" i="81"/>
  <c r="I148" i="81"/>
  <c r="I147" i="81"/>
  <c r="I146" i="81"/>
  <c r="I141" i="81"/>
  <c r="I140" i="81"/>
  <c r="I139" i="81"/>
  <c r="I138" i="81"/>
  <c r="I137" i="81"/>
  <c r="I136" i="81"/>
  <c r="I135" i="81"/>
  <c r="I134" i="81"/>
  <c r="I133" i="81"/>
  <c r="I128" i="81"/>
  <c r="I127" i="81"/>
  <c r="I126" i="81"/>
  <c r="I125" i="81"/>
  <c r="I124" i="81"/>
  <c r="I123" i="81"/>
  <c r="I122" i="81"/>
  <c r="I121" i="81"/>
  <c r="I120" i="81"/>
  <c r="I119" i="81"/>
  <c r="I118" i="81"/>
  <c r="I117" i="81"/>
  <c r="I116" i="81"/>
  <c r="I115" i="81"/>
  <c r="I114" i="81"/>
  <c r="I113" i="81"/>
  <c r="I108" i="81"/>
  <c r="I107" i="81"/>
  <c r="I106" i="81"/>
  <c r="I105" i="81"/>
  <c r="I100" i="81"/>
  <c r="I95" i="81"/>
  <c r="I90" i="81"/>
  <c r="I89" i="81"/>
  <c r="I84" i="81"/>
  <c r="I83" i="81"/>
  <c r="I82" i="81"/>
  <c r="I81" i="81"/>
  <c r="I80" i="81"/>
  <c r="I79" i="81"/>
  <c r="I74" i="81"/>
  <c r="I73" i="81"/>
  <c r="I72" i="81"/>
  <c r="I71" i="81"/>
  <c r="I70" i="81"/>
  <c r="I69" i="81"/>
  <c r="I68" i="81"/>
  <c r="I60" i="81"/>
  <c r="I49" i="81"/>
  <c r="I48" i="81"/>
  <c r="I47" i="81"/>
  <c r="I46" i="81"/>
  <c r="I41" i="81"/>
  <c r="I40" i="81"/>
  <c r="I39" i="81"/>
  <c r="I38" i="81"/>
  <c r="I37" i="81"/>
  <c r="I32" i="81"/>
  <c r="I31" i="81"/>
  <c r="I30" i="81"/>
  <c r="I29" i="81"/>
  <c r="I28" i="81"/>
  <c r="I23" i="81"/>
  <c r="I22" i="81"/>
  <c r="I21" i="81"/>
  <c r="I16" i="81"/>
  <c r="I15" i="81"/>
  <c r="I136" i="79"/>
  <c r="I135" i="79"/>
  <c r="I127" i="79"/>
  <c r="I126" i="79"/>
  <c r="I125" i="79"/>
  <c r="I124" i="79"/>
  <c r="I123" i="79"/>
  <c r="I122" i="79"/>
  <c r="I121" i="79"/>
  <c r="I120" i="79"/>
  <c r="J119" i="79"/>
  <c r="I119" i="79"/>
  <c r="I114" i="79"/>
  <c r="I113" i="79"/>
  <c r="I112" i="79"/>
  <c r="I107" i="79"/>
  <c r="I106" i="79"/>
  <c r="I98" i="79"/>
  <c r="I93" i="79"/>
  <c r="I92" i="79"/>
  <c r="I84" i="79"/>
  <c r="I79" i="79"/>
  <c r="I74" i="79"/>
  <c r="I69" i="79"/>
  <c r="I64" i="79"/>
  <c r="I56" i="79"/>
  <c r="I48" i="79"/>
  <c r="I43" i="79"/>
  <c r="I38" i="79"/>
  <c r="I33" i="79"/>
  <c r="I28" i="79"/>
  <c r="I20" i="79"/>
  <c r="I14" i="79"/>
  <c r="L144" i="80"/>
  <c r="L136" i="80"/>
  <c r="L128" i="80"/>
  <c r="L123" i="80"/>
  <c r="L122" i="80"/>
  <c r="L117" i="80"/>
  <c r="L112" i="80"/>
  <c r="L107" i="80"/>
  <c r="L102" i="80"/>
  <c r="L101" i="80"/>
  <c r="L96" i="80"/>
  <c r="L91" i="80"/>
  <c r="L86" i="80"/>
  <c r="L73" i="80"/>
  <c r="L65" i="80"/>
  <c r="L64" i="80"/>
  <c r="L56" i="80"/>
  <c r="L51" i="80"/>
  <c r="L46" i="80"/>
  <c r="L45" i="80"/>
  <c r="L40" i="80"/>
  <c r="L39" i="80"/>
  <c r="L34" i="80"/>
  <c r="L33" i="80"/>
  <c r="L24" i="80"/>
  <c r="L19" i="80"/>
  <c r="L14" i="80"/>
  <c r="J144" i="80"/>
  <c r="J136" i="80"/>
  <c r="J128" i="80"/>
  <c r="J123" i="80"/>
  <c r="J122" i="80"/>
  <c r="J117" i="80"/>
  <c r="J112" i="80"/>
  <c r="J107" i="80"/>
  <c r="J102" i="80"/>
  <c r="J101" i="80"/>
  <c r="J96" i="80"/>
  <c r="J91" i="80"/>
  <c r="J86" i="80"/>
  <c r="J73" i="80"/>
  <c r="J65" i="80"/>
  <c r="J64" i="80"/>
  <c r="J56" i="80"/>
  <c r="J51" i="80"/>
  <c r="J46" i="80"/>
  <c r="J45" i="80"/>
  <c r="J40" i="80"/>
  <c r="J39" i="80"/>
  <c r="J34" i="80"/>
  <c r="J33" i="80"/>
  <c r="J24" i="80"/>
  <c r="J19" i="80"/>
  <c r="J14" i="80"/>
  <c r="I144" i="80"/>
  <c r="I136" i="80"/>
  <c r="I128" i="80"/>
  <c r="I123" i="80"/>
  <c r="I122" i="80"/>
  <c r="I117" i="80"/>
  <c r="I112" i="80"/>
  <c r="I107" i="80"/>
  <c r="I102" i="80"/>
  <c r="I101" i="80"/>
  <c r="I96" i="80"/>
  <c r="I91" i="80"/>
  <c r="I86" i="80"/>
  <c r="I73" i="80"/>
  <c r="I65" i="80"/>
  <c r="I64" i="80"/>
  <c r="I56" i="80"/>
  <c r="I51" i="80"/>
  <c r="I46" i="80"/>
  <c r="I45" i="80"/>
  <c r="I40" i="80"/>
  <c r="I39" i="80"/>
  <c r="I34" i="80"/>
  <c r="I33" i="80"/>
  <c r="I24" i="80"/>
  <c r="I19" i="80"/>
  <c r="I14" i="80"/>
  <c r="I27" i="61"/>
  <c r="I14" i="61"/>
  <c r="I19" i="61"/>
  <c r="L134" i="81"/>
  <c r="L21" i="81"/>
  <c r="L122" i="81"/>
  <c r="L113" i="81"/>
  <c r="L44" i="78"/>
  <c r="L39" i="78"/>
  <c r="L38" i="78"/>
  <c r="L33" i="78"/>
  <c r="L32" i="78"/>
  <c r="L24" i="78"/>
  <c r="L23" i="78"/>
  <c r="L22" i="78"/>
  <c r="L14" i="78"/>
  <c r="J44" i="78"/>
  <c r="J39" i="78"/>
  <c r="J38" i="78"/>
  <c r="J33" i="78"/>
  <c r="J32" i="78"/>
  <c r="J24" i="78"/>
  <c r="J23" i="78"/>
  <c r="J22" i="78"/>
  <c r="J14" i="78"/>
  <c r="I44" i="78"/>
  <c r="I39" i="78"/>
  <c r="I38" i="78"/>
  <c r="I33" i="78"/>
  <c r="I32" i="78"/>
  <c r="I24" i="78"/>
  <c r="I23" i="78"/>
  <c r="I22" i="78"/>
  <c r="I14" i="78"/>
  <c r="N20" i="114" l="1"/>
  <c r="O23" i="124"/>
  <c r="N238" i="115"/>
  <c r="N117" i="113"/>
  <c r="N119" i="113" s="1"/>
  <c r="N45" i="113"/>
  <c r="N51" i="113"/>
  <c r="N53" i="113" s="1"/>
  <c r="O51" i="113" s="1"/>
  <c r="N28" i="114"/>
  <c r="N30" i="114" s="1"/>
  <c r="N84" i="114"/>
  <c r="N86" i="114" s="1"/>
  <c r="O22" i="124"/>
  <c r="O99" i="123"/>
  <c r="O34" i="121"/>
  <c r="O99" i="125"/>
  <c r="H28" i="118"/>
  <c r="N28" i="118" s="1"/>
  <c r="N30" i="118" s="1"/>
  <c r="O28" i="118" s="1"/>
  <c r="M118" i="123"/>
  <c r="H56" i="84"/>
  <c r="N14" i="118"/>
  <c r="N17" i="118" s="1"/>
  <c r="O14" i="118" s="1"/>
  <c r="K117" i="113"/>
  <c r="K14" i="118"/>
  <c r="N19" i="113"/>
  <c r="O92" i="123"/>
  <c r="N95" i="114"/>
  <c r="M117" i="113"/>
  <c r="O20" i="125"/>
  <c r="N67" i="113"/>
  <c r="O65" i="113" s="1"/>
  <c r="N25" i="115"/>
  <c r="O22" i="115" s="1"/>
  <c r="O20" i="121"/>
  <c r="O73" i="123"/>
  <c r="N80" i="121"/>
  <c r="O78" i="121" s="1"/>
  <c r="M118" i="121"/>
  <c r="M118" i="125"/>
  <c r="N52" i="121"/>
  <c r="O70" i="121"/>
  <c r="K51" i="121"/>
  <c r="K118" i="121" s="1"/>
  <c r="N51" i="121"/>
  <c r="O93" i="121"/>
  <c r="O92" i="121"/>
  <c r="O46" i="121"/>
  <c r="O98" i="121"/>
  <c r="O73" i="125"/>
  <c r="O17" i="121"/>
  <c r="O22" i="121"/>
  <c r="O92" i="125"/>
  <c r="N86" i="123"/>
  <c r="N36" i="123"/>
  <c r="O33" i="123" s="1"/>
  <c r="O45" i="123"/>
  <c r="N48" i="125"/>
  <c r="O46" i="125" s="1"/>
  <c r="O40" i="125"/>
  <c r="N29" i="123"/>
  <c r="O22" i="123" s="1"/>
  <c r="N88" i="121"/>
  <c r="N52" i="125"/>
  <c r="K52" i="125"/>
  <c r="O39" i="125"/>
  <c r="N114" i="125"/>
  <c r="N22" i="126"/>
  <c r="M22" i="126"/>
  <c r="M29" i="126" s="1"/>
  <c r="N106" i="123"/>
  <c r="O104" i="123" s="1"/>
  <c r="N59" i="125"/>
  <c r="O57" i="125" s="1"/>
  <c r="N114" i="123"/>
  <c r="O112" i="123" s="1"/>
  <c r="N88" i="125"/>
  <c r="O86" i="125" s="1"/>
  <c r="N18" i="126"/>
  <c r="O16" i="126" s="1"/>
  <c r="N62" i="125"/>
  <c r="K62" i="125"/>
  <c r="K51" i="123"/>
  <c r="K118" i="123" s="1"/>
  <c r="N51" i="123"/>
  <c r="N51" i="125"/>
  <c r="K51" i="125"/>
  <c r="N108" i="121"/>
  <c r="N36" i="125"/>
  <c r="O33" i="125" s="1"/>
  <c r="N18" i="124"/>
  <c r="O16" i="124" s="1"/>
  <c r="N106" i="125"/>
  <c r="O104" i="125" s="1"/>
  <c r="N29" i="125"/>
  <c r="O27" i="125" s="1"/>
  <c r="N16" i="122"/>
  <c r="O14" i="122" s="1"/>
  <c r="N62" i="115"/>
  <c r="O60" i="115" s="1"/>
  <c r="N260" i="115"/>
  <c r="O257" i="115" s="1"/>
  <c r="K56" i="114"/>
  <c r="N244" i="115"/>
  <c r="O241" i="115" s="1"/>
  <c r="N46" i="113"/>
  <c r="N166" i="115"/>
  <c r="O159" i="115" s="1"/>
  <c r="M84" i="114"/>
  <c r="K73" i="113"/>
  <c r="N57" i="115"/>
  <c r="O54" i="115" s="1"/>
  <c r="N136" i="113"/>
  <c r="N138" i="113" s="1"/>
  <c r="O136" i="113" s="1"/>
  <c r="N125" i="113"/>
  <c r="O122" i="113" s="1"/>
  <c r="I13" i="120"/>
  <c r="N13" i="120" s="1"/>
  <c r="N15" i="120" s="1"/>
  <c r="O13" i="120" s="1"/>
  <c r="M51" i="119"/>
  <c r="N24" i="117"/>
  <c r="O21" i="117" s="1"/>
  <c r="M64" i="117"/>
  <c r="N24" i="116"/>
  <c r="O22" i="116" s="1"/>
  <c r="M264" i="115"/>
  <c r="N56" i="114"/>
  <c r="N58" i="114" s="1"/>
  <c r="N60" i="114" s="1"/>
  <c r="O58" i="114" s="1"/>
  <c r="H33" i="114"/>
  <c r="N73" i="113"/>
  <c r="N75" i="113" s="1"/>
  <c r="M55" i="112"/>
  <c r="N47" i="119"/>
  <c r="O37" i="119" s="1"/>
  <c r="K20" i="118"/>
  <c r="N20" i="118"/>
  <c r="H64" i="118"/>
  <c r="N60" i="117"/>
  <c r="O58" i="117" s="1"/>
  <c r="N52" i="117"/>
  <c r="O29" i="117" s="1"/>
  <c r="O15" i="117"/>
  <c r="N34" i="116"/>
  <c r="O32" i="116" s="1"/>
  <c r="N17" i="116"/>
  <c r="O15" i="116" s="1"/>
  <c r="N39" i="116"/>
  <c r="O37" i="116" s="1"/>
  <c r="K66" i="116"/>
  <c r="M66" i="116"/>
  <c r="N29" i="116"/>
  <c r="O27" i="116" s="1"/>
  <c r="N44" i="116"/>
  <c r="O42" i="116" s="1"/>
  <c r="O50" i="116"/>
  <c r="N62" i="116"/>
  <c r="O60" i="116" s="1"/>
  <c r="N57" i="116"/>
  <c r="O55" i="116" s="1"/>
  <c r="N86" i="115"/>
  <c r="O84" i="115" s="1"/>
  <c r="N212" i="115"/>
  <c r="O210" i="115" s="1"/>
  <c r="N130" i="115"/>
  <c r="O128" i="115" s="1"/>
  <c r="N207" i="115"/>
  <c r="N18" i="115"/>
  <c r="O16" i="115" s="1"/>
  <c r="N143" i="115"/>
  <c r="O133" i="115" s="1"/>
  <c r="N218" i="115"/>
  <c r="O216" i="115" s="1"/>
  <c r="N92" i="115"/>
  <c r="N34" i="115"/>
  <c r="O28" i="115" s="1"/>
  <c r="N154" i="115"/>
  <c r="O151" i="115" s="1"/>
  <c r="O235" i="115"/>
  <c r="N262" i="115"/>
  <c r="O251" i="115"/>
  <c r="N43" i="115"/>
  <c r="O37" i="115" s="1"/>
  <c r="N110" i="115"/>
  <c r="O107" i="115" s="1"/>
  <c r="N51" i="115"/>
  <c r="N193" i="115"/>
  <c r="N201" i="115"/>
  <c r="O236" i="115"/>
  <c r="O258" i="115"/>
  <c r="N76" i="115"/>
  <c r="O71" i="115" s="1"/>
  <c r="N227" i="115"/>
  <c r="O169" i="115"/>
  <c r="O183" i="115"/>
  <c r="N180" i="115"/>
  <c r="O177" i="115" s="1"/>
  <c r="O95" i="115"/>
  <c r="O100" i="115"/>
  <c r="O249" i="115"/>
  <c r="O230" i="115"/>
  <c r="N81" i="114"/>
  <c r="O79" i="114" s="1"/>
  <c r="N109" i="114"/>
  <c r="O107" i="114" s="1"/>
  <c r="K136" i="114"/>
  <c r="M136" i="114"/>
  <c r="M142" i="114" s="1"/>
  <c r="N136" i="114"/>
  <c r="N17" i="114"/>
  <c r="O14" i="114" s="1"/>
  <c r="O69" i="114"/>
  <c r="N102" i="114"/>
  <c r="O95" i="114" s="1"/>
  <c r="N76" i="114"/>
  <c r="O74" i="114" s="1"/>
  <c r="N22" i="114"/>
  <c r="O20" i="114" s="1"/>
  <c r="O93" i="114"/>
  <c r="K20" i="114"/>
  <c r="O64" i="114"/>
  <c r="O92" i="114"/>
  <c r="O98" i="114"/>
  <c r="K135" i="114"/>
  <c r="N129" i="114"/>
  <c r="O127" i="114" s="1"/>
  <c r="N135" i="114"/>
  <c r="N116" i="114"/>
  <c r="K84" i="114"/>
  <c r="K28" i="114"/>
  <c r="N93" i="113"/>
  <c r="N21" i="113"/>
  <c r="N42" i="113"/>
  <c r="O39" i="113" s="1"/>
  <c r="N104" i="113"/>
  <c r="N148" i="113"/>
  <c r="O146" i="113" s="1"/>
  <c r="N98" i="113"/>
  <c r="O96" i="113" s="1"/>
  <c r="N16" i="113"/>
  <c r="N26" i="113"/>
  <c r="N88" i="113"/>
  <c r="O86" i="113" s="1"/>
  <c r="N155" i="113"/>
  <c r="O153" i="113" s="1"/>
  <c r="N36" i="113"/>
  <c r="N109" i="113"/>
  <c r="O112" i="113"/>
  <c r="O144" i="113"/>
  <c r="O151" i="113"/>
  <c r="K45" i="113"/>
  <c r="K51" i="113"/>
  <c r="M81" i="113"/>
  <c r="O128" i="113"/>
  <c r="K136" i="113"/>
  <c r="K46" i="113"/>
  <c r="K19" i="113"/>
  <c r="H56" i="113"/>
  <c r="N81" i="113"/>
  <c r="M136" i="113"/>
  <c r="N16" i="112"/>
  <c r="O14" i="112" s="1"/>
  <c r="N35" i="112"/>
  <c r="K55" i="112"/>
  <c r="N26" i="112"/>
  <c r="O23" i="112" s="1"/>
  <c r="N51" i="112"/>
  <c r="O44" i="112" s="1"/>
  <c r="N41" i="112"/>
  <c r="O38" i="112" s="1"/>
  <c r="O255" i="115" l="1"/>
  <c r="O73" i="121"/>
  <c r="O117" i="113"/>
  <c r="O84" i="114"/>
  <c r="O252" i="115"/>
  <c r="O253" i="115"/>
  <c r="O22" i="117"/>
  <c r="N48" i="113"/>
  <c r="O45" i="113" s="1"/>
  <c r="N246" i="115"/>
  <c r="O232" i="115" s="1"/>
  <c r="O21" i="115"/>
  <c r="O23" i="115"/>
  <c r="O108" i="115"/>
  <c r="H56" i="118"/>
  <c r="N56" i="118" s="1"/>
  <c r="N58" i="118" s="1"/>
  <c r="N60" i="118" s="1"/>
  <c r="K28" i="118"/>
  <c r="H33" i="118"/>
  <c r="N33" i="118" s="1"/>
  <c r="O134" i="115"/>
  <c r="O115" i="115"/>
  <c r="O224" i="115"/>
  <c r="O113" i="115"/>
  <c r="N54" i="121"/>
  <c r="N66" i="121" s="1"/>
  <c r="O27" i="123"/>
  <c r="O157" i="115"/>
  <c r="O163" i="115"/>
  <c r="O21" i="116"/>
  <c r="O161" i="115"/>
  <c r="O162" i="115"/>
  <c r="O164" i="115"/>
  <c r="N69" i="113"/>
  <c r="O67" i="113" s="1"/>
  <c r="O105" i="115"/>
  <c r="O20" i="117"/>
  <c r="K118" i="125"/>
  <c r="O64" i="113"/>
  <c r="O160" i="115"/>
  <c r="O158" i="115"/>
  <c r="O17" i="123"/>
  <c r="O93" i="125"/>
  <c r="N116" i="123"/>
  <c r="O114" i="123" s="1"/>
  <c r="O95" i="121"/>
  <c r="O106" i="121"/>
  <c r="N54" i="125"/>
  <c r="O51" i="125" s="1"/>
  <c r="N108" i="123"/>
  <c r="O45" i="125"/>
  <c r="N116" i="125"/>
  <c r="O114" i="125" s="1"/>
  <c r="O34" i="125"/>
  <c r="N29" i="124"/>
  <c r="O27" i="124" s="1"/>
  <c r="O22" i="125"/>
  <c r="O101" i="121"/>
  <c r="O86" i="121"/>
  <c r="O34" i="123"/>
  <c r="N88" i="123"/>
  <c r="O86" i="123" s="1"/>
  <c r="N18" i="122"/>
  <c r="N64" i="125"/>
  <c r="O17" i="125"/>
  <c r="N25" i="126"/>
  <c r="O23" i="126" s="1"/>
  <c r="N108" i="125"/>
  <c r="O106" i="125" s="1"/>
  <c r="N54" i="123"/>
  <c r="O51" i="123" s="1"/>
  <c r="O112" i="125"/>
  <c r="O84" i="123"/>
  <c r="M157" i="113"/>
  <c r="O35" i="117"/>
  <c r="O56" i="114"/>
  <c r="O256" i="115"/>
  <c r="O119" i="115"/>
  <c r="O55" i="115"/>
  <c r="O15" i="115"/>
  <c r="O242" i="115"/>
  <c r="O254" i="115"/>
  <c r="O70" i="115"/>
  <c r="O20" i="116"/>
  <c r="O250" i="115"/>
  <c r="O28" i="117"/>
  <c r="O123" i="113"/>
  <c r="O29" i="119"/>
  <c r="O30" i="119"/>
  <c r="O34" i="119"/>
  <c r="O22" i="119"/>
  <c r="O21" i="119"/>
  <c r="O33" i="119"/>
  <c r="O19" i="119"/>
  <c r="O15" i="119"/>
  <c r="O26" i="119"/>
  <c r="O42" i="119"/>
  <c r="O41" i="119"/>
  <c r="O44" i="119"/>
  <c r="O43" i="119"/>
  <c r="O35" i="119"/>
  <c r="O31" i="119"/>
  <c r="O36" i="119"/>
  <c r="O39" i="119"/>
  <c r="O28" i="119"/>
  <c r="O24" i="119"/>
  <c r="O27" i="119"/>
  <c r="O32" i="119"/>
  <c r="O18" i="119"/>
  <c r="O45" i="119"/>
  <c r="O20" i="119"/>
  <c r="O23" i="119"/>
  <c r="O42" i="117"/>
  <c r="O34" i="117"/>
  <c r="O31" i="117"/>
  <c r="O50" i="117"/>
  <c r="O39" i="117"/>
  <c r="O40" i="117"/>
  <c r="O140" i="115"/>
  <c r="O135" i="115"/>
  <c r="O137" i="115"/>
  <c r="O138" i="115"/>
  <c r="O139" i="115"/>
  <c r="O117" i="115"/>
  <c r="O121" i="115"/>
  <c r="O124" i="115"/>
  <c r="O114" i="115"/>
  <c r="O118" i="115"/>
  <c r="O116" i="115"/>
  <c r="O126" i="115"/>
  <c r="O125" i="115"/>
  <c r="O120" i="115"/>
  <c r="O122" i="115"/>
  <c r="O81" i="115"/>
  <c r="O80" i="115"/>
  <c r="O83" i="115"/>
  <c r="O82" i="115"/>
  <c r="O30" i="115"/>
  <c r="O126" i="114"/>
  <c r="O124" i="114"/>
  <c r="H38" i="114"/>
  <c r="N33" i="114"/>
  <c r="K33" i="114"/>
  <c r="H43" i="114"/>
  <c r="O40" i="113"/>
  <c r="O73" i="113"/>
  <c r="O45" i="112"/>
  <c r="O47" i="112"/>
  <c r="O48" i="112"/>
  <c r="O22" i="112"/>
  <c r="O24" i="112"/>
  <c r="N17" i="120"/>
  <c r="O15" i="120" s="1"/>
  <c r="O38" i="119"/>
  <c r="O14" i="119"/>
  <c r="O40" i="119"/>
  <c r="O16" i="119"/>
  <c r="N49" i="119"/>
  <c r="O17" i="119"/>
  <c r="O25" i="119"/>
  <c r="N22" i="118"/>
  <c r="K64" i="118"/>
  <c r="N64" i="118"/>
  <c r="H77" i="118"/>
  <c r="O30" i="117"/>
  <c r="O49" i="117"/>
  <c r="O47" i="117"/>
  <c r="O45" i="117"/>
  <c r="O43" i="117"/>
  <c r="O41" i="117"/>
  <c r="O27" i="117"/>
  <c r="O36" i="117"/>
  <c r="O37" i="117"/>
  <c r="O32" i="117"/>
  <c r="N54" i="117"/>
  <c r="O52" i="117" s="1"/>
  <c r="O33" i="117"/>
  <c r="O46" i="117"/>
  <c r="O44" i="117"/>
  <c r="O48" i="117"/>
  <c r="N62" i="117"/>
  <c r="O60" i="117" s="1"/>
  <c r="O38" i="117"/>
  <c r="M71" i="116"/>
  <c r="N46" i="116"/>
  <c r="O39" i="116" s="1"/>
  <c r="N64" i="116"/>
  <c r="O62" i="116" s="1"/>
  <c r="O14" i="116"/>
  <c r="O238" i="115"/>
  <c r="O106" i="115"/>
  <c r="O148" i="115"/>
  <c r="O89" i="115"/>
  <c r="N220" i="115"/>
  <c r="O150" i="115"/>
  <c r="O74" i="115"/>
  <c r="O73" i="115"/>
  <c r="O204" i="115"/>
  <c r="O90" i="115"/>
  <c r="O38" i="115"/>
  <c r="O199" i="115"/>
  <c r="O46" i="115"/>
  <c r="O152" i="115"/>
  <c r="O49" i="115"/>
  <c r="O149" i="115"/>
  <c r="N173" i="115"/>
  <c r="O92" i="115" s="1"/>
  <c r="O188" i="115"/>
  <c r="O39" i="115"/>
  <c r="O146" i="115"/>
  <c r="O41" i="115"/>
  <c r="O68" i="115"/>
  <c r="O147" i="115"/>
  <c r="O79" i="115"/>
  <c r="O191" i="115"/>
  <c r="O205" i="115"/>
  <c r="O40" i="115"/>
  <c r="O141" i="115"/>
  <c r="O47" i="115"/>
  <c r="O72" i="115"/>
  <c r="O225" i="115"/>
  <c r="O227" i="115"/>
  <c r="O178" i="115"/>
  <c r="N195" i="115"/>
  <c r="O193" i="115" s="1"/>
  <c r="O260" i="115"/>
  <c r="O190" i="115"/>
  <c r="O32" i="115"/>
  <c r="O31" i="115"/>
  <c r="O48" i="115"/>
  <c r="O69" i="115"/>
  <c r="O136" i="115"/>
  <c r="N64" i="115"/>
  <c r="O127" i="115"/>
  <c r="O123" i="115"/>
  <c r="O189" i="115"/>
  <c r="O29" i="115"/>
  <c r="O100" i="114"/>
  <c r="O113" i="114"/>
  <c r="N138" i="114"/>
  <c r="O135" i="114" s="1"/>
  <c r="N131" i="114"/>
  <c r="O129" i="114" s="1"/>
  <c r="O125" i="114"/>
  <c r="O112" i="114"/>
  <c r="O122" i="114"/>
  <c r="O119" i="114"/>
  <c r="O121" i="114"/>
  <c r="O120" i="114"/>
  <c r="O114" i="114"/>
  <c r="O28" i="114"/>
  <c r="N24" i="114"/>
  <c r="O17" i="114" s="1"/>
  <c r="O123" i="114"/>
  <c r="N88" i="114"/>
  <c r="O81" i="114" s="1"/>
  <c r="O106" i="114"/>
  <c r="O107" i="113"/>
  <c r="N83" i="113"/>
  <c r="O81" i="113" s="1"/>
  <c r="O34" i="113"/>
  <c r="N140" i="113"/>
  <c r="O102" i="113"/>
  <c r="N56" i="113"/>
  <c r="K56" i="113"/>
  <c r="K157" i="113" s="1"/>
  <c r="O24" i="113"/>
  <c r="O19" i="113"/>
  <c r="N28" i="113"/>
  <c r="O26" i="113" s="1"/>
  <c r="O33" i="113"/>
  <c r="O14" i="113"/>
  <c r="N77" i="113"/>
  <c r="O91" i="113"/>
  <c r="O101" i="113"/>
  <c r="O33" i="112"/>
  <c r="N18" i="112"/>
  <c r="N53" i="112"/>
  <c r="O41" i="112" s="1"/>
  <c r="O39" i="112"/>
  <c r="O46" i="112"/>
  <c r="M61" i="112"/>
  <c r="O49" i="112"/>
  <c r="N28" i="112"/>
  <c r="O26" i="112" s="1"/>
  <c r="O32" i="112"/>
  <c r="N41" i="83"/>
  <c r="M41" i="83"/>
  <c r="J41" i="83"/>
  <c r="N34" i="83"/>
  <c r="M34" i="83"/>
  <c r="J34" i="83"/>
  <c r="I33" i="83"/>
  <c r="H38" i="118" l="1"/>
  <c r="O46" i="113"/>
  <c r="K33" i="118"/>
  <c r="H43" i="118"/>
  <c r="H48" i="118" s="1"/>
  <c r="O244" i="115"/>
  <c r="K56" i="118"/>
  <c r="O56" i="118"/>
  <c r="O52" i="125"/>
  <c r="O52" i="121"/>
  <c r="O51" i="121"/>
  <c r="O136" i="114"/>
  <c r="O16" i="113"/>
  <c r="O59" i="121"/>
  <c r="O36" i="121"/>
  <c r="O48" i="121"/>
  <c r="O42" i="121"/>
  <c r="O64" i="121"/>
  <c r="N118" i="121"/>
  <c r="N27" i="126"/>
  <c r="O25" i="126" s="1"/>
  <c r="O95" i="123"/>
  <c r="O101" i="123"/>
  <c r="O101" i="125"/>
  <c r="O22" i="126"/>
  <c r="O106" i="123"/>
  <c r="O54" i="121"/>
  <c r="N66" i="125"/>
  <c r="O64" i="125" s="1"/>
  <c r="O62" i="125"/>
  <c r="O95" i="125"/>
  <c r="O52" i="123"/>
  <c r="N66" i="123"/>
  <c r="N118" i="123" s="1"/>
  <c r="O116" i="123" s="1"/>
  <c r="N29" i="122"/>
  <c r="O27" i="122" s="1"/>
  <c r="O16" i="122"/>
  <c r="O18" i="124"/>
  <c r="O57" i="116"/>
  <c r="O130" i="115"/>
  <c r="K43" i="114"/>
  <c r="H48" i="114"/>
  <c r="N43" i="114"/>
  <c r="N35" i="114"/>
  <c r="O33" i="114" s="1"/>
  <c r="N38" i="114"/>
  <c r="K38" i="114"/>
  <c r="O35" i="112"/>
  <c r="O51" i="112"/>
  <c r="N19" i="120"/>
  <c r="N51" i="119"/>
  <c r="O49" i="119" s="1"/>
  <c r="O47" i="119"/>
  <c r="N24" i="118"/>
  <c r="O22" i="118" s="1"/>
  <c r="K77" i="118"/>
  <c r="H78" i="118"/>
  <c r="N77" i="118"/>
  <c r="K38" i="118"/>
  <c r="N38" i="118"/>
  <c r="N71" i="118"/>
  <c r="O64" i="118" s="1"/>
  <c r="O58" i="118"/>
  <c r="O20" i="118"/>
  <c r="N35" i="118"/>
  <c r="N43" i="118"/>
  <c r="N64" i="117"/>
  <c r="O62" i="117" s="1"/>
  <c r="O24" i="117"/>
  <c r="O17" i="117"/>
  <c r="O34" i="116"/>
  <c r="O29" i="116"/>
  <c r="N66" i="116"/>
  <c r="O64" i="116" s="1"/>
  <c r="O24" i="116"/>
  <c r="O17" i="116"/>
  <c r="O52" i="116"/>
  <c r="O44" i="116"/>
  <c r="O57" i="115"/>
  <c r="O25" i="115"/>
  <c r="O62" i="115"/>
  <c r="O76" i="115"/>
  <c r="O43" i="115"/>
  <c r="O171" i="115"/>
  <c r="O97" i="115"/>
  <c r="O102" i="115"/>
  <c r="O166" i="115"/>
  <c r="O51" i="115"/>
  <c r="O34" i="115"/>
  <c r="O86" i="115"/>
  <c r="N264" i="115"/>
  <c r="O173" i="115" s="1"/>
  <c r="O143" i="115"/>
  <c r="O185" i="115"/>
  <c r="O201" i="115"/>
  <c r="O110" i="115"/>
  <c r="O218" i="115"/>
  <c r="O207" i="115"/>
  <c r="O180" i="115"/>
  <c r="O18" i="115"/>
  <c r="O212" i="115"/>
  <c r="O154" i="115"/>
  <c r="N140" i="114"/>
  <c r="O138" i="114" s="1"/>
  <c r="O71" i="114"/>
  <c r="O86" i="114"/>
  <c r="O66" i="114"/>
  <c r="O116" i="114"/>
  <c r="O22" i="114"/>
  <c r="O76" i="114"/>
  <c r="O109" i="114"/>
  <c r="M164" i="113"/>
  <c r="O138" i="113"/>
  <c r="N58" i="113"/>
  <c r="O21" i="113"/>
  <c r="O75" i="113"/>
  <c r="N132" i="113"/>
  <c r="O83" i="113" s="1"/>
  <c r="N55" i="112"/>
  <c r="O53" i="112" s="1"/>
  <c r="O16" i="112"/>
  <c r="B11" i="108"/>
  <c r="A11" i="108"/>
  <c r="B11" i="107"/>
  <c r="A11" i="107"/>
  <c r="K43" i="118" l="1"/>
  <c r="O88" i="123"/>
  <c r="N29" i="126"/>
  <c r="O18" i="126" s="1"/>
  <c r="O80" i="121"/>
  <c r="O116" i="121"/>
  <c r="O29" i="121"/>
  <c r="O88" i="121"/>
  <c r="O108" i="121"/>
  <c r="O18" i="122"/>
  <c r="O80" i="123"/>
  <c r="O29" i="123"/>
  <c r="O66" i="123"/>
  <c r="O42" i="123"/>
  <c r="O48" i="123"/>
  <c r="O64" i="123"/>
  <c r="O59" i="123"/>
  <c r="O36" i="123"/>
  <c r="O66" i="121"/>
  <c r="O42" i="125"/>
  <c r="O48" i="125"/>
  <c r="O59" i="125"/>
  <c r="O36" i="125"/>
  <c r="O54" i="123"/>
  <c r="O54" i="125"/>
  <c r="O108" i="123"/>
  <c r="N118" i="125"/>
  <c r="O66" i="125" s="1"/>
  <c r="O54" i="117"/>
  <c r="O46" i="116"/>
  <c r="N45" i="114"/>
  <c r="O43" i="114" s="1"/>
  <c r="N48" i="114"/>
  <c r="K48" i="114"/>
  <c r="K142" i="114" s="1"/>
  <c r="N40" i="114"/>
  <c r="O38" i="114" s="1"/>
  <c r="O28" i="112"/>
  <c r="O18" i="112"/>
  <c r="O17" i="120"/>
  <c r="K48" i="118"/>
  <c r="N48" i="118"/>
  <c r="N45" i="118"/>
  <c r="N40" i="118"/>
  <c r="O38" i="118" s="1"/>
  <c r="O33" i="118"/>
  <c r="K78" i="118"/>
  <c r="M78" i="118"/>
  <c r="M84" i="118" s="1"/>
  <c r="N78" i="118"/>
  <c r="N73" i="118"/>
  <c r="O71" i="118" s="1"/>
  <c r="O68" i="118"/>
  <c r="O67" i="118"/>
  <c r="O66" i="118"/>
  <c r="O69" i="118"/>
  <c r="O65" i="118"/>
  <c r="O17" i="118"/>
  <c r="O246" i="115"/>
  <c r="O262" i="115"/>
  <c r="O220" i="115"/>
  <c r="O195" i="115"/>
  <c r="O64" i="115"/>
  <c r="N60" i="113"/>
  <c r="O58" i="113" s="1"/>
  <c r="O56" i="113"/>
  <c r="O130" i="113"/>
  <c r="O114" i="113"/>
  <c r="O119" i="113"/>
  <c r="O125" i="113"/>
  <c r="O93" i="113"/>
  <c r="O88" i="113"/>
  <c r="O98" i="113"/>
  <c r="O109" i="113"/>
  <c r="O104" i="113"/>
  <c r="M56" i="51"/>
  <c r="O27" i="126" l="1"/>
  <c r="O80" i="125"/>
  <c r="O88" i="125"/>
  <c r="O29" i="125"/>
  <c r="O116" i="125"/>
  <c r="O108" i="125"/>
  <c r="M148" i="114"/>
  <c r="N50" i="114"/>
  <c r="O43" i="118"/>
  <c r="K84" i="118"/>
  <c r="N80" i="118"/>
  <c r="N50" i="118"/>
  <c r="O48" i="118" s="1"/>
  <c r="O36" i="113"/>
  <c r="O48" i="113"/>
  <c r="O53" i="113"/>
  <c r="O42" i="113"/>
  <c r="N157" i="113"/>
  <c r="O60" i="113" s="1"/>
  <c r="H42" i="63"/>
  <c r="H47" i="63" s="1"/>
  <c r="H43" i="61"/>
  <c r="H48" i="61" s="1"/>
  <c r="B25" i="111"/>
  <c r="A25" i="111"/>
  <c r="N49" i="111"/>
  <c r="L49" i="111"/>
  <c r="M49" i="111" s="1"/>
  <c r="N48" i="111"/>
  <c r="L48" i="111"/>
  <c r="M48" i="111" s="1"/>
  <c r="N47" i="111"/>
  <c r="L47" i="111"/>
  <c r="M47" i="111" s="1"/>
  <c r="N46" i="111"/>
  <c r="L46" i="111"/>
  <c r="M46" i="111" s="1"/>
  <c r="N41" i="111"/>
  <c r="L41" i="111"/>
  <c r="M41" i="111" s="1"/>
  <c r="N40" i="111"/>
  <c r="L40" i="111"/>
  <c r="M40" i="111" s="1"/>
  <c r="N39" i="111"/>
  <c r="L39" i="111"/>
  <c r="M39" i="111" s="1"/>
  <c r="N38" i="111"/>
  <c r="L38" i="111"/>
  <c r="M38" i="111" s="1"/>
  <c r="N30" i="111"/>
  <c r="M30" i="111"/>
  <c r="N29" i="111"/>
  <c r="M29" i="111"/>
  <c r="N28" i="111"/>
  <c r="M28" i="111"/>
  <c r="N27" i="111"/>
  <c r="M27" i="111"/>
  <c r="D8" i="111"/>
  <c r="N7" i="111"/>
  <c r="M7" i="111"/>
  <c r="D7" i="111"/>
  <c r="N6" i="111"/>
  <c r="N5" i="111"/>
  <c r="D5" i="111"/>
  <c r="N4" i="111"/>
  <c r="D4" i="111"/>
  <c r="L140" i="110"/>
  <c r="J140" i="110"/>
  <c r="I140" i="110"/>
  <c r="N140" i="110" s="1"/>
  <c r="N132" i="110"/>
  <c r="N134" i="110" s="1"/>
  <c r="N136" i="110" s="1"/>
  <c r="L132" i="110"/>
  <c r="J132" i="110"/>
  <c r="K132" i="110" s="1"/>
  <c r="L124" i="110"/>
  <c r="M124" i="110" s="1"/>
  <c r="J124" i="110"/>
  <c r="K124" i="110" s="1"/>
  <c r="I124" i="110"/>
  <c r="N124" i="110" s="1"/>
  <c r="N126" i="110" s="1"/>
  <c r="N117" i="110"/>
  <c r="N119" i="110" s="1"/>
  <c r="K117" i="110"/>
  <c r="L109" i="110"/>
  <c r="M109" i="110" s="1"/>
  <c r="J109" i="110"/>
  <c r="K109" i="110" s="1"/>
  <c r="I109" i="110"/>
  <c r="N109" i="110" s="1"/>
  <c r="L108" i="110"/>
  <c r="M108" i="110" s="1"/>
  <c r="J108" i="110"/>
  <c r="K108" i="110" s="1"/>
  <c r="I108" i="110"/>
  <c r="N108" i="110" s="1"/>
  <c r="L100" i="110"/>
  <c r="M100" i="110" s="1"/>
  <c r="J100" i="110"/>
  <c r="K100" i="110" s="1"/>
  <c r="I100" i="110"/>
  <c r="N100" i="110" s="1"/>
  <c r="L95" i="110"/>
  <c r="M95" i="110" s="1"/>
  <c r="J95" i="110"/>
  <c r="K95" i="110" s="1"/>
  <c r="I95" i="110"/>
  <c r="N95" i="110" s="1"/>
  <c r="L94" i="110"/>
  <c r="J94" i="110"/>
  <c r="I94" i="110"/>
  <c r="L89" i="110"/>
  <c r="M89" i="110" s="1"/>
  <c r="J89" i="110"/>
  <c r="K89" i="110" s="1"/>
  <c r="I89" i="110"/>
  <c r="N89" i="110" s="1"/>
  <c r="L84" i="110"/>
  <c r="M84" i="110" s="1"/>
  <c r="J84" i="110"/>
  <c r="K84" i="110" s="1"/>
  <c r="I84" i="110"/>
  <c r="N84" i="110" s="1"/>
  <c r="N86" i="110" s="1"/>
  <c r="L79" i="110"/>
  <c r="J79" i="110"/>
  <c r="K79" i="110" s="1"/>
  <c r="I79" i="110"/>
  <c r="N79" i="110" s="1"/>
  <c r="N81" i="110" s="1"/>
  <c r="L74" i="110"/>
  <c r="J74" i="110"/>
  <c r="K74" i="110" s="1"/>
  <c r="I74" i="110"/>
  <c r="N74" i="110" s="1"/>
  <c r="L66" i="110"/>
  <c r="J66" i="110"/>
  <c r="I66" i="110"/>
  <c r="L58" i="110"/>
  <c r="J58" i="110"/>
  <c r="I58" i="110"/>
  <c r="N58" i="110" s="1"/>
  <c r="L53" i="110"/>
  <c r="J53" i="110"/>
  <c r="K53" i="110" s="1"/>
  <c r="I53" i="110"/>
  <c r="L48" i="110"/>
  <c r="J48" i="110"/>
  <c r="K48" i="110" s="1"/>
  <c r="I48" i="110"/>
  <c r="N48" i="110" s="1"/>
  <c r="N50" i="110" s="1"/>
  <c r="L43" i="110"/>
  <c r="J43" i="110"/>
  <c r="K43" i="110" s="1"/>
  <c r="I43" i="110"/>
  <c r="N43" i="110" s="1"/>
  <c r="L42" i="110"/>
  <c r="J42" i="110"/>
  <c r="K42" i="110" s="1"/>
  <c r="I42" i="110"/>
  <c r="N42" i="110" s="1"/>
  <c r="L37" i="110"/>
  <c r="J37" i="110"/>
  <c r="K37" i="110" s="1"/>
  <c r="I37" i="110"/>
  <c r="N37" i="110" s="1"/>
  <c r="L32" i="110"/>
  <c r="J32" i="110"/>
  <c r="K32" i="110" s="1"/>
  <c r="I32" i="110"/>
  <c r="N32" i="110" s="1"/>
  <c r="L27" i="110"/>
  <c r="J27" i="110"/>
  <c r="K27" i="110" s="1"/>
  <c r="I27" i="110"/>
  <c r="N27" i="110" s="1"/>
  <c r="L19" i="110"/>
  <c r="J19" i="110"/>
  <c r="K19" i="110" s="1"/>
  <c r="I19" i="110"/>
  <c r="N19" i="110" s="1"/>
  <c r="L14" i="110"/>
  <c r="M14" i="110" s="1"/>
  <c r="J14" i="110"/>
  <c r="K14" i="110" s="1"/>
  <c r="I14" i="110"/>
  <c r="N14" i="110" s="1"/>
  <c r="N16" i="110" s="1"/>
  <c r="B11" i="110"/>
  <c r="A11" i="110"/>
  <c r="D8" i="110"/>
  <c r="N7" i="110"/>
  <c r="M7" i="110"/>
  <c r="D7" i="110"/>
  <c r="N6" i="110"/>
  <c r="N5" i="110"/>
  <c r="D5" i="110"/>
  <c r="N4" i="110"/>
  <c r="D4" i="110"/>
  <c r="N52" i="114" l="1"/>
  <c r="O48" i="114"/>
  <c r="N52" i="118"/>
  <c r="O50" i="118" s="1"/>
  <c r="N82" i="118"/>
  <c r="O77" i="118"/>
  <c r="O78" i="118"/>
  <c r="M89" i="118"/>
  <c r="O69" i="113"/>
  <c r="O155" i="113"/>
  <c r="O148" i="113"/>
  <c r="O77" i="113"/>
  <c r="O140" i="113"/>
  <c r="O28" i="113"/>
  <c r="O132" i="113"/>
  <c r="N51" i="111"/>
  <c r="O47" i="111" s="1"/>
  <c r="N32" i="111"/>
  <c r="O27" i="111" s="1"/>
  <c r="N43" i="111"/>
  <c r="O41" i="111" s="1"/>
  <c r="M57" i="111"/>
  <c r="N94" i="110"/>
  <c r="N97" i="110" s="1"/>
  <c r="K94" i="110"/>
  <c r="M94" i="110"/>
  <c r="N76" i="110"/>
  <c r="O74" i="110" s="1"/>
  <c r="O117" i="110"/>
  <c r="K66" i="110"/>
  <c r="O79" i="110"/>
  <c r="N111" i="110"/>
  <c r="O109" i="110" s="1"/>
  <c r="O132" i="110"/>
  <c r="N53" i="110"/>
  <c r="N55" i="110" s="1"/>
  <c r="N66" i="110"/>
  <c r="N68" i="110" s="1"/>
  <c r="N70" i="110" s="1"/>
  <c r="N142" i="110"/>
  <c r="O140" i="110" s="1"/>
  <c r="N21" i="110"/>
  <c r="O19" i="110" s="1"/>
  <c r="N91" i="110"/>
  <c r="N29" i="110"/>
  <c r="N39" i="110"/>
  <c r="N102" i="110"/>
  <c r="O100" i="110" s="1"/>
  <c r="O14" i="110"/>
  <c r="N60" i="110"/>
  <c r="O58" i="110" s="1"/>
  <c r="N128" i="110"/>
  <c r="O126" i="110" s="1"/>
  <c r="N34" i="110"/>
  <c r="N45" i="110"/>
  <c r="O42" i="110" s="1"/>
  <c r="K58" i="110"/>
  <c r="N121" i="110"/>
  <c r="O119" i="110" s="1"/>
  <c r="O124" i="110"/>
  <c r="K140" i="110"/>
  <c r="O84" i="110"/>
  <c r="O134" i="110"/>
  <c r="M140" i="110"/>
  <c r="O108" i="110" l="1"/>
  <c r="O66" i="110"/>
  <c r="O68" i="110"/>
  <c r="O40" i="114"/>
  <c r="O45" i="114"/>
  <c r="O30" i="114"/>
  <c r="N142" i="114"/>
  <c r="O52" i="114" s="1"/>
  <c r="O35" i="114"/>
  <c r="O50" i="114"/>
  <c r="O30" i="118"/>
  <c r="O35" i="118"/>
  <c r="N84" i="118"/>
  <c r="O45" i="118"/>
  <c r="O40" i="118"/>
  <c r="O80" i="118"/>
  <c r="O29" i="111"/>
  <c r="O28" i="111"/>
  <c r="N34" i="111"/>
  <c r="O48" i="111"/>
  <c r="O46" i="111"/>
  <c r="O49" i="111"/>
  <c r="O38" i="111"/>
  <c r="N55" i="111"/>
  <c r="O30" i="111"/>
  <c r="O39" i="111"/>
  <c r="O40" i="111"/>
  <c r="O53" i="110"/>
  <c r="O94" i="110"/>
  <c r="N104" i="110"/>
  <c r="O76" i="110" s="1"/>
  <c r="M146" i="110"/>
  <c r="K146" i="110"/>
  <c r="N113" i="110"/>
  <c r="O111" i="110" s="1"/>
  <c r="O37" i="110"/>
  <c r="O27" i="110"/>
  <c r="N62" i="110"/>
  <c r="N144" i="110"/>
  <c r="O32" i="110"/>
  <c r="O95" i="110"/>
  <c r="N23" i="110"/>
  <c r="O89" i="110"/>
  <c r="O131" i="114" l="1"/>
  <c r="O88" i="114"/>
  <c r="O140" i="114"/>
  <c r="O102" i="114"/>
  <c r="O24" i="114"/>
  <c r="O60" i="114"/>
  <c r="O60" i="118"/>
  <c r="O24" i="118"/>
  <c r="O73" i="118"/>
  <c r="O52" i="118"/>
  <c r="O82" i="118"/>
  <c r="N57" i="111"/>
  <c r="O34" i="111" s="1"/>
  <c r="O102" i="110"/>
  <c r="O97" i="110"/>
  <c r="O86" i="110"/>
  <c r="O91" i="110"/>
  <c r="O81" i="110"/>
  <c r="O50" i="110"/>
  <c r="N146" i="110"/>
  <c r="O62" i="110" s="1"/>
  <c r="O60" i="110"/>
  <c r="O55" i="110"/>
  <c r="O34" i="110"/>
  <c r="O45" i="110"/>
  <c r="O39" i="110"/>
  <c r="O16" i="110"/>
  <c r="O21" i="110"/>
  <c r="O142" i="110"/>
  <c r="O29" i="110"/>
  <c r="O43" i="111" l="1"/>
  <c r="O32" i="111"/>
  <c r="O55" i="111"/>
  <c r="O51" i="111"/>
  <c r="O23" i="110"/>
  <c r="O136" i="110"/>
  <c r="O104" i="110"/>
  <c r="O128" i="110"/>
  <c r="O121" i="110"/>
  <c r="O113" i="110"/>
  <c r="O70" i="110"/>
  <c r="O144" i="110"/>
  <c r="N33" i="108" l="1"/>
  <c r="M33" i="108"/>
  <c r="N32" i="108"/>
  <c r="M32" i="108"/>
  <c r="N31" i="108"/>
  <c r="M31" i="108"/>
  <c r="N30" i="108"/>
  <c r="M30" i="108"/>
  <c r="N29" i="108"/>
  <c r="M29" i="108"/>
  <c r="N28" i="108"/>
  <c r="M28" i="108"/>
  <c r="B28" i="108"/>
  <c r="L20" i="108"/>
  <c r="M20" i="108" s="1"/>
  <c r="I20" i="108"/>
  <c r="N20" i="108" s="1"/>
  <c r="L15" i="108"/>
  <c r="M15" i="108" s="1"/>
  <c r="I15" i="108"/>
  <c r="N15" i="108" s="1"/>
  <c r="L14" i="108"/>
  <c r="M14" i="108" s="1"/>
  <c r="I14" i="108"/>
  <c r="N14" i="108" s="1"/>
  <c r="D8" i="108"/>
  <c r="N7" i="108"/>
  <c r="M7" i="108"/>
  <c r="D7" i="108"/>
  <c r="N6" i="108"/>
  <c r="N5" i="108"/>
  <c r="D5" i="108"/>
  <c r="N4" i="108"/>
  <c r="D4" i="108"/>
  <c r="L145" i="107"/>
  <c r="J145" i="107"/>
  <c r="I145" i="107"/>
  <c r="H145" i="107"/>
  <c r="N137" i="107"/>
  <c r="N139" i="107" s="1"/>
  <c r="K137" i="107"/>
  <c r="L129" i="107"/>
  <c r="M129" i="107" s="1"/>
  <c r="J129" i="107"/>
  <c r="K129" i="107" s="1"/>
  <c r="I129" i="107"/>
  <c r="N129" i="107" s="1"/>
  <c r="H122" i="107"/>
  <c r="N122" i="107" s="1"/>
  <c r="L117" i="107"/>
  <c r="M117" i="107" s="1"/>
  <c r="J117" i="107"/>
  <c r="K117" i="107" s="1"/>
  <c r="I117" i="107"/>
  <c r="N117" i="107" s="1"/>
  <c r="L108" i="107"/>
  <c r="M108" i="107" s="1"/>
  <c r="J108" i="107"/>
  <c r="K108" i="107" s="1"/>
  <c r="I108" i="107"/>
  <c r="N108" i="107" s="1"/>
  <c r="N110" i="107" s="1"/>
  <c r="L100" i="107"/>
  <c r="M100" i="107" s="1"/>
  <c r="J100" i="107"/>
  <c r="K100" i="107" s="1"/>
  <c r="I100" i="107"/>
  <c r="N100" i="107" s="1"/>
  <c r="N102" i="107" s="1"/>
  <c r="L95" i="107"/>
  <c r="J95" i="107"/>
  <c r="I95" i="107"/>
  <c r="H95" i="107"/>
  <c r="L94" i="107"/>
  <c r="J94" i="107"/>
  <c r="I94" i="107"/>
  <c r="H94" i="107"/>
  <c r="L89" i="107"/>
  <c r="M89" i="107" s="1"/>
  <c r="J89" i="107"/>
  <c r="K89" i="107" s="1"/>
  <c r="I89" i="107"/>
  <c r="N89" i="107" s="1"/>
  <c r="L84" i="107"/>
  <c r="M84" i="107" s="1"/>
  <c r="J84" i="107"/>
  <c r="K84" i="107" s="1"/>
  <c r="I84" i="107"/>
  <c r="N84" i="107" s="1"/>
  <c r="L79" i="107"/>
  <c r="J79" i="107"/>
  <c r="K79" i="107" s="1"/>
  <c r="I79" i="107"/>
  <c r="N79" i="107" s="1"/>
  <c r="L74" i="107"/>
  <c r="J74" i="107"/>
  <c r="I74" i="107"/>
  <c r="H74" i="107"/>
  <c r="L66" i="107"/>
  <c r="J66" i="107"/>
  <c r="I66" i="107"/>
  <c r="H66" i="107"/>
  <c r="L58" i="107"/>
  <c r="J58" i="107"/>
  <c r="I58" i="107"/>
  <c r="L53" i="107"/>
  <c r="J53" i="107"/>
  <c r="I53" i="107"/>
  <c r="H53" i="107"/>
  <c r="H58" i="107" s="1"/>
  <c r="L48" i="107"/>
  <c r="J48" i="107"/>
  <c r="I48" i="107"/>
  <c r="H48" i="107"/>
  <c r="L43" i="107"/>
  <c r="J43" i="107"/>
  <c r="K43" i="107" s="1"/>
  <c r="I43" i="107"/>
  <c r="N43" i="107" s="1"/>
  <c r="L42" i="107"/>
  <c r="J42" i="107"/>
  <c r="K42" i="107" s="1"/>
  <c r="I42" i="107"/>
  <c r="N42" i="107" s="1"/>
  <c r="L37" i="107"/>
  <c r="J37" i="107"/>
  <c r="K37" i="107" s="1"/>
  <c r="I37" i="107"/>
  <c r="N37" i="107" s="1"/>
  <c r="L32" i="107"/>
  <c r="J32" i="107"/>
  <c r="K32" i="107" s="1"/>
  <c r="I32" i="107"/>
  <c r="N32" i="107" s="1"/>
  <c r="L27" i="107"/>
  <c r="J27" i="107"/>
  <c r="K27" i="107" s="1"/>
  <c r="I27" i="107"/>
  <c r="N27" i="107" s="1"/>
  <c r="L19" i="107"/>
  <c r="J19" i="107"/>
  <c r="I19" i="107"/>
  <c r="H19" i="107"/>
  <c r="L14" i="107"/>
  <c r="M14" i="107" s="1"/>
  <c r="J14" i="107"/>
  <c r="K14" i="107" s="1"/>
  <c r="I14" i="107"/>
  <c r="N14" i="107" s="1"/>
  <c r="D8" i="107"/>
  <c r="N7" i="107"/>
  <c r="M7" i="107"/>
  <c r="D7" i="107"/>
  <c r="N6" i="107"/>
  <c r="N5" i="107"/>
  <c r="D5" i="107"/>
  <c r="N4" i="107"/>
  <c r="D4" i="107"/>
  <c r="H126" i="57"/>
  <c r="H117" i="59"/>
  <c r="L145" i="87"/>
  <c r="J145" i="87"/>
  <c r="I145" i="87"/>
  <c r="N137" i="87"/>
  <c r="N139" i="87" s="1"/>
  <c r="K137" i="87"/>
  <c r="L129" i="87"/>
  <c r="M129" i="87" s="1"/>
  <c r="J129" i="87"/>
  <c r="K129" i="87" s="1"/>
  <c r="I129" i="87"/>
  <c r="N129" i="87" s="1"/>
  <c r="N131" i="87" s="1"/>
  <c r="N122" i="87"/>
  <c r="N124" i="87" s="1"/>
  <c r="L117" i="87"/>
  <c r="M117" i="87" s="1"/>
  <c r="J117" i="87"/>
  <c r="K117" i="87" s="1"/>
  <c r="I117" i="87"/>
  <c r="N117" i="87" s="1"/>
  <c r="N119" i="87" s="1"/>
  <c r="L108" i="87"/>
  <c r="M108" i="87" s="1"/>
  <c r="J108" i="87"/>
  <c r="K108" i="87" s="1"/>
  <c r="I108" i="87"/>
  <c r="N108" i="87" s="1"/>
  <c r="N110" i="87" s="1"/>
  <c r="N112" i="87" s="1"/>
  <c r="L100" i="87"/>
  <c r="J100" i="87"/>
  <c r="I100" i="87"/>
  <c r="N100" i="87" s="1"/>
  <c r="L95" i="87"/>
  <c r="J95" i="87"/>
  <c r="I95" i="87"/>
  <c r="L94" i="87"/>
  <c r="J94" i="87"/>
  <c r="I94" i="87"/>
  <c r="L89" i="87"/>
  <c r="M89" i="87" s="1"/>
  <c r="J89" i="87"/>
  <c r="K89" i="87" s="1"/>
  <c r="I89" i="87"/>
  <c r="N89" i="87" s="1"/>
  <c r="N91" i="87" s="1"/>
  <c r="L84" i="87"/>
  <c r="M84" i="87" s="1"/>
  <c r="J84" i="87"/>
  <c r="K84" i="87" s="1"/>
  <c r="I84" i="87"/>
  <c r="N84" i="87" s="1"/>
  <c r="N86" i="87" s="1"/>
  <c r="L79" i="87"/>
  <c r="J79" i="87"/>
  <c r="K79" i="87" s="1"/>
  <c r="I79" i="87"/>
  <c r="N79" i="87" s="1"/>
  <c r="L74" i="87"/>
  <c r="J74" i="87"/>
  <c r="I74" i="87"/>
  <c r="L66" i="87"/>
  <c r="J66" i="87"/>
  <c r="I66" i="87"/>
  <c r="L58" i="87"/>
  <c r="J58" i="87"/>
  <c r="I58" i="87"/>
  <c r="L53" i="87"/>
  <c r="J53" i="87"/>
  <c r="I53" i="87"/>
  <c r="L48" i="87"/>
  <c r="J48" i="87"/>
  <c r="I48" i="87"/>
  <c r="L43" i="87"/>
  <c r="J43" i="87"/>
  <c r="K43" i="87" s="1"/>
  <c r="I43" i="87"/>
  <c r="N43" i="87" s="1"/>
  <c r="L42" i="87"/>
  <c r="J42" i="87"/>
  <c r="K42" i="87" s="1"/>
  <c r="I42" i="87"/>
  <c r="N42" i="87" s="1"/>
  <c r="L37" i="87"/>
  <c r="J37" i="87"/>
  <c r="K37" i="87" s="1"/>
  <c r="I37" i="87"/>
  <c r="N37" i="87" s="1"/>
  <c r="N39" i="87" s="1"/>
  <c r="L32" i="87"/>
  <c r="J32" i="87"/>
  <c r="K32" i="87" s="1"/>
  <c r="I32" i="87"/>
  <c r="N32" i="87" s="1"/>
  <c r="N34" i="87" s="1"/>
  <c r="L27" i="87"/>
  <c r="J27" i="87"/>
  <c r="K27" i="87" s="1"/>
  <c r="I27" i="87"/>
  <c r="N27" i="87" s="1"/>
  <c r="L19" i="87"/>
  <c r="J19" i="87"/>
  <c r="I19" i="87"/>
  <c r="L14" i="87"/>
  <c r="M14" i="87" s="1"/>
  <c r="J14" i="87"/>
  <c r="K14" i="87" s="1"/>
  <c r="I14" i="87"/>
  <c r="N14" i="87" s="1"/>
  <c r="H29" i="94"/>
  <c r="L117" i="59"/>
  <c r="I117" i="59"/>
  <c r="H122" i="59"/>
  <c r="H28" i="94" s="1"/>
  <c r="H53" i="59"/>
  <c r="H58" i="59" s="1"/>
  <c r="L126" i="57"/>
  <c r="I126" i="57"/>
  <c r="H48" i="57"/>
  <c r="H53" i="57" s="1"/>
  <c r="B11" i="57"/>
  <c r="A11" i="57"/>
  <c r="H47" i="55"/>
  <c r="H52" i="55" s="1"/>
  <c r="B11" i="55"/>
  <c r="A11" i="55"/>
  <c r="B11" i="54"/>
  <c r="A11" i="54"/>
  <c r="B11" i="53"/>
  <c r="A11" i="53"/>
  <c r="B11" i="52"/>
  <c r="A11" i="52"/>
  <c r="B11" i="51"/>
  <c r="A11" i="51"/>
  <c r="B11" i="50"/>
  <c r="A11" i="50"/>
  <c r="B11" i="49"/>
  <c r="A11" i="49"/>
  <c r="B11" i="65"/>
  <c r="A11" i="65"/>
  <c r="B11" i="76"/>
  <c r="A11" i="76"/>
  <c r="B12" i="56"/>
  <c r="A12" i="56"/>
  <c r="J45" i="56"/>
  <c r="L45" i="56"/>
  <c r="H45" i="56"/>
  <c r="L55" i="56"/>
  <c r="M45" i="56" l="1"/>
  <c r="K48" i="87"/>
  <c r="N19" i="107"/>
  <c r="N21" i="107" s="1"/>
  <c r="N126" i="57"/>
  <c r="N128" i="57" s="1"/>
  <c r="N66" i="107"/>
  <c r="N68" i="107" s="1"/>
  <c r="N94" i="107"/>
  <c r="N53" i="87"/>
  <c r="N55" i="87" s="1"/>
  <c r="O53" i="87" s="1"/>
  <c r="K53" i="87"/>
  <c r="K74" i="107"/>
  <c r="N95" i="107"/>
  <c r="K48" i="107"/>
  <c r="N48" i="87"/>
  <c r="N50" i="87" s="1"/>
  <c r="N19" i="87"/>
  <c r="N21" i="87" s="1"/>
  <c r="M145" i="87"/>
  <c r="K74" i="87"/>
  <c r="K145" i="87"/>
  <c r="K66" i="107"/>
  <c r="N141" i="87"/>
  <c r="O139" i="87" s="1"/>
  <c r="K19" i="87"/>
  <c r="K145" i="107"/>
  <c r="K66" i="87"/>
  <c r="N48" i="107"/>
  <c r="N50" i="107" s="1"/>
  <c r="O48" i="107" s="1"/>
  <c r="N74" i="107"/>
  <c r="N76" i="107" s="1"/>
  <c r="O74" i="107" s="1"/>
  <c r="M145" i="107"/>
  <c r="N74" i="87"/>
  <c r="N76" i="87" s="1"/>
  <c r="O137" i="87"/>
  <c r="K126" i="57"/>
  <c r="K45" i="56"/>
  <c r="N66" i="87"/>
  <c r="N68" i="87" s="1"/>
  <c r="N70" i="87" s="1"/>
  <c r="O68" i="87" s="1"/>
  <c r="K19" i="107"/>
  <c r="M94" i="107"/>
  <c r="N81" i="87"/>
  <c r="O79" i="87" s="1"/>
  <c r="N145" i="107"/>
  <c r="N147" i="107" s="1"/>
  <c r="O145" i="107" s="1"/>
  <c r="N145" i="87"/>
  <c r="N147" i="87" s="1"/>
  <c r="N149" i="87" s="1"/>
  <c r="O147" i="87" s="1"/>
  <c r="O89" i="87"/>
  <c r="N45" i="56"/>
  <c r="N47" i="56" s="1"/>
  <c r="N49" i="56" s="1"/>
  <c r="O47" i="56" s="1"/>
  <c r="M95" i="107"/>
  <c r="N35" i="108"/>
  <c r="O30" i="108" s="1"/>
  <c r="M39" i="108"/>
  <c r="N17" i="108"/>
  <c r="O15" i="108" s="1"/>
  <c r="N22" i="108"/>
  <c r="N119" i="107"/>
  <c r="O117" i="107" s="1"/>
  <c r="N91" i="107"/>
  <c r="O89" i="107" s="1"/>
  <c r="N34" i="107"/>
  <c r="O32" i="107" s="1"/>
  <c r="N70" i="107"/>
  <c r="O68" i="107" s="1"/>
  <c r="N29" i="107"/>
  <c r="O27" i="107" s="1"/>
  <c r="N112" i="107"/>
  <c r="O110" i="107" s="1"/>
  <c r="N45" i="107"/>
  <c r="N58" i="107"/>
  <c r="K58" i="107"/>
  <c r="N81" i="107"/>
  <c r="O79" i="107" s="1"/>
  <c r="N141" i="107"/>
  <c r="O139" i="107" s="1"/>
  <c r="N124" i="107"/>
  <c r="O122" i="107" s="1"/>
  <c r="N39" i="107"/>
  <c r="O37" i="107" s="1"/>
  <c r="N86" i="107"/>
  <c r="O84" i="107" s="1"/>
  <c r="O66" i="107"/>
  <c r="O100" i="107"/>
  <c r="K53" i="107"/>
  <c r="N16" i="107"/>
  <c r="O14" i="107" s="1"/>
  <c r="K122" i="107"/>
  <c r="N53" i="107"/>
  <c r="K94" i="107"/>
  <c r="K95" i="107"/>
  <c r="O108" i="107"/>
  <c r="N131" i="107"/>
  <c r="O129" i="107" s="1"/>
  <c r="O137" i="107"/>
  <c r="M126" i="57"/>
  <c r="N117" i="59"/>
  <c r="N119" i="59" s="1"/>
  <c r="K117" i="59"/>
  <c r="M117" i="59"/>
  <c r="O117" i="87"/>
  <c r="O108" i="87"/>
  <c r="O84" i="87"/>
  <c r="N45" i="87"/>
  <c r="O43" i="87" s="1"/>
  <c r="O37" i="87"/>
  <c r="N58" i="87"/>
  <c r="N60" i="87" s="1"/>
  <c r="K58" i="87"/>
  <c r="O32" i="87"/>
  <c r="O19" i="87"/>
  <c r="K122" i="87"/>
  <c r="N16" i="87"/>
  <c r="N29" i="87"/>
  <c r="O27" i="87" s="1"/>
  <c r="N133" i="87"/>
  <c r="N126" i="87"/>
  <c r="O124" i="87" s="1"/>
  <c r="N102" i="87"/>
  <c r="O100" i="87" s="1"/>
  <c r="K100" i="87"/>
  <c r="O110" i="87"/>
  <c r="O122" i="87"/>
  <c r="M100" i="87"/>
  <c r="O129" i="87"/>
  <c r="N97" i="107" l="1"/>
  <c r="O95" i="107" s="1"/>
  <c r="O126" i="57"/>
  <c r="O48" i="87"/>
  <c r="N23" i="87"/>
  <c r="O21" i="87" s="1"/>
  <c r="O19" i="107"/>
  <c r="O66" i="87"/>
  <c r="O74" i="87"/>
  <c r="O145" i="87"/>
  <c r="K151" i="107"/>
  <c r="M151" i="107"/>
  <c r="O42" i="87"/>
  <c r="O14" i="87"/>
  <c r="O31" i="108"/>
  <c r="O28" i="108"/>
  <c r="O33" i="108"/>
  <c r="O29" i="108"/>
  <c r="O32" i="108"/>
  <c r="N37" i="108"/>
  <c r="O35" i="108" s="1"/>
  <c r="N24" i="108"/>
  <c r="O17" i="108" s="1"/>
  <c r="O14" i="108"/>
  <c r="O20" i="108"/>
  <c r="N55" i="107"/>
  <c r="O53" i="107" s="1"/>
  <c r="O42" i="107"/>
  <c r="O43" i="107"/>
  <c r="N23" i="107"/>
  <c r="O16" i="107" s="1"/>
  <c r="N133" i="107"/>
  <c r="N60" i="107"/>
  <c r="N149" i="107"/>
  <c r="N126" i="107"/>
  <c r="O124" i="107" s="1"/>
  <c r="N62" i="87"/>
  <c r="O60" i="87" s="1"/>
  <c r="O119" i="87"/>
  <c r="K95" i="87"/>
  <c r="N95" i="87"/>
  <c r="M95" i="87"/>
  <c r="O58" i="87"/>
  <c r="N94" i="87"/>
  <c r="M94" i="87"/>
  <c r="K94" i="87"/>
  <c r="O131" i="87"/>
  <c r="O117" i="59"/>
  <c r="N104" i="107" l="1"/>
  <c r="O86" i="107" s="1"/>
  <c r="O16" i="87"/>
  <c r="O94" i="107"/>
  <c r="N39" i="108"/>
  <c r="O37" i="108" s="1"/>
  <c r="O22" i="108"/>
  <c r="N62" i="107"/>
  <c r="O58" i="107"/>
  <c r="O21" i="107"/>
  <c r="O102" i="107"/>
  <c r="O131" i="107"/>
  <c r="O119" i="107"/>
  <c r="O147" i="107"/>
  <c r="N97" i="87"/>
  <c r="O94" i="87" s="1"/>
  <c r="O39" i="87"/>
  <c r="O29" i="87"/>
  <c r="O34" i="87"/>
  <c r="O50" i="87"/>
  <c r="O55" i="87"/>
  <c r="O45" i="87"/>
  <c r="O81" i="107" l="1"/>
  <c r="O76" i="107"/>
  <c r="O97" i="107"/>
  <c r="O91" i="107"/>
  <c r="O95" i="87"/>
  <c r="O24" i="108"/>
  <c r="O45" i="107"/>
  <c r="O34" i="107"/>
  <c r="O50" i="107"/>
  <c r="N151" i="107"/>
  <c r="O62" i="107" s="1"/>
  <c r="O39" i="107"/>
  <c r="O29" i="107"/>
  <c r="O60" i="107"/>
  <c r="O55" i="107"/>
  <c r="N104" i="87"/>
  <c r="O70" i="107" l="1"/>
  <c r="O112" i="107"/>
  <c r="O141" i="107"/>
  <c r="O126" i="107"/>
  <c r="O149" i="107"/>
  <c r="O104" i="107"/>
  <c r="O133" i="107"/>
  <c r="O23" i="107"/>
  <c r="O91" i="87"/>
  <c r="O76" i="87"/>
  <c r="O81" i="87"/>
  <c r="O86" i="87"/>
  <c r="O102" i="87"/>
  <c r="O97" i="87"/>
  <c r="H113" i="53" l="1"/>
  <c r="H84" i="53"/>
  <c r="H48" i="51"/>
  <c r="H47" i="51"/>
  <c r="L48" i="51"/>
  <c r="J48" i="51"/>
  <c r="L47" i="51"/>
  <c r="J47" i="51"/>
  <c r="L45" i="50"/>
  <c r="L46" i="50"/>
  <c r="I47" i="50"/>
  <c r="N47" i="50" s="1"/>
  <c r="L47" i="50"/>
  <c r="M47" i="50" s="1"/>
  <c r="L49" i="50"/>
  <c r="M49" i="50" s="1"/>
  <c r="N49" i="50"/>
  <c r="L48" i="50"/>
  <c r="M48" i="50" s="1"/>
  <c r="I48" i="50"/>
  <c r="N48" i="50" s="1"/>
  <c r="N44" i="50"/>
  <c r="L44" i="50"/>
  <c r="M44" i="50" s="1"/>
  <c r="K47" i="51" l="1"/>
  <c r="H83" i="53"/>
  <c r="M48" i="51"/>
  <c r="K48" i="51"/>
  <c r="M47" i="51"/>
  <c r="N47" i="51"/>
  <c r="N48" i="51"/>
  <c r="N50" i="51" l="1"/>
  <c r="O48" i="51" s="1"/>
  <c r="O47" i="51" l="1"/>
  <c r="N52" i="51"/>
  <c r="O50" i="51" l="1"/>
  <c r="I34" i="50" l="1"/>
  <c r="L34" i="50"/>
  <c r="I35" i="50"/>
  <c r="L35" i="50"/>
  <c r="H34" i="50"/>
  <c r="H35" i="50"/>
  <c r="H33" i="50"/>
  <c r="H32" i="50"/>
  <c r="H31" i="50"/>
  <c r="H30" i="50"/>
  <c r="I21" i="50"/>
  <c r="N21" i="50" s="1"/>
  <c r="L21" i="50"/>
  <c r="M21" i="50" s="1"/>
  <c r="I22" i="50"/>
  <c r="N22" i="50" s="1"/>
  <c r="L22" i="50"/>
  <c r="M22" i="50" s="1"/>
  <c r="K92" i="49"/>
  <c r="N92" i="49"/>
  <c r="K93" i="49"/>
  <c r="N93" i="49"/>
  <c r="K94" i="49"/>
  <c r="N94" i="49"/>
  <c r="K95" i="49"/>
  <c r="N95" i="49"/>
  <c r="M83" i="49"/>
  <c r="H65" i="49"/>
  <c r="H64" i="49"/>
  <c r="N85" i="49"/>
  <c r="K85" i="49"/>
  <c r="M85" i="49"/>
  <c r="N86" i="49"/>
  <c r="K86" i="49"/>
  <c r="M86" i="49"/>
  <c r="H85" i="65"/>
  <c r="H14" i="65"/>
  <c r="H61" i="65" l="1"/>
  <c r="H66" i="65" s="1"/>
  <c r="M35" i="50"/>
  <c r="N35" i="50"/>
  <c r="M34" i="50"/>
  <c r="N34" i="50"/>
  <c r="I17" i="85" l="1"/>
  <c r="N17" i="85" s="1"/>
  <c r="I16" i="85"/>
  <c r="N16" i="85" s="1"/>
  <c r="M15" i="85"/>
  <c r="I15" i="85"/>
  <c r="N15" i="85" s="1"/>
  <c r="I14" i="85"/>
  <c r="N14" i="85" s="1"/>
  <c r="I25" i="85"/>
  <c r="N25" i="85" s="1"/>
  <c r="I24" i="85"/>
  <c r="N24" i="85" s="1"/>
  <c r="I23" i="85"/>
  <c r="N23" i="85" s="1"/>
  <c r="I22" i="85"/>
  <c r="I21" i="85"/>
  <c r="N21" i="85" s="1"/>
  <c r="I26" i="85"/>
  <c r="N26" i="85" s="1"/>
  <c r="I27" i="85"/>
  <c r="N27" i="85" s="1"/>
  <c r="I28" i="85"/>
  <c r="N28" i="85" s="1"/>
  <c r="I29" i="85"/>
  <c r="N29" i="85" s="1"/>
  <c r="I37" i="85"/>
  <c r="N37" i="85" s="1"/>
  <c r="I31" i="85"/>
  <c r="N31" i="85" s="1"/>
  <c r="I32" i="85"/>
  <c r="N32" i="85" s="1"/>
  <c r="I33" i="85"/>
  <c r="N33" i="85" s="1"/>
  <c r="I34" i="85"/>
  <c r="N34" i="85" s="1"/>
  <c r="I35" i="85"/>
  <c r="N35" i="85" s="1"/>
  <c r="N50" i="83"/>
  <c r="M50" i="83"/>
  <c r="J50" i="83"/>
  <c r="N49" i="83"/>
  <c r="M49" i="83"/>
  <c r="J49" i="83"/>
  <c r="I32" i="83"/>
  <c r="L135" i="81"/>
  <c r="M135" i="81" s="1"/>
  <c r="J135" i="81"/>
  <c r="N135" i="81"/>
  <c r="K151" i="80"/>
  <c r="N42" i="85"/>
  <c r="M42" i="85"/>
  <c r="M37" i="85"/>
  <c r="M31" i="85"/>
  <c r="N38" i="85"/>
  <c r="M38" i="85"/>
  <c r="N40" i="85"/>
  <c r="M40" i="85"/>
  <c r="N44" i="85"/>
  <c r="M44" i="85"/>
  <c r="M32" i="85"/>
  <c r="M33" i="85"/>
  <c r="M34" i="85"/>
  <c r="M35" i="85"/>
  <c r="M26" i="85"/>
  <c r="M27" i="85"/>
  <c r="M28" i="85"/>
  <c r="M29" i="85"/>
  <c r="M21" i="85"/>
  <c r="N22" i="85"/>
  <c r="M22" i="85"/>
  <c r="M23" i="85"/>
  <c r="M24" i="85"/>
  <c r="M25" i="85"/>
  <c r="M20" i="85"/>
  <c r="N20" i="85"/>
  <c r="I18" i="85"/>
  <c r="N18" i="85" s="1"/>
  <c r="J18" i="85"/>
  <c r="L18" i="85"/>
  <c r="M18" i="85" s="1"/>
  <c r="M14" i="85"/>
  <c r="M16" i="85"/>
  <c r="M17" i="85"/>
  <c r="L69" i="84"/>
  <c r="J69" i="84"/>
  <c r="K69" i="84" s="1"/>
  <c r="I69" i="84"/>
  <c r="N69" i="84" s="1"/>
  <c r="L68" i="84"/>
  <c r="J68" i="84"/>
  <c r="K68" i="84" s="1"/>
  <c r="I68" i="84"/>
  <c r="N68" i="84" s="1"/>
  <c r="L67" i="84"/>
  <c r="J67" i="84"/>
  <c r="I67" i="84"/>
  <c r="N67" i="84" s="1"/>
  <c r="L66" i="84"/>
  <c r="J66" i="84"/>
  <c r="I66" i="84"/>
  <c r="L65" i="84"/>
  <c r="J65" i="84"/>
  <c r="I65" i="84"/>
  <c r="N48" i="83"/>
  <c r="M48" i="83"/>
  <c r="J48" i="83"/>
  <c r="K67" i="84" l="1"/>
  <c r="N66" i="84"/>
  <c r="K65" i="84"/>
  <c r="K66" i="84"/>
  <c r="N65" i="84"/>
  <c r="N47" i="83"/>
  <c r="M47" i="83"/>
  <c r="J47" i="83"/>
  <c r="N46" i="83"/>
  <c r="M46" i="83"/>
  <c r="J46" i="83"/>
  <c r="N45" i="83"/>
  <c r="M45" i="83"/>
  <c r="J45" i="83"/>
  <c r="N44" i="83"/>
  <c r="M44" i="83"/>
  <c r="J44" i="83"/>
  <c r="N43" i="83"/>
  <c r="M43" i="83"/>
  <c r="J43" i="83"/>
  <c r="N42" i="83"/>
  <c r="M42" i="83"/>
  <c r="J42" i="83"/>
  <c r="N40" i="83"/>
  <c r="M40" i="83"/>
  <c r="N39" i="83"/>
  <c r="M39" i="83"/>
  <c r="N38" i="83"/>
  <c r="M38" i="83"/>
  <c r="J38" i="83"/>
  <c r="N37" i="83"/>
  <c r="M37" i="83"/>
  <c r="J37" i="83"/>
  <c r="N36" i="83"/>
  <c r="M36" i="83"/>
  <c r="J36" i="83"/>
  <c r="N33" i="83"/>
  <c r="M33" i="83"/>
  <c r="N27" i="83"/>
  <c r="M27" i="83"/>
  <c r="N28" i="83"/>
  <c r="M28" i="83"/>
  <c r="N29" i="83"/>
  <c r="M29" i="83"/>
  <c r="N22" i="83"/>
  <c r="M22" i="83"/>
  <c r="L21" i="82"/>
  <c r="J21" i="82"/>
  <c r="K21" i="82" s="1"/>
  <c r="N21" i="82"/>
  <c r="L14" i="82"/>
  <c r="J14" i="82"/>
  <c r="K14" i="82" s="1"/>
  <c r="N14" i="82"/>
  <c r="N257" i="81"/>
  <c r="M257" i="81"/>
  <c r="N258" i="81"/>
  <c r="M258" i="81"/>
  <c r="N256" i="81"/>
  <c r="M256" i="81"/>
  <c r="N249" i="81"/>
  <c r="M249" i="81"/>
  <c r="N254" i="81"/>
  <c r="M254" i="81"/>
  <c r="N253" i="81"/>
  <c r="M253" i="81"/>
  <c r="N242" i="81"/>
  <c r="M242" i="81"/>
  <c r="N236" i="81"/>
  <c r="M236" i="81"/>
  <c r="N225" i="81"/>
  <c r="M225" i="81"/>
  <c r="L205" i="81"/>
  <c r="M205" i="81" s="1"/>
  <c r="J205" i="81"/>
  <c r="N205" i="81"/>
  <c r="N191" i="81"/>
  <c r="M191" i="81"/>
  <c r="L189" i="81"/>
  <c r="M189" i="81" s="1"/>
  <c r="J189" i="81"/>
  <c r="N189" i="81"/>
  <c r="L178" i="81"/>
  <c r="M178" i="81" s="1"/>
  <c r="J178" i="81"/>
  <c r="N178" i="81"/>
  <c r="L164" i="81"/>
  <c r="M164" i="81" s="1"/>
  <c r="J164" i="81"/>
  <c r="N164" i="81"/>
  <c r="L163" i="81"/>
  <c r="M163" i="81" s="1"/>
  <c r="J163" i="81"/>
  <c r="N163" i="81"/>
  <c r="L162" i="81"/>
  <c r="M162" i="81" s="1"/>
  <c r="J162" i="81"/>
  <c r="N162" i="81"/>
  <c r="L161" i="81"/>
  <c r="M161" i="81" s="1"/>
  <c r="J161" i="81"/>
  <c r="N161" i="81"/>
  <c r="L150" i="81"/>
  <c r="M150" i="81" s="1"/>
  <c r="J150" i="81"/>
  <c r="N150" i="81"/>
  <c r="L151" i="81"/>
  <c r="M151" i="81" s="1"/>
  <c r="J151" i="81"/>
  <c r="N151" i="81"/>
  <c r="L149" i="81"/>
  <c r="M149" i="81" s="1"/>
  <c r="J149" i="81"/>
  <c r="N149" i="81"/>
  <c r="L152" i="81"/>
  <c r="M152" i="81" s="1"/>
  <c r="J152" i="81"/>
  <c r="N152" i="81"/>
  <c r="L159" i="81"/>
  <c r="M159" i="81" s="1"/>
  <c r="J159" i="81"/>
  <c r="N159" i="81"/>
  <c r="L141" i="81"/>
  <c r="M141" i="81" s="1"/>
  <c r="J141" i="81"/>
  <c r="N141" i="81"/>
  <c r="L140" i="81"/>
  <c r="M140" i="81" s="1"/>
  <c r="J140" i="81"/>
  <c r="N140" i="81"/>
  <c r="L139" i="81"/>
  <c r="M139" i="81" s="1"/>
  <c r="J139" i="81"/>
  <c r="N139" i="81"/>
  <c r="L138" i="81"/>
  <c r="M138" i="81" s="1"/>
  <c r="J138" i="81"/>
  <c r="N138" i="81"/>
  <c r="L137" i="81"/>
  <c r="M137" i="81" s="1"/>
  <c r="J137" i="81"/>
  <c r="N137" i="81"/>
  <c r="L136" i="81"/>
  <c r="M136" i="81" s="1"/>
  <c r="J136" i="81"/>
  <c r="N136" i="81"/>
  <c r="L128" i="81"/>
  <c r="M128" i="81" s="1"/>
  <c r="J128" i="81"/>
  <c r="N128" i="81"/>
  <c r="L127" i="81"/>
  <c r="M127" i="81" s="1"/>
  <c r="J127" i="81"/>
  <c r="N127" i="81"/>
  <c r="L126" i="81"/>
  <c r="M126" i="81" s="1"/>
  <c r="J126" i="81"/>
  <c r="N126" i="81"/>
  <c r="L125" i="81"/>
  <c r="M125" i="81" s="1"/>
  <c r="J125" i="81"/>
  <c r="N125" i="81"/>
  <c r="L124" i="81"/>
  <c r="M124" i="81" s="1"/>
  <c r="J124" i="81"/>
  <c r="N124" i="81"/>
  <c r="L123" i="81"/>
  <c r="M123" i="81" s="1"/>
  <c r="J123" i="81"/>
  <c r="N123" i="81"/>
  <c r="M122" i="81"/>
  <c r="J122" i="81"/>
  <c r="N122" i="81"/>
  <c r="L121" i="81"/>
  <c r="M121" i="81" s="1"/>
  <c r="J121" i="81"/>
  <c r="N121" i="81"/>
  <c r="L120" i="81"/>
  <c r="M120" i="81" s="1"/>
  <c r="J120" i="81"/>
  <c r="N120" i="81"/>
  <c r="L116" i="81"/>
  <c r="M116" i="81" s="1"/>
  <c r="J116" i="81"/>
  <c r="N116" i="81"/>
  <c r="L105" i="81"/>
  <c r="M105" i="81" s="1"/>
  <c r="J105" i="81"/>
  <c r="N105" i="81"/>
  <c r="L108" i="81"/>
  <c r="M108" i="81" s="1"/>
  <c r="J108" i="81"/>
  <c r="N108" i="81"/>
  <c r="L107" i="81"/>
  <c r="M107" i="81" s="1"/>
  <c r="J107" i="81"/>
  <c r="N107" i="81"/>
  <c r="L90" i="81"/>
  <c r="M90" i="81" s="1"/>
  <c r="J90" i="81"/>
  <c r="N90" i="81"/>
  <c r="L84" i="81"/>
  <c r="M84" i="81" s="1"/>
  <c r="J84" i="81"/>
  <c r="N84" i="81"/>
  <c r="L80" i="81"/>
  <c r="M80" i="81" s="1"/>
  <c r="J80" i="81"/>
  <c r="N80" i="81"/>
  <c r="L83" i="81"/>
  <c r="M83" i="81" s="1"/>
  <c r="J83" i="81"/>
  <c r="N83" i="81"/>
  <c r="L81" i="81"/>
  <c r="M81" i="81" s="1"/>
  <c r="J81" i="81"/>
  <c r="N81" i="81"/>
  <c r="L74" i="81"/>
  <c r="M74" i="81" s="1"/>
  <c r="J74" i="81"/>
  <c r="N74" i="81"/>
  <c r="L73" i="81"/>
  <c r="M73" i="81" s="1"/>
  <c r="J73" i="81"/>
  <c r="N73" i="81"/>
  <c r="L72" i="81"/>
  <c r="M72" i="81" s="1"/>
  <c r="J72" i="81"/>
  <c r="N72" i="81"/>
  <c r="L70" i="81"/>
  <c r="M70" i="81" s="1"/>
  <c r="J70" i="81"/>
  <c r="N70" i="81"/>
  <c r="L69" i="81"/>
  <c r="M69" i="81" s="1"/>
  <c r="J69" i="81"/>
  <c r="N69" i="81"/>
  <c r="N55" i="81"/>
  <c r="M55" i="81"/>
  <c r="L49" i="81"/>
  <c r="M49" i="81" s="1"/>
  <c r="J49" i="81"/>
  <c r="N49" i="81"/>
  <c r="L48" i="81"/>
  <c r="M48" i="81" s="1"/>
  <c r="J48" i="81"/>
  <c r="N48" i="81"/>
  <c r="L41" i="81"/>
  <c r="M41" i="81" s="1"/>
  <c r="J41" i="81"/>
  <c r="N41" i="81"/>
  <c r="L40" i="81"/>
  <c r="M40" i="81" s="1"/>
  <c r="J40" i="81"/>
  <c r="N40" i="81"/>
  <c r="L39" i="81"/>
  <c r="M39" i="81" s="1"/>
  <c r="J39" i="81"/>
  <c r="N39" i="81"/>
  <c r="L38" i="81"/>
  <c r="M38" i="81" s="1"/>
  <c r="J38" i="81"/>
  <c r="N38" i="81"/>
  <c r="L37" i="81"/>
  <c r="M37" i="81" s="1"/>
  <c r="J37" i="81"/>
  <c r="N37" i="81"/>
  <c r="L29" i="81"/>
  <c r="M29" i="81" s="1"/>
  <c r="J29" i="81"/>
  <c r="N29" i="81"/>
  <c r="L28" i="81"/>
  <c r="M28" i="81" s="1"/>
  <c r="J28" i="81"/>
  <c r="N28" i="81"/>
  <c r="L32" i="81"/>
  <c r="M32" i="81" s="1"/>
  <c r="J32" i="81"/>
  <c r="N32" i="81"/>
  <c r="L31" i="81"/>
  <c r="M31" i="81" s="1"/>
  <c r="J31" i="81"/>
  <c r="N31" i="81"/>
  <c r="L23" i="81"/>
  <c r="M23" i="81" s="1"/>
  <c r="J23" i="81"/>
  <c r="N23" i="81"/>
  <c r="L22" i="81"/>
  <c r="M22" i="81" s="1"/>
  <c r="J22" i="81"/>
  <c r="N22" i="81"/>
  <c r="L15" i="81"/>
  <c r="M15" i="81" s="1"/>
  <c r="J15" i="81"/>
  <c r="N15" i="81"/>
  <c r="L123" i="79"/>
  <c r="J123" i="79"/>
  <c r="K123" i="79" s="1"/>
  <c r="N123" i="79"/>
  <c r="L122" i="79"/>
  <c r="M122" i="79" s="1"/>
  <c r="J122" i="79"/>
  <c r="K122" i="79" s="1"/>
  <c r="N122" i="79"/>
  <c r="L121" i="79"/>
  <c r="M121" i="79" s="1"/>
  <c r="J121" i="79"/>
  <c r="K121" i="79" s="1"/>
  <c r="N121" i="79"/>
  <c r="L127" i="79"/>
  <c r="J127" i="79"/>
  <c r="K127" i="79" s="1"/>
  <c r="N127" i="79"/>
  <c r="L126" i="79"/>
  <c r="J126" i="79"/>
  <c r="K126" i="79" s="1"/>
  <c r="N126" i="79"/>
  <c r="L124" i="79"/>
  <c r="J124" i="79"/>
  <c r="K124" i="79" s="1"/>
  <c r="N124" i="79"/>
  <c r="L114" i="79"/>
  <c r="J114" i="79"/>
  <c r="K114" i="79" s="1"/>
  <c r="N114" i="79"/>
  <c r="L107" i="79"/>
  <c r="J107" i="79"/>
  <c r="K107" i="79" s="1"/>
  <c r="N107" i="79"/>
  <c r="L93" i="79"/>
  <c r="M93" i="79" s="1"/>
  <c r="J93" i="79"/>
  <c r="K93" i="79" s="1"/>
  <c r="N93" i="79"/>
  <c r="M107" i="80"/>
  <c r="K107" i="80"/>
  <c r="N107" i="80"/>
  <c r="L48" i="78"/>
  <c r="M48" i="78" s="1"/>
  <c r="J48" i="78"/>
  <c r="K48" i="78" s="1"/>
  <c r="I48" i="78"/>
  <c r="N48" i="78" s="1"/>
  <c r="L47" i="78"/>
  <c r="M47" i="78" s="1"/>
  <c r="J47" i="78"/>
  <c r="K47" i="78" s="1"/>
  <c r="I47" i="78"/>
  <c r="N47" i="78" s="1"/>
  <c r="L46" i="78"/>
  <c r="M46" i="78" s="1"/>
  <c r="J46" i="78"/>
  <c r="K46" i="78" s="1"/>
  <c r="I46" i="78"/>
  <c r="N46" i="78" s="1"/>
  <c r="L45" i="78"/>
  <c r="M45" i="78" s="1"/>
  <c r="J45" i="78"/>
  <c r="K45" i="78" s="1"/>
  <c r="I45" i="78"/>
  <c r="N45" i="78" s="1"/>
  <c r="I27" i="10"/>
  <c r="I32" i="10"/>
  <c r="I37" i="10"/>
  <c r="I22" i="10"/>
  <c r="L19" i="11"/>
  <c r="L24" i="11"/>
  <c r="L29" i="11"/>
  <c r="L34" i="11"/>
  <c r="L39" i="11"/>
  <c r="L47" i="11"/>
  <c r="L52" i="11"/>
  <c r="L57" i="11"/>
  <c r="L67" i="11"/>
  <c r="L68" i="11"/>
  <c r="L69" i="11"/>
  <c r="L82" i="11"/>
  <c r="L88" i="11"/>
  <c r="L96" i="11"/>
  <c r="L14" i="11"/>
  <c r="J52" i="11"/>
  <c r="J57" i="11"/>
  <c r="J67" i="11"/>
  <c r="J68" i="11"/>
  <c r="J69" i="11"/>
  <c r="J82" i="11"/>
  <c r="J88" i="11"/>
  <c r="J96" i="11"/>
  <c r="J19" i="11"/>
  <c r="J24" i="11"/>
  <c r="J29" i="11"/>
  <c r="J34" i="11"/>
  <c r="J39" i="11"/>
  <c r="J47" i="11"/>
  <c r="J14" i="11"/>
  <c r="I88" i="11"/>
  <c r="I96" i="11"/>
  <c r="I52" i="11"/>
  <c r="I57" i="11"/>
  <c r="I67" i="11"/>
  <c r="I68" i="11"/>
  <c r="I69" i="11"/>
  <c r="I82" i="11"/>
  <c r="I29" i="11"/>
  <c r="I34" i="11"/>
  <c r="I39" i="11"/>
  <c r="I47" i="11"/>
  <c r="I19" i="11"/>
  <c r="I24" i="11"/>
  <c r="I14" i="11"/>
  <c r="L31" i="8"/>
  <c r="L36" i="8"/>
  <c r="L41" i="8"/>
  <c r="L42" i="8"/>
  <c r="L23" i="8"/>
  <c r="I31" i="8"/>
  <c r="I36" i="8"/>
  <c r="I41" i="8"/>
  <c r="I42" i="8"/>
  <c r="I23" i="8"/>
  <c r="L162" i="9"/>
  <c r="L168" i="9"/>
  <c r="L169" i="9"/>
  <c r="L177" i="9"/>
  <c r="L178" i="9"/>
  <c r="L183" i="9"/>
  <c r="L184" i="9"/>
  <c r="L142" i="9"/>
  <c r="L143" i="9"/>
  <c r="L144" i="9"/>
  <c r="L145" i="9"/>
  <c r="L146" i="9"/>
  <c r="L147" i="9"/>
  <c r="L148" i="9"/>
  <c r="L154" i="9"/>
  <c r="L155" i="9"/>
  <c r="L161" i="9"/>
  <c r="L112" i="9"/>
  <c r="L113" i="9"/>
  <c r="L118" i="9"/>
  <c r="L123" i="9"/>
  <c r="L128" i="9"/>
  <c r="L129" i="9"/>
  <c r="L134" i="9"/>
  <c r="L77" i="9"/>
  <c r="L82" i="9"/>
  <c r="L90" i="9"/>
  <c r="L91" i="9"/>
  <c r="L96" i="9"/>
  <c r="L104" i="9"/>
  <c r="L53" i="9"/>
  <c r="L54" i="9"/>
  <c r="L59" i="9"/>
  <c r="L60" i="9"/>
  <c r="L65" i="9"/>
  <c r="L66" i="9"/>
  <c r="L71" i="9"/>
  <c r="L72" i="9"/>
  <c r="L44" i="9"/>
  <c r="L45" i="9"/>
  <c r="L20" i="9"/>
  <c r="L25" i="9"/>
  <c r="L30" i="9"/>
  <c r="L38" i="9"/>
  <c r="L39" i="9"/>
  <c r="L14" i="9"/>
  <c r="J177" i="9"/>
  <c r="J178" i="9"/>
  <c r="J183" i="9"/>
  <c r="J184" i="9"/>
  <c r="J161" i="9"/>
  <c r="J162" i="9"/>
  <c r="J168" i="9"/>
  <c r="J169" i="9"/>
  <c r="J142" i="9"/>
  <c r="J143" i="9"/>
  <c r="J144" i="9"/>
  <c r="J145" i="9"/>
  <c r="J146" i="9"/>
  <c r="J147" i="9"/>
  <c r="J148" i="9"/>
  <c r="J154" i="9"/>
  <c r="J155" i="9"/>
  <c r="J123" i="9"/>
  <c r="J128" i="9"/>
  <c r="J129" i="9"/>
  <c r="J134" i="9"/>
  <c r="J104" i="9"/>
  <c r="J112" i="9"/>
  <c r="J113" i="9"/>
  <c r="J118" i="9"/>
  <c r="J82" i="9"/>
  <c r="J90" i="9"/>
  <c r="J91" i="9"/>
  <c r="J96" i="9"/>
  <c r="J71" i="9"/>
  <c r="J72" i="9"/>
  <c r="J77" i="9"/>
  <c r="J53" i="9"/>
  <c r="J54" i="9"/>
  <c r="J59" i="9"/>
  <c r="J60" i="9"/>
  <c r="J65" i="9"/>
  <c r="J66" i="9"/>
  <c r="J20" i="9"/>
  <c r="J25" i="9"/>
  <c r="J30" i="9"/>
  <c r="J38" i="9"/>
  <c r="J39" i="9"/>
  <c r="J44" i="9"/>
  <c r="J45" i="9"/>
  <c r="J14" i="9"/>
  <c r="I53" i="9"/>
  <c r="I54" i="9"/>
  <c r="I59" i="9"/>
  <c r="I60" i="9"/>
  <c r="I65" i="9"/>
  <c r="I66" i="9"/>
  <c r="I71" i="9"/>
  <c r="I72" i="9"/>
  <c r="I77" i="9"/>
  <c r="I82" i="9"/>
  <c r="I90" i="9"/>
  <c r="I91" i="9"/>
  <c r="I96" i="9"/>
  <c r="I104" i="9"/>
  <c r="I112" i="9"/>
  <c r="I113" i="9"/>
  <c r="I118" i="9"/>
  <c r="I123" i="9"/>
  <c r="I128" i="9"/>
  <c r="I129" i="9"/>
  <c r="I134" i="9"/>
  <c r="I142" i="9"/>
  <c r="I143" i="9"/>
  <c r="I144" i="9"/>
  <c r="I145" i="9"/>
  <c r="I146" i="9"/>
  <c r="I147" i="9"/>
  <c r="I148" i="9"/>
  <c r="I154" i="9"/>
  <c r="I155" i="9"/>
  <c r="I161" i="9"/>
  <c r="I162" i="9"/>
  <c r="I168" i="9"/>
  <c r="I169" i="9"/>
  <c r="I177" i="9"/>
  <c r="I178" i="9"/>
  <c r="I183" i="9"/>
  <c r="I184" i="9"/>
  <c r="I30" i="9"/>
  <c r="I38" i="9"/>
  <c r="I39" i="9"/>
  <c r="I44" i="9"/>
  <c r="I45" i="9"/>
  <c r="I20" i="9"/>
  <c r="I25" i="9"/>
  <c r="I14" i="9"/>
  <c r="L13" i="41"/>
  <c r="J13" i="41"/>
  <c r="I13" i="41"/>
  <c r="L15" i="1"/>
  <c r="L16" i="1"/>
  <c r="L17" i="1"/>
  <c r="L18" i="1"/>
  <c r="L19" i="1"/>
  <c r="L24" i="1"/>
  <c r="L29" i="1"/>
  <c r="L14" i="1"/>
  <c r="J15" i="1"/>
  <c r="J16" i="1"/>
  <c r="J17" i="1"/>
  <c r="J18" i="1"/>
  <c r="J19" i="1"/>
  <c r="J24" i="1"/>
  <c r="J14" i="1"/>
  <c r="I15" i="1"/>
  <c r="I16" i="1"/>
  <c r="I17" i="1"/>
  <c r="I18" i="1"/>
  <c r="I19" i="1"/>
  <c r="I24" i="1"/>
  <c r="I29" i="1"/>
  <c r="I14" i="1"/>
  <c r="N43" i="81" l="1"/>
  <c r="O40" i="81" s="1"/>
  <c r="N109" i="80"/>
  <c r="O107" i="80" s="1"/>
  <c r="I45" i="85"/>
  <c r="O38" i="81" l="1"/>
  <c r="O41" i="81"/>
  <c r="O37" i="81"/>
  <c r="O39" i="81"/>
  <c r="H23" i="101" l="1"/>
  <c r="L93" i="100"/>
  <c r="M93" i="100" s="1"/>
  <c r="J93" i="100"/>
  <c r="K93" i="100" s="1"/>
  <c r="I93" i="100"/>
  <c r="N93" i="100" s="1"/>
  <c r="H23" i="105"/>
  <c r="L93" i="104"/>
  <c r="M93" i="104" s="1"/>
  <c r="J93" i="104"/>
  <c r="K93" i="104" s="1"/>
  <c r="I93" i="104"/>
  <c r="N93" i="104" s="1"/>
  <c r="D8" i="103" l="1"/>
  <c r="D7" i="103"/>
  <c r="B11" i="103"/>
  <c r="B11" i="102"/>
  <c r="D8" i="102"/>
  <c r="D7" i="102"/>
  <c r="D8" i="101"/>
  <c r="B11" i="101"/>
  <c r="B11" i="100"/>
  <c r="D8" i="100"/>
  <c r="D7" i="105"/>
  <c r="B11" i="104"/>
  <c r="D8" i="104"/>
  <c r="D7" i="104"/>
  <c r="B11" i="99"/>
  <c r="D8" i="99"/>
  <c r="D7" i="99"/>
  <c r="B11" i="98"/>
  <c r="D8" i="98"/>
  <c r="D7" i="98"/>
  <c r="B11" i="97"/>
  <c r="D8" i="97"/>
  <c r="D7" i="97"/>
  <c r="B11" i="96"/>
  <c r="D8" i="96"/>
  <c r="B11" i="35"/>
  <c r="D8" i="35"/>
  <c r="D7" i="35"/>
  <c r="B11" i="38"/>
  <c r="D8" i="38"/>
  <c r="D7" i="38"/>
  <c r="L23" i="105" l="1"/>
  <c r="I23" i="105"/>
  <c r="L22" i="105"/>
  <c r="I22" i="105"/>
  <c r="B11" i="105"/>
  <c r="A11" i="105"/>
  <c r="D8" i="105"/>
  <c r="N7" i="105"/>
  <c r="M7" i="105"/>
  <c r="N6" i="105"/>
  <c r="N5" i="105"/>
  <c r="D5" i="105"/>
  <c r="N4" i="105"/>
  <c r="D4" i="105"/>
  <c r="L112" i="104"/>
  <c r="J112" i="104"/>
  <c r="I112" i="104"/>
  <c r="L104" i="104"/>
  <c r="J104" i="104"/>
  <c r="I104" i="104"/>
  <c r="L99" i="104"/>
  <c r="J99" i="104"/>
  <c r="I99" i="104"/>
  <c r="L98" i="104"/>
  <c r="J98" i="104"/>
  <c r="I98" i="104"/>
  <c r="H98" i="104"/>
  <c r="L92" i="104"/>
  <c r="J92" i="104"/>
  <c r="I92" i="104"/>
  <c r="L84" i="104"/>
  <c r="J84" i="104"/>
  <c r="I84" i="104"/>
  <c r="L76" i="104"/>
  <c r="J76" i="104"/>
  <c r="I76" i="104"/>
  <c r="L71" i="104"/>
  <c r="J71" i="104"/>
  <c r="I71" i="104"/>
  <c r="H71" i="104"/>
  <c r="L70" i="104"/>
  <c r="J70" i="104"/>
  <c r="I70" i="104"/>
  <c r="L62" i="104"/>
  <c r="J62" i="104"/>
  <c r="I62" i="104"/>
  <c r="L57" i="104"/>
  <c r="J57" i="104"/>
  <c r="I57" i="104"/>
  <c r="L52" i="104"/>
  <c r="J52" i="104"/>
  <c r="I52" i="104"/>
  <c r="L51" i="104"/>
  <c r="J51" i="104"/>
  <c r="I51" i="104"/>
  <c r="L46" i="104"/>
  <c r="J46" i="104"/>
  <c r="I46" i="104"/>
  <c r="L45" i="104"/>
  <c r="J45" i="104"/>
  <c r="I45" i="104"/>
  <c r="L40" i="104"/>
  <c r="J40" i="104"/>
  <c r="I40" i="104"/>
  <c r="L39" i="104"/>
  <c r="J39" i="104"/>
  <c r="I39" i="104"/>
  <c r="L34" i="104"/>
  <c r="J34" i="104"/>
  <c r="I34" i="104"/>
  <c r="L33" i="104"/>
  <c r="J33" i="104"/>
  <c r="I33" i="104"/>
  <c r="L25" i="104"/>
  <c r="J25" i="104"/>
  <c r="I25" i="104"/>
  <c r="L20" i="104"/>
  <c r="J20" i="104"/>
  <c r="I20" i="104"/>
  <c r="L14" i="104"/>
  <c r="J14" i="104"/>
  <c r="I14" i="104"/>
  <c r="H14" i="104"/>
  <c r="H84" i="104" s="1"/>
  <c r="A11" i="104"/>
  <c r="N7" i="104"/>
  <c r="M7" i="104"/>
  <c r="N6" i="104"/>
  <c r="N5" i="104"/>
  <c r="D5" i="104"/>
  <c r="N4" i="104"/>
  <c r="D4" i="104"/>
  <c r="H92" i="104" l="1"/>
  <c r="H22" i="105" s="1"/>
  <c r="H112" i="104"/>
  <c r="N112" i="104" s="1"/>
  <c r="N23" i="105"/>
  <c r="M23" i="105"/>
  <c r="N33" i="104"/>
  <c r="K76" i="104"/>
  <c r="N70" i="104"/>
  <c r="N40" i="104"/>
  <c r="N71" i="104"/>
  <c r="N98" i="104"/>
  <c r="H99" i="104"/>
  <c r="N99" i="104" s="1"/>
  <c r="K71" i="104"/>
  <c r="M71" i="104"/>
  <c r="M76" i="104"/>
  <c r="N76" i="104"/>
  <c r="N78" i="104" s="1"/>
  <c r="O76" i="104" s="1"/>
  <c r="K98" i="104"/>
  <c r="M14" i="104"/>
  <c r="N14" i="104"/>
  <c r="N17" i="104" s="1"/>
  <c r="K40" i="104"/>
  <c r="K33" i="104"/>
  <c r="K70" i="104"/>
  <c r="H20" i="104"/>
  <c r="M98" i="104"/>
  <c r="H14" i="105"/>
  <c r="M70" i="104"/>
  <c r="K14" i="104"/>
  <c r="H104" i="104"/>
  <c r="K99" i="104" l="1"/>
  <c r="M99" i="104"/>
  <c r="M112" i="104"/>
  <c r="K112" i="104"/>
  <c r="N73" i="104"/>
  <c r="N80" i="104" s="1"/>
  <c r="N101" i="104"/>
  <c r="O98" i="104" s="1"/>
  <c r="K92" i="104"/>
  <c r="N92" i="104"/>
  <c r="M92" i="104"/>
  <c r="K84" i="104"/>
  <c r="N84" i="104"/>
  <c r="N114" i="104"/>
  <c r="O112" i="104" s="1"/>
  <c r="K45" i="104"/>
  <c r="N45" i="104"/>
  <c r="N57" i="104"/>
  <c r="K57" i="104"/>
  <c r="H62" i="104"/>
  <c r="N14" i="105"/>
  <c r="M14" i="105"/>
  <c r="N34" i="104"/>
  <c r="K34" i="104"/>
  <c r="N39" i="104"/>
  <c r="K39" i="104"/>
  <c r="K104" i="104"/>
  <c r="N104" i="104"/>
  <c r="M104" i="104"/>
  <c r="N46" i="104"/>
  <c r="K46" i="104"/>
  <c r="N22" i="105"/>
  <c r="M22" i="105"/>
  <c r="N20" i="104"/>
  <c r="K20" i="104"/>
  <c r="H25" i="104"/>
  <c r="O14" i="104"/>
  <c r="N95" i="104" l="1"/>
  <c r="O93" i="104" s="1"/>
  <c r="O70" i="104"/>
  <c r="O71" i="104"/>
  <c r="M118" i="104"/>
  <c r="O99" i="104"/>
  <c r="N106" i="104"/>
  <c r="O104" i="104" s="1"/>
  <c r="N51" i="104"/>
  <c r="K51" i="104"/>
  <c r="N42" i="104"/>
  <c r="O39" i="104" s="1"/>
  <c r="N22" i="104"/>
  <c r="O20" i="104" s="1"/>
  <c r="N116" i="104"/>
  <c r="O114" i="104" s="1"/>
  <c r="N36" i="104"/>
  <c r="O34" i="104" s="1"/>
  <c r="N25" i="105"/>
  <c r="M29" i="105"/>
  <c r="O73" i="104"/>
  <c r="O78" i="104"/>
  <c r="N16" i="105"/>
  <c r="N86" i="104"/>
  <c r="O84" i="104" s="1"/>
  <c r="K52" i="104"/>
  <c r="N52" i="104"/>
  <c r="N62" i="104"/>
  <c r="K62" i="104"/>
  <c r="N48" i="104"/>
  <c r="N25" i="104"/>
  <c r="K25" i="104"/>
  <c r="N59" i="104"/>
  <c r="O57" i="104" s="1"/>
  <c r="O92" i="104" l="1"/>
  <c r="K118" i="104"/>
  <c r="N18" i="105"/>
  <c r="O16" i="105" s="1"/>
  <c r="O14" i="105"/>
  <c r="N27" i="104"/>
  <c r="O25" i="104" s="1"/>
  <c r="O40" i="104"/>
  <c r="O46" i="104"/>
  <c r="N27" i="105"/>
  <c r="O25" i="105" s="1"/>
  <c r="O23" i="105"/>
  <c r="O22" i="105"/>
  <c r="N64" i="104"/>
  <c r="O62" i="104" s="1"/>
  <c r="O45" i="104"/>
  <c r="N88" i="104"/>
  <c r="O86" i="104" s="1"/>
  <c r="N54" i="104"/>
  <c r="O52" i="104" s="1"/>
  <c r="O33" i="104"/>
  <c r="N108" i="104"/>
  <c r="O51" i="104" l="1"/>
  <c r="N29" i="104"/>
  <c r="N66" i="104"/>
  <c r="O64" i="104" s="1"/>
  <c r="O106" i="104"/>
  <c r="O95" i="104"/>
  <c r="O101" i="104"/>
  <c r="N29" i="105"/>
  <c r="O18" i="105" s="1"/>
  <c r="O27" i="105" l="1"/>
  <c r="O17" i="104"/>
  <c r="O22" i="104"/>
  <c r="O27" i="104"/>
  <c r="O36" i="104"/>
  <c r="O59" i="104"/>
  <c r="O48" i="104"/>
  <c r="O42" i="104"/>
  <c r="O54" i="104"/>
  <c r="N118" i="104"/>
  <c r="O80" i="104" l="1"/>
  <c r="O116" i="104"/>
  <c r="O88" i="104"/>
  <c r="O108" i="104"/>
  <c r="O66" i="104"/>
  <c r="O29" i="104"/>
  <c r="H19" i="51" l="1"/>
  <c r="H14" i="51"/>
  <c r="H24" i="51" s="1"/>
  <c r="N45" i="85" l="1"/>
  <c r="M45" i="85"/>
  <c r="N43" i="85"/>
  <c r="M43" i="85"/>
  <c r="N41" i="85"/>
  <c r="M41" i="85"/>
  <c r="N39" i="85"/>
  <c r="M39" i="85"/>
  <c r="M36" i="85"/>
  <c r="I36" i="85"/>
  <c r="N36" i="85" s="1"/>
  <c r="M30" i="85"/>
  <c r="I30" i="85"/>
  <c r="N30" i="85" s="1"/>
  <c r="M19" i="85"/>
  <c r="I19" i="85"/>
  <c r="N19" i="85" s="1"/>
  <c r="L78" i="84"/>
  <c r="J78" i="84"/>
  <c r="I78" i="84"/>
  <c r="L77" i="84"/>
  <c r="J77" i="84"/>
  <c r="I77" i="84"/>
  <c r="L64" i="84"/>
  <c r="J64" i="84"/>
  <c r="I64" i="84"/>
  <c r="L56" i="84"/>
  <c r="J56" i="84"/>
  <c r="I56" i="84"/>
  <c r="L48" i="84"/>
  <c r="J48" i="84"/>
  <c r="I48" i="84"/>
  <c r="L43" i="84"/>
  <c r="J43" i="84"/>
  <c r="I43" i="84"/>
  <c r="L38" i="84"/>
  <c r="J38" i="84"/>
  <c r="I38" i="84"/>
  <c r="L33" i="84"/>
  <c r="J33" i="84"/>
  <c r="I33" i="84"/>
  <c r="L28" i="84"/>
  <c r="J28" i="84"/>
  <c r="I28" i="84"/>
  <c r="L20" i="84"/>
  <c r="J20" i="84"/>
  <c r="I20" i="84"/>
  <c r="L14" i="84"/>
  <c r="J14" i="84"/>
  <c r="I14" i="84"/>
  <c r="L60" i="82"/>
  <c r="M60" i="82" s="1"/>
  <c r="J60" i="82"/>
  <c r="K60" i="82" s="1"/>
  <c r="N60" i="82"/>
  <c r="L55" i="82"/>
  <c r="M55" i="82" s="1"/>
  <c r="J55" i="82"/>
  <c r="K55" i="82" s="1"/>
  <c r="N55" i="82"/>
  <c r="L50" i="82"/>
  <c r="M50" i="82" s="1"/>
  <c r="J50" i="82"/>
  <c r="K50" i="82" s="1"/>
  <c r="N50" i="82"/>
  <c r="L42" i="82"/>
  <c r="J42" i="82"/>
  <c r="K42" i="82" s="1"/>
  <c r="N42" i="82"/>
  <c r="N44" i="82" s="1"/>
  <c r="L37" i="82"/>
  <c r="J37" i="82"/>
  <c r="K37" i="82" s="1"/>
  <c r="N37" i="82"/>
  <c r="N39" i="82" s="1"/>
  <c r="L32" i="82"/>
  <c r="J32" i="82"/>
  <c r="K32" i="82" s="1"/>
  <c r="N32" i="82"/>
  <c r="N34" i="82" s="1"/>
  <c r="L27" i="82"/>
  <c r="J27" i="82"/>
  <c r="K27" i="82" s="1"/>
  <c r="N27" i="82"/>
  <c r="N29" i="82" s="1"/>
  <c r="N22" i="82"/>
  <c r="L22" i="82"/>
  <c r="K22" i="82"/>
  <c r="L20" i="82"/>
  <c r="J20" i="82"/>
  <c r="K20" i="82" s="1"/>
  <c r="N20" i="82"/>
  <c r="L15" i="82"/>
  <c r="J15" i="82"/>
  <c r="K15" i="82" s="1"/>
  <c r="N15" i="82"/>
  <c r="N17" i="82" s="1"/>
  <c r="O14" i="82" s="1"/>
  <c r="N255" i="81"/>
  <c r="M255" i="81"/>
  <c r="N252" i="81"/>
  <c r="M252" i="81"/>
  <c r="N251" i="81"/>
  <c r="M251" i="81"/>
  <c r="N250" i="81"/>
  <c r="M250" i="81"/>
  <c r="N241" i="81"/>
  <c r="N244" i="81" s="1"/>
  <c r="O242" i="81" s="1"/>
  <c r="M241" i="81"/>
  <c r="N235" i="81"/>
  <c r="N238" i="81" s="1"/>
  <c r="O236" i="81" s="1"/>
  <c r="M235" i="81"/>
  <c r="N230" i="81"/>
  <c r="N232" i="81" s="1"/>
  <c r="M230" i="81"/>
  <c r="N224" i="81"/>
  <c r="N227" i="81" s="1"/>
  <c r="O225" i="81" s="1"/>
  <c r="M224" i="81"/>
  <c r="L216" i="81"/>
  <c r="J216" i="81"/>
  <c r="L210" i="81"/>
  <c r="M210" i="81" s="1"/>
  <c r="J210" i="81"/>
  <c r="N210" i="81"/>
  <c r="L204" i="81"/>
  <c r="M204" i="81" s="1"/>
  <c r="J204" i="81"/>
  <c r="N204" i="81"/>
  <c r="N207" i="81" s="1"/>
  <c r="O205" i="81" s="1"/>
  <c r="L199" i="81"/>
  <c r="M199" i="81" s="1"/>
  <c r="J199" i="81"/>
  <c r="N199" i="81"/>
  <c r="N190" i="81"/>
  <c r="M190" i="81"/>
  <c r="L188" i="81"/>
  <c r="M188" i="81" s="1"/>
  <c r="J188" i="81"/>
  <c r="N188" i="81"/>
  <c r="L183" i="81"/>
  <c r="M183" i="81" s="1"/>
  <c r="J183" i="81"/>
  <c r="N183" i="81"/>
  <c r="L177" i="81"/>
  <c r="M177" i="81" s="1"/>
  <c r="J177" i="81"/>
  <c r="N177" i="81"/>
  <c r="N180" i="81" s="1"/>
  <c r="O178" i="81" s="1"/>
  <c r="N169" i="81"/>
  <c r="N171" i="81" s="1"/>
  <c r="M169" i="81"/>
  <c r="L160" i="81"/>
  <c r="M160" i="81" s="1"/>
  <c r="J160" i="81"/>
  <c r="N160" i="81"/>
  <c r="L158" i="81"/>
  <c r="M158" i="81" s="1"/>
  <c r="J158" i="81"/>
  <c r="N158" i="81"/>
  <c r="L157" i="81"/>
  <c r="M157" i="81" s="1"/>
  <c r="J157" i="81"/>
  <c r="N157" i="81"/>
  <c r="L148" i="81"/>
  <c r="M148" i="81" s="1"/>
  <c r="J148" i="81"/>
  <c r="N148" i="81"/>
  <c r="L147" i="81"/>
  <c r="M147" i="81" s="1"/>
  <c r="J147" i="81"/>
  <c r="N147" i="81"/>
  <c r="L146" i="81"/>
  <c r="M146" i="81" s="1"/>
  <c r="J146" i="81"/>
  <c r="N146" i="81"/>
  <c r="M134" i="81"/>
  <c r="J134" i="81"/>
  <c r="N134" i="81"/>
  <c r="L133" i="81"/>
  <c r="M133" i="81" s="1"/>
  <c r="J133" i="81"/>
  <c r="N133" i="81"/>
  <c r="L119" i="81"/>
  <c r="M119" i="81" s="1"/>
  <c r="J119" i="81"/>
  <c r="N119" i="81"/>
  <c r="L118" i="81"/>
  <c r="M118" i="81" s="1"/>
  <c r="J118" i="81"/>
  <c r="N118" i="81"/>
  <c r="L117" i="81"/>
  <c r="M117" i="81" s="1"/>
  <c r="J117" i="81"/>
  <c r="N117" i="81"/>
  <c r="L115" i="81"/>
  <c r="M115" i="81" s="1"/>
  <c r="J115" i="81"/>
  <c r="N115" i="81"/>
  <c r="L114" i="81"/>
  <c r="M114" i="81" s="1"/>
  <c r="J114" i="81"/>
  <c r="N114" i="81"/>
  <c r="M113" i="81"/>
  <c r="J113" i="81"/>
  <c r="N113" i="81"/>
  <c r="L106" i="81"/>
  <c r="M106" i="81" s="1"/>
  <c r="J106" i="81"/>
  <c r="N106" i="81"/>
  <c r="N110" i="81" s="1"/>
  <c r="L100" i="81"/>
  <c r="M100" i="81" s="1"/>
  <c r="J100" i="81"/>
  <c r="N100" i="81"/>
  <c r="L95" i="81"/>
  <c r="M95" i="81" s="1"/>
  <c r="J95" i="81"/>
  <c r="N95" i="81"/>
  <c r="L89" i="81"/>
  <c r="M89" i="81" s="1"/>
  <c r="J89" i="81"/>
  <c r="N89" i="81"/>
  <c r="L82" i="81"/>
  <c r="M82" i="81" s="1"/>
  <c r="J82" i="81"/>
  <c r="N82" i="81"/>
  <c r="L79" i="81"/>
  <c r="M79" i="81" s="1"/>
  <c r="J79" i="81"/>
  <c r="N79" i="81"/>
  <c r="L71" i="81"/>
  <c r="M71" i="81" s="1"/>
  <c r="J71" i="81"/>
  <c r="N71" i="81"/>
  <c r="L68" i="81"/>
  <c r="M68" i="81" s="1"/>
  <c r="J68" i="81"/>
  <c r="N68" i="81"/>
  <c r="L60" i="81"/>
  <c r="M60" i="81" s="1"/>
  <c r="J60" i="81"/>
  <c r="N60" i="81"/>
  <c r="N54" i="81"/>
  <c r="N57" i="81" s="1"/>
  <c r="O55" i="81" s="1"/>
  <c r="M54" i="81"/>
  <c r="L47" i="81"/>
  <c r="M47" i="81" s="1"/>
  <c r="J47" i="81"/>
  <c r="N47" i="81"/>
  <c r="L46" i="81"/>
  <c r="M46" i="81" s="1"/>
  <c r="J46" i="81"/>
  <c r="N46" i="81"/>
  <c r="L30" i="81"/>
  <c r="M30" i="81" s="1"/>
  <c r="J30" i="81"/>
  <c r="N30" i="81"/>
  <c r="N34" i="81" s="1"/>
  <c r="M21" i="81"/>
  <c r="J21" i="81"/>
  <c r="N21" i="81"/>
  <c r="N25" i="81" s="1"/>
  <c r="L16" i="81"/>
  <c r="M16" i="81" s="1"/>
  <c r="J16" i="81"/>
  <c r="N16" i="81"/>
  <c r="N18" i="81" s="1"/>
  <c r="L136" i="79"/>
  <c r="J136" i="79"/>
  <c r="L135" i="79"/>
  <c r="J135" i="79"/>
  <c r="H135" i="79"/>
  <c r="L125" i="79"/>
  <c r="J125" i="79"/>
  <c r="K125" i="79" s="1"/>
  <c r="N125" i="79"/>
  <c r="L120" i="79"/>
  <c r="M120" i="79" s="1"/>
  <c r="J120" i="79"/>
  <c r="K120" i="79" s="1"/>
  <c r="N120" i="79"/>
  <c r="L119" i="79"/>
  <c r="M119" i="79" s="1"/>
  <c r="K119" i="79"/>
  <c r="N119" i="79"/>
  <c r="L113" i="79"/>
  <c r="J113" i="79"/>
  <c r="K113" i="79" s="1"/>
  <c r="N113" i="79"/>
  <c r="L112" i="79"/>
  <c r="J112" i="79"/>
  <c r="K112" i="79" s="1"/>
  <c r="N112" i="79"/>
  <c r="L106" i="79"/>
  <c r="J106" i="79"/>
  <c r="K106" i="79" s="1"/>
  <c r="N106" i="79"/>
  <c r="L98" i="79"/>
  <c r="M98" i="79" s="1"/>
  <c r="J98" i="79"/>
  <c r="K98" i="79" s="1"/>
  <c r="N98" i="79"/>
  <c r="L92" i="79"/>
  <c r="M92" i="79" s="1"/>
  <c r="J92" i="79"/>
  <c r="K92" i="79" s="1"/>
  <c r="N92" i="79"/>
  <c r="N95" i="79" s="1"/>
  <c r="O93" i="79" s="1"/>
  <c r="L84" i="79"/>
  <c r="J84" i="79"/>
  <c r="H84" i="79"/>
  <c r="L79" i="79"/>
  <c r="M79" i="79" s="1"/>
  <c r="J79" i="79"/>
  <c r="K79" i="79" s="1"/>
  <c r="N79" i="79"/>
  <c r="L74" i="79"/>
  <c r="M74" i="79" s="1"/>
  <c r="J74" i="79"/>
  <c r="K74" i="79" s="1"/>
  <c r="N74" i="79"/>
  <c r="L69" i="79"/>
  <c r="M69" i="79" s="1"/>
  <c r="J69" i="79"/>
  <c r="K69" i="79" s="1"/>
  <c r="N69" i="79"/>
  <c r="L64" i="79"/>
  <c r="M64" i="79" s="1"/>
  <c r="J64" i="79"/>
  <c r="K64" i="79" s="1"/>
  <c r="N64" i="79"/>
  <c r="L56" i="79"/>
  <c r="J56" i="79"/>
  <c r="L48" i="79"/>
  <c r="J48" i="79"/>
  <c r="L43" i="79"/>
  <c r="J43" i="79"/>
  <c r="L38" i="79"/>
  <c r="J38" i="79"/>
  <c r="L33" i="79"/>
  <c r="J33" i="79"/>
  <c r="L28" i="79"/>
  <c r="J28" i="79"/>
  <c r="L20" i="79"/>
  <c r="J20" i="79"/>
  <c r="H20" i="79"/>
  <c r="L14" i="79"/>
  <c r="M14" i="79" s="1"/>
  <c r="J14" i="79"/>
  <c r="K14" i="79" s="1"/>
  <c r="N14" i="79"/>
  <c r="N151" i="80"/>
  <c r="M151" i="80"/>
  <c r="M144" i="80"/>
  <c r="K144" i="80"/>
  <c r="N144" i="80"/>
  <c r="N146" i="80" s="1"/>
  <c r="H136" i="80"/>
  <c r="M123" i="80"/>
  <c r="K123" i="80"/>
  <c r="N123" i="80"/>
  <c r="K86" i="80"/>
  <c r="N86" i="80"/>
  <c r="N88" i="80" s="1"/>
  <c r="K81" i="80"/>
  <c r="M65" i="80"/>
  <c r="K65" i="80"/>
  <c r="N65" i="80"/>
  <c r="M64" i="80"/>
  <c r="K64" i="80"/>
  <c r="N64" i="80"/>
  <c r="H46" i="80"/>
  <c r="H45" i="80"/>
  <c r="K40" i="80"/>
  <c r="N40" i="80"/>
  <c r="K39" i="80"/>
  <c r="N39" i="80"/>
  <c r="K34" i="80"/>
  <c r="N34" i="80"/>
  <c r="K33" i="80"/>
  <c r="N33" i="80"/>
  <c r="K24" i="80"/>
  <c r="N24" i="80"/>
  <c r="N26" i="80" s="1"/>
  <c r="H19" i="80"/>
  <c r="M14" i="80"/>
  <c r="K14" i="80"/>
  <c r="N14" i="80"/>
  <c r="N49" i="78"/>
  <c r="M49" i="78"/>
  <c r="K49" i="78"/>
  <c r="M44" i="78"/>
  <c r="K44" i="78"/>
  <c r="N44" i="78"/>
  <c r="M39" i="78"/>
  <c r="K39" i="78"/>
  <c r="N39" i="78"/>
  <c r="M38" i="78"/>
  <c r="K38" i="78"/>
  <c r="N38" i="78"/>
  <c r="M33" i="78"/>
  <c r="K33" i="78"/>
  <c r="N33" i="78"/>
  <c r="M32" i="78"/>
  <c r="K32" i="78"/>
  <c r="N32" i="78"/>
  <c r="M24" i="78"/>
  <c r="K24" i="78"/>
  <c r="N24" i="78"/>
  <c r="M22" i="78"/>
  <c r="K22" i="78"/>
  <c r="N22" i="78"/>
  <c r="K14" i="78"/>
  <c r="N14" i="78"/>
  <c r="N193" i="81" l="1"/>
  <c r="O191" i="81" s="1"/>
  <c r="N41" i="78"/>
  <c r="O38" i="78" s="1"/>
  <c r="N67" i="80"/>
  <c r="O65" i="80" s="1"/>
  <c r="N86" i="81"/>
  <c r="O83" i="81" s="1"/>
  <c r="N92" i="81"/>
  <c r="O90" i="81" s="1"/>
  <c r="N76" i="81"/>
  <c r="O71" i="81" s="1"/>
  <c r="N35" i="78"/>
  <c r="O32" i="78" s="1"/>
  <c r="M91" i="80"/>
  <c r="N260" i="81"/>
  <c r="O257" i="81" s="1"/>
  <c r="N42" i="80"/>
  <c r="O39" i="80" s="1"/>
  <c r="N24" i="82"/>
  <c r="O21" i="82" s="1"/>
  <c r="K101" i="80"/>
  <c r="N51" i="78"/>
  <c r="N166" i="81"/>
  <c r="O164" i="81" s="1"/>
  <c r="N47" i="85"/>
  <c r="O19" i="85" s="1"/>
  <c r="N51" i="81"/>
  <c r="O48" i="81" s="1"/>
  <c r="O108" i="81"/>
  <c r="O107" i="81"/>
  <c r="O105" i="81"/>
  <c r="O22" i="81"/>
  <c r="O23" i="81"/>
  <c r="N130" i="81"/>
  <c r="O29" i="81"/>
  <c r="O31" i="81"/>
  <c r="O32" i="81"/>
  <c r="O28" i="81"/>
  <c r="N143" i="81"/>
  <c r="O135" i="81" s="1"/>
  <c r="N154" i="81"/>
  <c r="O150" i="81" s="1"/>
  <c r="O15" i="81"/>
  <c r="N84" i="79"/>
  <c r="N86" i="79" s="1"/>
  <c r="N19" i="80"/>
  <c r="N21" i="80" s="1"/>
  <c r="N56" i="79"/>
  <c r="N58" i="79" s="1"/>
  <c r="N28" i="79"/>
  <c r="N30" i="79" s="1"/>
  <c r="N91" i="80"/>
  <c r="N93" i="80" s="1"/>
  <c r="N101" i="80"/>
  <c r="K46" i="80"/>
  <c r="K20" i="79"/>
  <c r="M14" i="84"/>
  <c r="M81" i="80"/>
  <c r="N81" i="80"/>
  <c r="N83" i="80" s="1"/>
  <c r="O81" i="80" s="1"/>
  <c r="K102" i="80"/>
  <c r="N216" i="81"/>
  <c r="K19" i="80"/>
  <c r="M216" i="81"/>
  <c r="M264" i="81" s="1"/>
  <c r="N23" i="78"/>
  <c r="N26" i="78" s="1"/>
  <c r="K45" i="80"/>
  <c r="K84" i="79"/>
  <c r="K51" i="80"/>
  <c r="K91" i="80"/>
  <c r="M136" i="80"/>
  <c r="M102" i="80"/>
  <c r="N135" i="79"/>
  <c r="K14" i="84"/>
  <c r="N52" i="82"/>
  <c r="O50" i="82" s="1"/>
  <c r="H20" i="84"/>
  <c r="N20" i="84" s="1"/>
  <c r="N22" i="84" s="1"/>
  <c r="N102" i="80"/>
  <c r="M112" i="80"/>
  <c r="K23" i="78"/>
  <c r="M23" i="78"/>
  <c r="M96" i="80"/>
  <c r="N51" i="80"/>
  <c r="N73" i="80"/>
  <c r="N75" i="80" s="1"/>
  <c r="M101" i="80"/>
  <c r="K28" i="79"/>
  <c r="O86" i="80"/>
  <c r="K28" i="84"/>
  <c r="M51" i="85"/>
  <c r="K64" i="84"/>
  <c r="N64" i="84"/>
  <c r="N71" i="84" s="1"/>
  <c r="N14" i="84"/>
  <c r="O15" i="82"/>
  <c r="N57" i="82"/>
  <c r="O55" i="82" s="1"/>
  <c r="N62" i="82"/>
  <c r="K66" i="82"/>
  <c r="M66" i="82"/>
  <c r="O27" i="82"/>
  <c r="O32" i="82"/>
  <c r="O37" i="82"/>
  <c r="O42" i="82"/>
  <c r="N102" i="81"/>
  <c r="O100" i="81" s="1"/>
  <c r="N62" i="81"/>
  <c r="O60" i="81" s="1"/>
  <c r="N185" i="81"/>
  <c r="O16" i="81"/>
  <c r="O106" i="81"/>
  <c r="O169" i="81"/>
  <c r="N97" i="81"/>
  <c r="O95" i="81" s="1"/>
  <c r="O177" i="81"/>
  <c r="O189" i="81"/>
  <c r="O241" i="81"/>
  <c r="N201" i="81"/>
  <c r="N212" i="81"/>
  <c r="O210" i="81" s="1"/>
  <c r="O224" i="81"/>
  <c r="O21" i="81"/>
  <c r="O30" i="81"/>
  <c r="O235" i="81"/>
  <c r="O54" i="81"/>
  <c r="O230" i="81"/>
  <c r="N100" i="79"/>
  <c r="N76" i="79"/>
  <c r="O74" i="79" s="1"/>
  <c r="N66" i="79"/>
  <c r="N33" i="79"/>
  <c r="H43" i="79"/>
  <c r="H38" i="79"/>
  <c r="K33" i="79"/>
  <c r="N109" i="79"/>
  <c r="N17" i="79"/>
  <c r="O14" i="79" s="1"/>
  <c r="N81" i="79"/>
  <c r="O79" i="79" s="1"/>
  <c r="O92" i="79"/>
  <c r="N129" i="79"/>
  <c r="N71" i="79"/>
  <c r="N116" i="79"/>
  <c r="O114" i="79" s="1"/>
  <c r="N20" i="79"/>
  <c r="M84" i="79"/>
  <c r="H136" i="79"/>
  <c r="K135" i="79"/>
  <c r="N16" i="80"/>
  <c r="O14" i="80" s="1"/>
  <c r="N36" i="80"/>
  <c r="N148" i="80"/>
  <c r="O146" i="80" s="1"/>
  <c r="O24" i="80"/>
  <c r="N46" i="80"/>
  <c r="N112" i="80"/>
  <c r="N136" i="80"/>
  <c r="N45" i="80"/>
  <c r="K96" i="80"/>
  <c r="N96" i="80"/>
  <c r="H117" i="80"/>
  <c r="O144" i="80"/>
  <c r="N153" i="80"/>
  <c r="O151" i="80" s="1"/>
  <c r="H56" i="80"/>
  <c r="K73" i="80"/>
  <c r="K112" i="80"/>
  <c r="K136" i="80"/>
  <c r="N16" i="78"/>
  <c r="M71" i="82" l="1"/>
  <c r="O89" i="81"/>
  <c r="O22" i="82"/>
  <c r="O254" i="81"/>
  <c r="O251" i="81"/>
  <c r="O256" i="81"/>
  <c r="O249" i="81"/>
  <c r="O253" i="81"/>
  <c r="O258" i="81"/>
  <c r="O49" i="81"/>
  <c r="K56" i="79"/>
  <c r="N48" i="80"/>
  <c r="N104" i="80"/>
  <c r="O102" i="80" s="1"/>
  <c r="K122" i="80"/>
  <c r="O69" i="84"/>
  <c r="O67" i="84"/>
  <c r="O68" i="84"/>
  <c r="O66" i="84"/>
  <c r="O65" i="84"/>
  <c r="O120" i="79"/>
  <c r="O126" i="79"/>
  <c r="O122" i="79"/>
  <c r="O121" i="79"/>
  <c r="O127" i="79"/>
  <c r="O123" i="79"/>
  <c r="O124" i="79"/>
  <c r="O45" i="78"/>
  <c r="O47" i="78"/>
  <c r="O48" i="78"/>
  <c r="O46" i="78"/>
  <c r="O141" i="81"/>
  <c r="O106" i="79"/>
  <c r="O107" i="79"/>
  <c r="O24" i="85"/>
  <c r="O22" i="85"/>
  <c r="O20" i="85"/>
  <c r="O45" i="85"/>
  <c r="O17" i="85"/>
  <c r="O23" i="85"/>
  <c r="O34" i="85"/>
  <c r="O26" i="85"/>
  <c r="O16" i="85"/>
  <c r="O43" i="85"/>
  <c r="O29" i="85"/>
  <c r="O21" i="85"/>
  <c r="O44" i="85"/>
  <c r="O36" i="85"/>
  <c r="O25" i="85"/>
  <c r="O39" i="85"/>
  <c r="O37" i="85"/>
  <c r="O35" i="85"/>
  <c r="O27" i="85"/>
  <c r="O15" i="85"/>
  <c r="O38" i="85"/>
  <c r="O32" i="85"/>
  <c r="O30" i="85"/>
  <c r="O28" i="85"/>
  <c r="O18" i="85"/>
  <c r="O14" i="85"/>
  <c r="O31" i="85"/>
  <c r="O33" i="85"/>
  <c r="O42" i="85"/>
  <c r="O41" i="85"/>
  <c r="O40" i="85"/>
  <c r="O81" i="81"/>
  <c r="O84" i="81"/>
  <c r="N64" i="81"/>
  <c r="O43" i="81" s="1"/>
  <c r="N173" i="81"/>
  <c r="O73" i="81"/>
  <c r="O74" i="81"/>
  <c r="O72" i="81"/>
  <c r="O69" i="81"/>
  <c r="O70" i="81"/>
  <c r="O252" i="81"/>
  <c r="O255" i="81"/>
  <c r="O250" i="81"/>
  <c r="O162" i="81"/>
  <c r="O163" i="81"/>
  <c r="O159" i="81"/>
  <c r="O161" i="81"/>
  <c r="O149" i="81"/>
  <c r="O151" i="81"/>
  <c r="O146" i="81"/>
  <c r="O152" i="81"/>
  <c r="O139" i="81"/>
  <c r="O140" i="81"/>
  <c r="O137" i="81"/>
  <c r="O138" i="81"/>
  <c r="O136" i="81"/>
  <c r="O127" i="81"/>
  <c r="O128" i="81"/>
  <c r="O125" i="81"/>
  <c r="O126" i="81"/>
  <c r="O123" i="81"/>
  <c r="O124" i="81"/>
  <c r="O122" i="81"/>
  <c r="O121" i="81"/>
  <c r="O120" i="81"/>
  <c r="O117" i="81"/>
  <c r="O116" i="81"/>
  <c r="O82" i="81"/>
  <c r="O80" i="81"/>
  <c r="O47" i="81"/>
  <c r="N262" i="81"/>
  <c r="O84" i="79"/>
  <c r="N60" i="79"/>
  <c r="O58" i="79" s="1"/>
  <c r="O19" i="80"/>
  <c r="O91" i="80"/>
  <c r="O28" i="79"/>
  <c r="N122" i="80"/>
  <c r="N125" i="80" s="1"/>
  <c r="O23" i="78"/>
  <c r="N28" i="78"/>
  <c r="O26" i="78" s="1"/>
  <c r="O56" i="79"/>
  <c r="O22" i="78"/>
  <c r="O24" i="78"/>
  <c r="O64" i="80"/>
  <c r="O79" i="81"/>
  <c r="N218" i="81"/>
  <c r="O216" i="81" s="1"/>
  <c r="O46" i="81"/>
  <c r="O119" i="79"/>
  <c r="O20" i="82"/>
  <c r="O125" i="79"/>
  <c r="O20" i="84"/>
  <c r="N53" i="80"/>
  <c r="O51" i="80" s="1"/>
  <c r="O118" i="81"/>
  <c r="N246" i="81"/>
  <c r="O232" i="81" s="1"/>
  <c r="K20" i="84"/>
  <c r="O39" i="78"/>
  <c r="O119" i="81"/>
  <c r="O73" i="80"/>
  <c r="O114" i="81"/>
  <c r="N28" i="84"/>
  <c r="N49" i="85"/>
  <c r="N17" i="84"/>
  <c r="O14" i="84" s="1"/>
  <c r="O64" i="84"/>
  <c r="N77" i="84"/>
  <c r="K77" i="84"/>
  <c r="H78" i="84"/>
  <c r="N64" i="82"/>
  <c r="O57" i="82" s="1"/>
  <c r="O60" i="82"/>
  <c r="N46" i="82"/>
  <c r="O24" i="82" s="1"/>
  <c r="N195" i="81"/>
  <c r="O193" i="81" s="1"/>
  <c r="O204" i="81"/>
  <c r="O157" i="81"/>
  <c r="O199" i="81"/>
  <c r="O183" i="81"/>
  <c r="O190" i="81"/>
  <c r="O134" i="81"/>
  <c r="O160" i="81"/>
  <c r="O147" i="81"/>
  <c r="O158" i="81"/>
  <c r="O115" i="81"/>
  <c r="O113" i="81"/>
  <c r="O188" i="81"/>
  <c r="O133" i="81"/>
  <c r="O68" i="81"/>
  <c r="O148" i="81"/>
  <c r="O112" i="79"/>
  <c r="N88" i="79"/>
  <c r="O76" i="79" s="1"/>
  <c r="O113" i="79"/>
  <c r="N136" i="79"/>
  <c r="N138" i="79" s="1"/>
  <c r="M136" i="79"/>
  <c r="M142" i="79" s="1"/>
  <c r="K136" i="79"/>
  <c r="O69" i="79"/>
  <c r="N38" i="79"/>
  <c r="K38" i="79"/>
  <c r="N22" i="79"/>
  <c r="N43" i="79"/>
  <c r="K43" i="79"/>
  <c r="H48" i="79"/>
  <c r="N35" i="79"/>
  <c r="O33" i="79" s="1"/>
  <c r="N102" i="79"/>
  <c r="O95" i="79" s="1"/>
  <c r="N131" i="79"/>
  <c r="O64" i="79"/>
  <c r="O98" i="79"/>
  <c r="N138" i="80"/>
  <c r="K56" i="80"/>
  <c r="N56" i="80"/>
  <c r="N114" i="80"/>
  <c r="N28" i="80"/>
  <c r="O16" i="80" s="1"/>
  <c r="N155" i="80"/>
  <c r="M128" i="80"/>
  <c r="N128" i="80"/>
  <c r="K128" i="80"/>
  <c r="O40" i="80"/>
  <c r="N69" i="80"/>
  <c r="K117" i="80"/>
  <c r="M117" i="80"/>
  <c r="N117" i="80"/>
  <c r="N98" i="80"/>
  <c r="O96" i="80" s="1"/>
  <c r="O34" i="80"/>
  <c r="O33" i="80"/>
  <c r="N77" i="80"/>
  <c r="O75" i="80" s="1"/>
  <c r="O44" i="78"/>
  <c r="O33" i="78"/>
  <c r="N18" i="78"/>
  <c r="O49" i="78"/>
  <c r="N53" i="78"/>
  <c r="O14" i="78"/>
  <c r="O101" i="80" l="1"/>
  <c r="O34" i="81"/>
  <c r="O122" i="80"/>
  <c r="O17" i="82"/>
  <c r="O92" i="81"/>
  <c r="O260" i="81"/>
  <c r="O116" i="79"/>
  <c r="O227" i="81"/>
  <c r="O57" i="81"/>
  <c r="O18" i="81"/>
  <c r="O51" i="81"/>
  <c r="O109" i="79"/>
  <c r="O100" i="79"/>
  <c r="O62" i="81"/>
  <c r="O25" i="81"/>
  <c r="N220" i="81"/>
  <c r="O218" i="81" s="1"/>
  <c r="O110" i="81"/>
  <c r="N30" i="84"/>
  <c r="O28" i="84" s="1"/>
  <c r="K56" i="84"/>
  <c r="N56" i="84"/>
  <c r="N58" i="84" s="1"/>
  <c r="N60" i="84" s="1"/>
  <c r="O62" i="82"/>
  <c r="H38" i="84"/>
  <c r="N33" i="84"/>
  <c r="N35" i="84" s="1"/>
  <c r="O33" i="84" s="1"/>
  <c r="K33" i="84"/>
  <c r="H43" i="84"/>
  <c r="O238" i="81"/>
  <c r="O244" i="81"/>
  <c r="O76" i="81"/>
  <c r="O143" i="81"/>
  <c r="N51" i="85"/>
  <c r="O49" i="85" s="1"/>
  <c r="O47" i="85"/>
  <c r="N78" i="84"/>
  <c r="N80" i="84" s="1"/>
  <c r="M78" i="84"/>
  <c r="M84" i="84" s="1"/>
  <c r="K78" i="84"/>
  <c r="N73" i="84"/>
  <c r="N24" i="84"/>
  <c r="O17" i="84" s="1"/>
  <c r="N66" i="82"/>
  <c r="O46" i="82" s="1"/>
  <c r="O34" i="82"/>
  <c r="O44" i="82"/>
  <c r="O29" i="82"/>
  <c r="O39" i="82"/>
  <c r="O52" i="82"/>
  <c r="O180" i="81"/>
  <c r="O86" i="81"/>
  <c r="O171" i="81"/>
  <c r="O97" i="81"/>
  <c r="O166" i="81"/>
  <c r="O102" i="81"/>
  <c r="O130" i="81"/>
  <c r="O154" i="81"/>
  <c r="O185" i="81"/>
  <c r="O20" i="79"/>
  <c r="N24" i="79"/>
  <c r="O22" i="79" s="1"/>
  <c r="N40" i="79"/>
  <c r="O38" i="79" s="1"/>
  <c r="O86" i="79"/>
  <c r="O129" i="79"/>
  <c r="N48" i="79"/>
  <c r="K48" i="79"/>
  <c r="K142" i="79" s="1"/>
  <c r="M148" i="79" s="1"/>
  <c r="O81" i="79"/>
  <c r="N45" i="79"/>
  <c r="O43" i="79" s="1"/>
  <c r="O71" i="79"/>
  <c r="O66" i="79"/>
  <c r="N119" i="80"/>
  <c r="O46" i="80"/>
  <c r="O21" i="80"/>
  <c r="O26" i="80"/>
  <c r="N140" i="80"/>
  <c r="O136" i="80"/>
  <c r="N130" i="80"/>
  <c r="O128" i="80" s="1"/>
  <c r="O123" i="80"/>
  <c r="O45" i="80"/>
  <c r="O67" i="80"/>
  <c r="O112" i="80"/>
  <c r="O153" i="80"/>
  <c r="N58" i="80"/>
  <c r="O56" i="80" s="1"/>
  <c r="O51" i="78"/>
  <c r="O41" i="78"/>
  <c r="O16" i="78"/>
  <c r="O35" i="78"/>
  <c r="N132" i="80" l="1"/>
  <c r="O109" i="80" s="1"/>
  <c r="N264" i="81"/>
  <c r="O64" i="81" s="1"/>
  <c r="O207" i="81"/>
  <c r="O212" i="81"/>
  <c r="O201" i="81"/>
  <c r="O56" i="84"/>
  <c r="O58" i="84"/>
  <c r="N43" i="84"/>
  <c r="N45" i="84" s="1"/>
  <c r="H48" i="84"/>
  <c r="K43" i="84"/>
  <c r="N38" i="84"/>
  <c r="K38" i="84"/>
  <c r="O64" i="82"/>
  <c r="O78" i="84"/>
  <c r="O22" i="84"/>
  <c r="O71" i="84"/>
  <c r="O17" i="79"/>
  <c r="N50" i="79"/>
  <c r="O48" i="79" s="1"/>
  <c r="N140" i="79"/>
  <c r="O138" i="79" s="1"/>
  <c r="O135" i="79"/>
  <c r="O136" i="79"/>
  <c r="O117" i="80"/>
  <c r="O138" i="80"/>
  <c r="N60" i="80"/>
  <c r="O58" i="80" s="1"/>
  <c r="O173" i="81" l="1"/>
  <c r="O246" i="81"/>
  <c r="O195" i="81"/>
  <c r="O220" i="81"/>
  <c r="O262" i="81"/>
  <c r="O43" i="84"/>
  <c r="N48" i="84"/>
  <c r="K48" i="84"/>
  <c r="K84" i="84" s="1"/>
  <c r="M89" i="84" s="1"/>
  <c r="N40" i="84"/>
  <c r="O38" i="84" s="1"/>
  <c r="N82" i="84"/>
  <c r="O80" i="84" s="1"/>
  <c r="O77" i="84"/>
  <c r="N52" i="79"/>
  <c r="O50" i="79" s="1"/>
  <c r="O53" i="80"/>
  <c r="O36" i="80"/>
  <c r="O42" i="80"/>
  <c r="O48" i="80"/>
  <c r="O83" i="80"/>
  <c r="O93" i="80"/>
  <c r="O88" i="80"/>
  <c r="O104" i="80"/>
  <c r="O125" i="80"/>
  <c r="O98" i="80"/>
  <c r="O114" i="80"/>
  <c r="O130" i="80"/>
  <c r="O119" i="80"/>
  <c r="N50" i="84" l="1"/>
  <c r="O30" i="79"/>
  <c r="O35" i="79"/>
  <c r="O40" i="79"/>
  <c r="N142" i="79"/>
  <c r="O45" i="79"/>
  <c r="N52" i="84" l="1"/>
  <c r="N84" i="84" s="1"/>
  <c r="O48" i="84"/>
  <c r="O60" i="79"/>
  <c r="O88" i="79"/>
  <c r="O131" i="79"/>
  <c r="O102" i="79"/>
  <c r="O24" i="79"/>
  <c r="O140" i="79"/>
  <c r="O52" i="79"/>
  <c r="O35" i="84" l="1"/>
  <c r="O40" i="84"/>
  <c r="O45" i="84"/>
  <c r="O30" i="84"/>
  <c r="O50" i="84"/>
  <c r="N33" i="95"/>
  <c r="M33" i="95"/>
  <c r="N32" i="95"/>
  <c r="M32" i="95"/>
  <c r="N31" i="95"/>
  <c r="M31" i="95"/>
  <c r="N30" i="95"/>
  <c r="M30" i="95"/>
  <c r="N29" i="95"/>
  <c r="M29" i="95"/>
  <c r="N28" i="95"/>
  <c r="M28" i="95"/>
  <c r="B28" i="95"/>
  <c r="M33" i="94"/>
  <c r="M32" i="94"/>
  <c r="M31" i="94"/>
  <c r="M30" i="94"/>
  <c r="M29" i="94"/>
  <c r="M28" i="94"/>
  <c r="B28" i="94"/>
  <c r="K137" i="59"/>
  <c r="K122" i="59"/>
  <c r="B28" i="58"/>
  <c r="H15" i="56"/>
  <c r="J114" i="55"/>
  <c r="H14" i="52"/>
  <c r="H15" i="52"/>
  <c r="H16" i="52"/>
  <c r="H17" i="52"/>
  <c r="H18" i="52"/>
  <c r="H19" i="52"/>
  <c r="H20" i="52"/>
  <c r="H21" i="52"/>
  <c r="H13" i="52"/>
  <c r="L20" i="52"/>
  <c r="L21" i="52"/>
  <c r="I17" i="52"/>
  <c r="I18" i="52"/>
  <c r="I19" i="52"/>
  <c r="I20" i="52"/>
  <c r="I21" i="52"/>
  <c r="L13" i="52"/>
  <c r="I13" i="52"/>
  <c r="M69" i="51"/>
  <c r="M70" i="51"/>
  <c r="M71" i="51"/>
  <c r="M72" i="51"/>
  <c r="J69" i="51"/>
  <c r="N69" i="51" s="1"/>
  <c r="J70" i="51"/>
  <c r="N70" i="51" s="1"/>
  <c r="J71" i="51"/>
  <c r="N71" i="51" s="1"/>
  <c r="J72" i="51"/>
  <c r="K72" i="51" s="1"/>
  <c r="N114" i="55" l="1"/>
  <c r="N21" i="52"/>
  <c r="O60" i="84"/>
  <c r="O24" i="84"/>
  <c r="O52" i="84"/>
  <c r="O73" i="84"/>
  <c r="O82" i="84"/>
  <c r="N35" i="95"/>
  <c r="O30" i="95" s="1"/>
  <c r="K71" i="51"/>
  <c r="N20" i="52"/>
  <c r="M18" i="52"/>
  <c r="M20" i="52"/>
  <c r="M19" i="52"/>
  <c r="N72" i="51"/>
  <c r="M17" i="52"/>
  <c r="M21" i="52"/>
  <c r="N19" i="52"/>
  <c r="N18" i="52"/>
  <c r="N17" i="52"/>
  <c r="N13" i="52"/>
  <c r="M13" i="52"/>
  <c r="K70" i="51"/>
  <c r="K69" i="51"/>
  <c r="O28" i="95" l="1"/>
  <c r="O31" i="95"/>
  <c r="O33" i="95"/>
  <c r="O32" i="95"/>
  <c r="O29" i="95"/>
  <c r="M77" i="51" l="1"/>
  <c r="J77" i="51"/>
  <c r="K77" i="51" s="1"/>
  <c r="M75" i="51"/>
  <c r="J75" i="51"/>
  <c r="N75" i="51" s="1"/>
  <c r="K91" i="49"/>
  <c r="H20" i="50"/>
  <c r="H100" i="49"/>
  <c r="N91" i="49"/>
  <c r="N97" i="49" s="1"/>
  <c r="N84" i="49"/>
  <c r="O95" i="49" l="1"/>
  <c r="O93" i="49"/>
  <c r="O92" i="49"/>
  <c r="O94" i="49"/>
  <c r="N77" i="51"/>
  <c r="K75" i="51"/>
  <c r="H34" i="49"/>
  <c r="H29" i="49"/>
  <c r="H28" i="49"/>
  <c r="H39" i="49" l="1"/>
  <c r="H73" i="49"/>
  <c r="H40" i="49"/>
  <c r="H51" i="49" s="1"/>
  <c r="H56" i="49" s="1"/>
  <c r="H71" i="102" l="1"/>
  <c r="H14" i="102"/>
  <c r="L23" i="103"/>
  <c r="I23" i="103"/>
  <c r="L22" i="103"/>
  <c r="I22" i="103"/>
  <c r="A11" i="103"/>
  <c r="N7" i="103"/>
  <c r="M7" i="103"/>
  <c r="N6" i="103"/>
  <c r="N5" i="103"/>
  <c r="D5" i="103"/>
  <c r="N4" i="103"/>
  <c r="D4" i="103"/>
  <c r="L112" i="102"/>
  <c r="J112" i="102"/>
  <c r="I112" i="102"/>
  <c r="L104" i="102"/>
  <c r="J104" i="102"/>
  <c r="I104" i="102"/>
  <c r="L99" i="102"/>
  <c r="J99" i="102"/>
  <c r="I99" i="102"/>
  <c r="L98" i="102"/>
  <c r="J98" i="102"/>
  <c r="I98" i="102"/>
  <c r="H98" i="102"/>
  <c r="L92" i="102"/>
  <c r="J92" i="102"/>
  <c r="I92" i="102"/>
  <c r="L84" i="102"/>
  <c r="J84" i="102"/>
  <c r="I84" i="102"/>
  <c r="L76" i="102"/>
  <c r="J76" i="102"/>
  <c r="I76" i="102"/>
  <c r="L71" i="102"/>
  <c r="J71" i="102"/>
  <c r="I71" i="102"/>
  <c r="L70" i="102"/>
  <c r="J70" i="102"/>
  <c r="I70" i="102"/>
  <c r="L62" i="102"/>
  <c r="J62" i="102"/>
  <c r="I62" i="102"/>
  <c r="L57" i="102"/>
  <c r="J57" i="102"/>
  <c r="I57" i="102"/>
  <c r="L52" i="102"/>
  <c r="J52" i="102"/>
  <c r="I52" i="102"/>
  <c r="L51" i="102"/>
  <c r="J51" i="102"/>
  <c r="I51" i="102"/>
  <c r="L46" i="102"/>
  <c r="J46" i="102"/>
  <c r="I46" i="102"/>
  <c r="L45" i="102"/>
  <c r="J45" i="102"/>
  <c r="I45" i="102"/>
  <c r="L40" i="102"/>
  <c r="J40" i="102"/>
  <c r="I40" i="102"/>
  <c r="L39" i="102"/>
  <c r="J39" i="102"/>
  <c r="I39" i="102"/>
  <c r="L34" i="102"/>
  <c r="J34" i="102"/>
  <c r="I34" i="102"/>
  <c r="L33" i="102"/>
  <c r="J33" i="102"/>
  <c r="I33" i="102"/>
  <c r="L25" i="102"/>
  <c r="J25" i="102"/>
  <c r="I25" i="102"/>
  <c r="L20" i="102"/>
  <c r="J20" i="102"/>
  <c r="I20" i="102"/>
  <c r="L14" i="102"/>
  <c r="J14" i="102"/>
  <c r="I14" i="102"/>
  <c r="A11" i="102"/>
  <c r="N7" i="102"/>
  <c r="M7" i="102"/>
  <c r="N6" i="102"/>
  <c r="N5" i="102"/>
  <c r="D5" i="102"/>
  <c r="N4" i="102"/>
  <c r="D4" i="102"/>
  <c r="H14" i="100"/>
  <c r="L23" i="101"/>
  <c r="I23" i="101"/>
  <c r="L22" i="101"/>
  <c r="I22" i="101"/>
  <c r="A11" i="101"/>
  <c r="N7" i="101"/>
  <c r="M7" i="101"/>
  <c r="D7" i="101"/>
  <c r="N6" i="101"/>
  <c r="N5" i="101"/>
  <c r="D5" i="101"/>
  <c r="N4" i="101"/>
  <c r="D4" i="101"/>
  <c r="L112" i="100"/>
  <c r="J112" i="100"/>
  <c r="I112" i="100"/>
  <c r="L104" i="100"/>
  <c r="J104" i="100"/>
  <c r="I104" i="100"/>
  <c r="L99" i="100"/>
  <c r="J99" i="100"/>
  <c r="I99" i="100"/>
  <c r="L98" i="100"/>
  <c r="J98" i="100"/>
  <c r="I98" i="100"/>
  <c r="H98" i="100"/>
  <c r="L92" i="100"/>
  <c r="J92" i="100"/>
  <c r="I92" i="100"/>
  <c r="L84" i="100"/>
  <c r="J84" i="100"/>
  <c r="I84" i="100"/>
  <c r="L76" i="100"/>
  <c r="J76" i="100"/>
  <c r="I76" i="100"/>
  <c r="L71" i="100"/>
  <c r="J71" i="100"/>
  <c r="I71" i="100"/>
  <c r="H71" i="100"/>
  <c r="L70" i="100"/>
  <c r="J70" i="100"/>
  <c r="I70" i="100"/>
  <c r="L62" i="100"/>
  <c r="J62" i="100"/>
  <c r="I62" i="100"/>
  <c r="L57" i="100"/>
  <c r="J57" i="100"/>
  <c r="I57" i="100"/>
  <c r="L52" i="100"/>
  <c r="J52" i="100"/>
  <c r="I52" i="100"/>
  <c r="L51" i="100"/>
  <c r="J51" i="100"/>
  <c r="I51" i="100"/>
  <c r="L46" i="100"/>
  <c r="J46" i="100"/>
  <c r="I46" i="100"/>
  <c r="L45" i="100"/>
  <c r="J45" i="100"/>
  <c r="I45" i="100"/>
  <c r="L40" i="100"/>
  <c r="J40" i="100"/>
  <c r="I40" i="100"/>
  <c r="L39" i="100"/>
  <c r="J39" i="100"/>
  <c r="I39" i="100"/>
  <c r="L34" i="100"/>
  <c r="J34" i="100"/>
  <c r="I34" i="100"/>
  <c r="L33" i="100"/>
  <c r="J33" i="100"/>
  <c r="I33" i="100"/>
  <c r="L25" i="100"/>
  <c r="J25" i="100"/>
  <c r="I25" i="100"/>
  <c r="L20" i="100"/>
  <c r="J20" i="100"/>
  <c r="I20" i="100"/>
  <c r="L14" i="100"/>
  <c r="J14" i="100"/>
  <c r="I14" i="100"/>
  <c r="A11" i="100"/>
  <c r="N7" i="100"/>
  <c r="M7" i="100"/>
  <c r="D7" i="100"/>
  <c r="N6" i="100"/>
  <c r="N5" i="100"/>
  <c r="D5" i="100"/>
  <c r="N4" i="100"/>
  <c r="D4" i="100"/>
  <c r="H71" i="98"/>
  <c r="L23" i="99"/>
  <c r="I23" i="99"/>
  <c r="L22" i="99"/>
  <c r="I22" i="99"/>
  <c r="A11" i="99"/>
  <c r="N7" i="99"/>
  <c r="M7" i="99"/>
  <c r="N6" i="99"/>
  <c r="N5" i="99"/>
  <c r="D5" i="99"/>
  <c r="N4" i="99"/>
  <c r="D4" i="99"/>
  <c r="L112" i="98"/>
  <c r="J112" i="98"/>
  <c r="I112" i="98"/>
  <c r="L104" i="98"/>
  <c r="J104" i="98"/>
  <c r="I104" i="98"/>
  <c r="L99" i="98"/>
  <c r="J99" i="98"/>
  <c r="I99" i="98"/>
  <c r="L98" i="98"/>
  <c r="J98" i="98"/>
  <c r="I98" i="98"/>
  <c r="H98" i="98"/>
  <c r="L92" i="98"/>
  <c r="J92" i="98"/>
  <c r="I92" i="98"/>
  <c r="L84" i="98"/>
  <c r="J84" i="98"/>
  <c r="I84" i="98"/>
  <c r="L76" i="98"/>
  <c r="J76" i="98"/>
  <c r="I76" i="98"/>
  <c r="L71" i="98"/>
  <c r="J71" i="98"/>
  <c r="I71" i="98"/>
  <c r="L70" i="98"/>
  <c r="J70" i="98"/>
  <c r="I70" i="98"/>
  <c r="L62" i="98"/>
  <c r="J62" i="98"/>
  <c r="I62" i="98"/>
  <c r="L57" i="98"/>
  <c r="J57" i="98"/>
  <c r="I57" i="98"/>
  <c r="L52" i="98"/>
  <c r="J52" i="98"/>
  <c r="I52" i="98"/>
  <c r="L51" i="98"/>
  <c r="J51" i="98"/>
  <c r="I51" i="98"/>
  <c r="L46" i="98"/>
  <c r="J46" i="98"/>
  <c r="I46" i="98"/>
  <c r="L45" i="98"/>
  <c r="J45" i="98"/>
  <c r="I45" i="98"/>
  <c r="L40" i="98"/>
  <c r="J40" i="98"/>
  <c r="I40" i="98"/>
  <c r="L39" i="98"/>
  <c r="J39" i="98"/>
  <c r="I39" i="98"/>
  <c r="L34" i="98"/>
  <c r="J34" i="98"/>
  <c r="I34" i="98"/>
  <c r="L33" i="98"/>
  <c r="J33" i="98"/>
  <c r="I33" i="98"/>
  <c r="L25" i="98"/>
  <c r="J25" i="98"/>
  <c r="I25" i="98"/>
  <c r="L20" i="98"/>
  <c r="J20" i="98"/>
  <c r="I20" i="98"/>
  <c r="L14" i="98"/>
  <c r="J14" i="98"/>
  <c r="I14" i="98"/>
  <c r="H14" i="98"/>
  <c r="H84" i="98" s="1"/>
  <c r="A11" i="98"/>
  <c r="N7" i="98"/>
  <c r="M7" i="98"/>
  <c r="N6" i="98"/>
  <c r="N5" i="98"/>
  <c r="D5" i="98"/>
  <c r="N4" i="98"/>
  <c r="D4" i="98"/>
  <c r="H71" i="96"/>
  <c r="H14" i="96"/>
  <c r="H84" i="96" s="1"/>
  <c r="L23" i="97"/>
  <c r="I23" i="97"/>
  <c r="L22" i="97"/>
  <c r="I22" i="97"/>
  <c r="A11" i="97"/>
  <c r="N7" i="97"/>
  <c r="M7" i="97"/>
  <c r="N6" i="97"/>
  <c r="N5" i="97"/>
  <c r="D5" i="97"/>
  <c r="N4" i="97"/>
  <c r="D4" i="97"/>
  <c r="L112" i="96"/>
  <c r="J112" i="96"/>
  <c r="I112" i="96"/>
  <c r="L104" i="96"/>
  <c r="J104" i="96"/>
  <c r="I104" i="96"/>
  <c r="L99" i="96"/>
  <c r="J99" i="96"/>
  <c r="I99" i="96"/>
  <c r="L98" i="96"/>
  <c r="J98" i="96"/>
  <c r="I98" i="96"/>
  <c r="H98" i="96"/>
  <c r="L92" i="96"/>
  <c r="J92" i="96"/>
  <c r="I92" i="96"/>
  <c r="L84" i="96"/>
  <c r="J84" i="96"/>
  <c r="I84" i="96"/>
  <c r="L76" i="96"/>
  <c r="J76" i="96"/>
  <c r="I76" i="96"/>
  <c r="L71" i="96"/>
  <c r="J71" i="96"/>
  <c r="I71" i="96"/>
  <c r="L70" i="96"/>
  <c r="J70" i="96"/>
  <c r="I70" i="96"/>
  <c r="L62" i="96"/>
  <c r="J62" i="96"/>
  <c r="I62" i="96"/>
  <c r="L57" i="96"/>
  <c r="J57" i="96"/>
  <c r="I57" i="96"/>
  <c r="L52" i="96"/>
  <c r="J52" i="96"/>
  <c r="I52" i="96"/>
  <c r="L51" i="96"/>
  <c r="J51" i="96"/>
  <c r="I51" i="96"/>
  <c r="L46" i="96"/>
  <c r="J46" i="96"/>
  <c r="I46" i="96"/>
  <c r="L45" i="96"/>
  <c r="J45" i="96"/>
  <c r="I45" i="96"/>
  <c r="L40" i="96"/>
  <c r="J40" i="96"/>
  <c r="I40" i="96"/>
  <c r="L39" i="96"/>
  <c r="J39" i="96"/>
  <c r="I39" i="96"/>
  <c r="L34" i="96"/>
  <c r="J34" i="96"/>
  <c r="I34" i="96"/>
  <c r="L33" i="96"/>
  <c r="J33" i="96"/>
  <c r="I33" i="96"/>
  <c r="L25" i="96"/>
  <c r="J25" i="96"/>
  <c r="I25" i="96"/>
  <c r="L20" i="96"/>
  <c r="J20" i="96"/>
  <c r="I20" i="96"/>
  <c r="L14" i="96"/>
  <c r="J14" i="96"/>
  <c r="I14" i="96"/>
  <c r="A11" i="96"/>
  <c r="N7" i="96"/>
  <c r="M7" i="96"/>
  <c r="N6" i="96"/>
  <c r="N5" i="96"/>
  <c r="D5" i="96"/>
  <c r="N4" i="96"/>
  <c r="D4" i="96"/>
  <c r="L22" i="35"/>
  <c r="I22" i="35"/>
  <c r="H99" i="38"/>
  <c r="L76" i="38"/>
  <c r="J76" i="38"/>
  <c r="I76" i="38"/>
  <c r="H14" i="38"/>
  <c r="H84" i="38" s="1"/>
  <c r="H129" i="9"/>
  <c r="H134" i="9"/>
  <c r="H92" i="100" l="1"/>
  <c r="H22" i="101" s="1"/>
  <c r="H84" i="100"/>
  <c r="N84" i="100" s="1"/>
  <c r="H92" i="102"/>
  <c r="H22" i="103" s="1"/>
  <c r="H84" i="102"/>
  <c r="H20" i="98"/>
  <c r="H25" i="98" s="1"/>
  <c r="H92" i="98"/>
  <c r="H22" i="99" s="1"/>
  <c r="N22" i="99" s="1"/>
  <c r="H20" i="96"/>
  <c r="N20" i="96" s="1"/>
  <c r="H92" i="96"/>
  <c r="H22" i="97" s="1"/>
  <c r="N22" i="97" s="1"/>
  <c r="H104" i="38"/>
  <c r="H92" i="38"/>
  <c r="H22" i="35" s="1"/>
  <c r="H14" i="35"/>
  <c r="N40" i="100"/>
  <c r="H62" i="38"/>
  <c r="M98" i="100"/>
  <c r="N40" i="98"/>
  <c r="N23" i="99"/>
  <c r="M98" i="102"/>
  <c r="N76" i="38"/>
  <c r="N78" i="38" s="1"/>
  <c r="K76" i="38"/>
  <c r="N98" i="96"/>
  <c r="N98" i="98"/>
  <c r="M98" i="96"/>
  <c r="N76" i="100"/>
  <c r="N78" i="100" s="1"/>
  <c r="O76" i="100" s="1"/>
  <c r="N23" i="101"/>
  <c r="N76" i="102"/>
  <c r="N78" i="102" s="1"/>
  <c r="M23" i="103"/>
  <c r="N40" i="102"/>
  <c r="M76" i="38"/>
  <c r="M23" i="97"/>
  <c r="N40" i="96"/>
  <c r="M98" i="98"/>
  <c r="N98" i="102"/>
  <c r="N70" i="102"/>
  <c r="M70" i="102"/>
  <c r="K70" i="102"/>
  <c r="N71" i="102"/>
  <c r="M71" i="102"/>
  <c r="K71" i="102"/>
  <c r="H20" i="102"/>
  <c r="H25" i="102" s="1"/>
  <c r="N46" i="102"/>
  <c r="K14" i="102"/>
  <c r="N14" i="102"/>
  <c r="N17" i="102" s="1"/>
  <c r="N34" i="102"/>
  <c r="H112" i="102"/>
  <c r="N112" i="102" s="1"/>
  <c r="N114" i="102" s="1"/>
  <c r="H62" i="102"/>
  <c r="N92" i="102"/>
  <c r="N22" i="103"/>
  <c r="H104" i="102"/>
  <c r="M104" i="102" s="1"/>
  <c r="M14" i="102"/>
  <c r="H99" i="102"/>
  <c r="K76" i="102"/>
  <c r="N23" i="103"/>
  <c r="H14" i="103"/>
  <c r="K40" i="102"/>
  <c r="M76" i="102"/>
  <c r="K98" i="102"/>
  <c r="H14" i="101"/>
  <c r="N14" i="101" s="1"/>
  <c r="N16" i="101" s="1"/>
  <c r="O14" i="101" s="1"/>
  <c r="N98" i="100"/>
  <c r="M71" i="100"/>
  <c r="M70" i="100"/>
  <c r="N70" i="100"/>
  <c r="K70" i="100"/>
  <c r="K76" i="100"/>
  <c r="N71" i="100"/>
  <c r="K71" i="100"/>
  <c r="H20" i="100"/>
  <c r="N20" i="100" s="1"/>
  <c r="K57" i="100"/>
  <c r="N14" i="100"/>
  <c r="N17" i="100" s="1"/>
  <c r="H104" i="100"/>
  <c r="K104" i="100" s="1"/>
  <c r="N51" i="100"/>
  <c r="K33" i="100"/>
  <c r="H112" i="100"/>
  <c r="N46" i="100"/>
  <c r="N34" i="100"/>
  <c r="N22" i="101"/>
  <c r="K39" i="100"/>
  <c r="K14" i="100"/>
  <c r="M14" i="100"/>
  <c r="H99" i="100"/>
  <c r="M23" i="101"/>
  <c r="K40" i="100"/>
  <c r="M76" i="100"/>
  <c r="K98" i="100"/>
  <c r="K71" i="98"/>
  <c r="M71" i="98"/>
  <c r="N70" i="98"/>
  <c r="N76" i="98"/>
  <c r="N78" i="98" s="1"/>
  <c r="O76" i="98" s="1"/>
  <c r="N71" i="98"/>
  <c r="K39" i="98"/>
  <c r="N14" i="98"/>
  <c r="N17" i="98" s="1"/>
  <c r="K57" i="98"/>
  <c r="H104" i="98"/>
  <c r="M104" i="98" s="1"/>
  <c r="N34" i="98"/>
  <c r="K14" i="98"/>
  <c r="N46" i="98"/>
  <c r="M14" i="98"/>
  <c r="H112" i="98"/>
  <c r="N112" i="98" s="1"/>
  <c r="H99" i="98"/>
  <c r="H14" i="99"/>
  <c r="M23" i="99"/>
  <c r="K40" i="98"/>
  <c r="K98" i="98"/>
  <c r="M71" i="96"/>
  <c r="N76" i="96"/>
  <c r="N78" i="96" s="1"/>
  <c r="O76" i="96" s="1"/>
  <c r="M70" i="96"/>
  <c r="N71" i="96"/>
  <c r="K71" i="96"/>
  <c r="H104" i="96"/>
  <c r="M104" i="96" s="1"/>
  <c r="N34" i="96"/>
  <c r="N46" i="96"/>
  <c r="M14" i="96"/>
  <c r="N14" i="96"/>
  <c r="N17" i="96" s="1"/>
  <c r="H62" i="96"/>
  <c r="H112" i="96"/>
  <c r="M112" i="96" s="1"/>
  <c r="K14" i="96"/>
  <c r="H14" i="97"/>
  <c r="N23" i="97"/>
  <c r="K98" i="96"/>
  <c r="H99" i="96"/>
  <c r="K40" i="96"/>
  <c r="N22" i="35"/>
  <c r="M22" i="35"/>
  <c r="K20" i="98" l="1"/>
  <c r="N20" i="98"/>
  <c r="K20" i="96"/>
  <c r="H25" i="96"/>
  <c r="N92" i="98"/>
  <c r="N95" i="98" s="1"/>
  <c r="O93" i="98" s="1"/>
  <c r="N92" i="96"/>
  <c r="N95" i="96" s="1"/>
  <c r="O93" i="96" s="1"/>
  <c r="N95" i="102"/>
  <c r="O93" i="102" s="1"/>
  <c r="H25" i="100"/>
  <c r="K25" i="100" s="1"/>
  <c r="N73" i="100"/>
  <c r="O71" i="100" s="1"/>
  <c r="N25" i="101"/>
  <c r="O22" i="101" s="1"/>
  <c r="N25" i="99"/>
  <c r="O23" i="99" s="1"/>
  <c r="K46" i="100"/>
  <c r="K92" i="98"/>
  <c r="H62" i="98"/>
  <c r="N62" i="98" s="1"/>
  <c r="N57" i="98"/>
  <c r="N59" i="98" s="1"/>
  <c r="M76" i="96"/>
  <c r="M104" i="100"/>
  <c r="M14" i="101"/>
  <c r="K76" i="96"/>
  <c r="K51" i="100"/>
  <c r="K20" i="102"/>
  <c r="N20" i="102"/>
  <c r="N22" i="102" s="1"/>
  <c r="O20" i="102" s="1"/>
  <c r="O76" i="38"/>
  <c r="K46" i="102"/>
  <c r="N39" i="98"/>
  <c r="N42" i="98" s="1"/>
  <c r="O40" i="98" s="1"/>
  <c r="K20" i="100"/>
  <c r="K92" i="102"/>
  <c r="K52" i="100"/>
  <c r="M22" i="103"/>
  <c r="K52" i="102"/>
  <c r="O14" i="98"/>
  <c r="N73" i="102"/>
  <c r="K112" i="102"/>
  <c r="K34" i="102"/>
  <c r="K39" i="102"/>
  <c r="N39" i="102"/>
  <c r="N42" i="102" s="1"/>
  <c r="O39" i="102" s="1"/>
  <c r="K33" i="102"/>
  <c r="N33" i="102"/>
  <c r="K45" i="102"/>
  <c r="N45" i="102"/>
  <c r="M112" i="102"/>
  <c r="K104" i="102"/>
  <c r="N104" i="102"/>
  <c r="N106" i="102" s="1"/>
  <c r="O14" i="102"/>
  <c r="M92" i="102"/>
  <c r="K51" i="102"/>
  <c r="K57" i="102"/>
  <c r="N57" i="102"/>
  <c r="N84" i="102"/>
  <c r="K84" i="102"/>
  <c r="N25" i="103"/>
  <c r="O23" i="103" s="1"/>
  <c r="M99" i="102"/>
  <c r="K99" i="102"/>
  <c r="N99" i="102"/>
  <c r="K62" i="102"/>
  <c r="N62" i="102"/>
  <c r="N116" i="102"/>
  <c r="K25" i="102"/>
  <c r="N25" i="102"/>
  <c r="O112" i="102"/>
  <c r="M14" i="103"/>
  <c r="N14" i="103"/>
  <c r="O76" i="102"/>
  <c r="H62" i="100"/>
  <c r="K62" i="100" s="1"/>
  <c r="N104" i="100"/>
  <c r="N106" i="100" s="1"/>
  <c r="K34" i="100"/>
  <c r="M22" i="101"/>
  <c r="N57" i="100"/>
  <c r="N59" i="100" s="1"/>
  <c r="O57" i="100" s="1"/>
  <c r="K45" i="100"/>
  <c r="N39" i="100"/>
  <c r="N42" i="100" s="1"/>
  <c r="O39" i="100" s="1"/>
  <c r="M92" i="100"/>
  <c r="K92" i="100"/>
  <c r="N112" i="100"/>
  <c r="K112" i="100"/>
  <c r="M112" i="100"/>
  <c r="N45" i="100"/>
  <c r="N48" i="100" s="1"/>
  <c r="O46" i="100" s="1"/>
  <c r="N33" i="100"/>
  <c r="N36" i="100" s="1"/>
  <c r="O33" i="100" s="1"/>
  <c r="N92" i="100"/>
  <c r="N95" i="100" s="1"/>
  <c r="O14" i="100"/>
  <c r="K84" i="100"/>
  <c r="N18" i="101"/>
  <c r="O16" i="101" s="1"/>
  <c r="N22" i="100"/>
  <c r="O20" i="100" s="1"/>
  <c r="M99" i="100"/>
  <c r="K99" i="100"/>
  <c r="N99" i="100"/>
  <c r="M70" i="98"/>
  <c r="N73" i="98"/>
  <c r="K70" i="98"/>
  <c r="K76" i="98"/>
  <c r="M76" i="98"/>
  <c r="M112" i="98"/>
  <c r="N52" i="98"/>
  <c r="N114" i="98"/>
  <c r="N116" i="98" s="1"/>
  <c r="O114" i="98" s="1"/>
  <c r="M22" i="99"/>
  <c r="M92" i="98"/>
  <c r="K45" i="98"/>
  <c r="N45" i="98"/>
  <c r="N48" i="98" s="1"/>
  <c r="K33" i="98"/>
  <c r="N33" i="98"/>
  <c r="K46" i="98"/>
  <c r="K112" i="98"/>
  <c r="K34" i="98"/>
  <c r="K104" i="98"/>
  <c r="N104" i="98"/>
  <c r="N22" i="98"/>
  <c r="O20" i="98" s="1"/>
  <c r="K25" i="98"/>
  <c r="N25" i="98"/>
  <c r="K84" i="98"/>
  <c r="N84" i="98"/>
  <c r="N14" i="99"/>
  <c r="M14" i="99"/>
  <c r="M99" i="98"/>
  <c r="N99" i="98"/>
  <c r="K99" i="98"/>
  <c r="K51" i="98"/>
  <c r="N51" i="98"/>
  <c r="K70" i="96"/>
  <c r="N70" i="96"/>
  <c r="K92" i="96"/>
  <c r="M92" i="96"/>
  <c r="K112" i="96"/>
  <c r="K34" i="96"/>
  <c r="M22" i="97"/>
  <c r="K46" i="96"/>
  <c r="K39" i="96"/>
  <c r="N39" i="96"/>
  <c r="K45" i="96"/>
  <c r="N45" i="96"/>
  <c r="N48" i="96" s="1"/>
  <c r="O46" i="96" s="1"/>
  <c r="K33" i="96"/>
  <c r="N33" i="96"/>
  <c r="N112" i="96"/>
  <c r="N114" i="96" s="1"/>
  <c r="N51" i="96"/>
  <c r="N52" i="96"/>
  <c r="O14" i="96"/>
  <c r="K57" i="96"/>
  <c r="N57" i="96"/>
  <c r="K104" i="96"/>
  <c r="N104" i="96"/>
  <c r="N25" i="96"/>
  <c r="K25" i="96"/>
  <c r="N22" i="96"/>
  <c r="O20" i="96" s="1"/>
  <c r="K62" i="96"/>
  <c r="N62" i="96"/>
  <c r="M99" i="96"/>
  <c r="K99" i="96"/>
  <c r="N99" i="96"/>
  <c r="N84" i="96"/>
  <c r="K84" i="96"/>
  <c r="N14" i="97"/>
  <c r="M14" i="97"/>
  <c r="N25" i="97"/>
  <c r="O92" i="98" l="1"/>
  <c r="O92" i="102"/>
  <c r="O92" i="96"/>
  <c r="N25" i="100"/>
  <c r="N27" i="101"/>
  <c r="O25" i="101" s="1"/>
  <c r="N52" i="100"/>
  <c r="N54" i="100" s="1"/>
  <c r="O52" i="100" s="1"/>
  <c r="K62" i="98"/>
  <c r="M29" i="101"/>
  <c r="O70" i="102"/>
  <c r="N80" i="102"/>
  <c r="O78" i="102" s="1"/>
  <c r="O22" i="99"/>
  <c r="O71" i="102"/>
  <c r="N27" i="99"/>
  <c r="O25" i="99" s="1"/>
  <c r="O93" i="100"/>
  <c r="O70" i="98"/>
  <c r="N80" i="98"/>
  <c r="O78" i="98" s="1"/>
  <c r="O71" i="98"/>
  <c r="O23" i="101"/>
  <c r="O70" i="100"/>
  <c r="N80" i="100"/>
  <c r="O73" i="100" s="1"/>
  <c r="O57" i="98"/>
  <c r="N52" i="102"/>
  <c r="O39" i="98"/>
  <c r="M29" i="103"/>
  <c r="M29" i="97"/>
  <c r="K52" i="98"/>
  <c r="M118" i="98"/>
  <c r="O104" i="100"/>
  <c r="M118" i="96"/>
  <c r="M118" i="102"/>
  <c r="O104" i="102"/>
  <c r="N51" i="102"/>
  <c r="N36" i="102"/>
  <c r="O34" i="102" s="1"/>
  <c r="N59" i="102"/>
  <c r="O57" i="102" s="1"/>
  <c r="O40" i="102"/>
  <c r="N48" i="102"/>
  <c r="O46" i="102" s="1"/>
  <c r="N64" i="102"/>
  <c r="O62" i="102" s="1"/>
  <c r="N16" i="103"/>
  <c r="N27" i="102"/>
  <c r="O25" i="102" s="1"/>
  <c r="N101" i="102"/>
  <c r="O99" i="102" s="1"/>
  <c r="K118" i="102"/>
  <c r="N86" i="102"/>
  <c r="O84" i="102" s="1"/>
  <c r="N27" i="103"/>
  <c r="O25" i="103" s="1"/>
  <c r="O22" i="103"/>
  <c r="O114" i="102"/>
  <c r="N62" i="100"/>
  <c r="N64" i="100" s="1"/>
  <c r="O62" i="100" s="1"/>
  <c r="K118" i="100"/>
  <c r="M118" i="100"/>
  <c r="O45" i="100"/>
  <c r="N114" i="100"/>
  <c r="O112" i="100" s="1"/>
  <c r="N86" i="100"/>
  <c r="O34" i="100"/>
  <c r="N29" i="101"/>
  <c r="O18" i="101" s="1"/>
  <c r="N101" i="100"/>
  <c r="N27" i="100"/>
  <c r="O25" i="100" s="1"/>
  <c r="O40" i="100"/>
  <c r="O46" i="98"/>
  <c r="O45" i="98"/>
  <c r="N106" i="98"/>
  <c r="O104" i="98" s="1"/>
  <c r="M29" i="99"/>
  <c r="O112" i="98"/>
  <c r="N36" i="98"/>
  <c r="O34" i="98" s="1"/>
  <c r="N27" i="98"/>
  <c r="O25" i="98" s="1"/>
  <c r="N86" i="98"/>
  <c r="N64" i="98"/>
  <c r="O62" i="98" s="1"/>
  <c r="N54" i="98"/>
  <c r="O52" i="98" s="1"/>
  <c r="N101" i="98"/>
  <c r="O99" i="98" s="1"/>
  <c r="N16" i="99"/>
  <c r="O14" i="99" s="1"/>
  <c r="N73" i="96"/>
  <c r="K52" i="96"/>
  <c r="K51" i="96"/>
  <c r="N106" i="96"/>
  <c r="O104" i="96" s="1"/>
  <c r="N59" i="96"/>
  <c r="O57" i="96" s="1"/>
  <c r="O45" i="96"/>
  <c r="N36" i="96"/>
  <c r="O34" i="96" s="1"/>
  <c r="N42" i="96"/>
  <c r="O40" i="96" s="1"/>
  <c r="N64" i="96"/>
  <c r="N116" i="96"/>
  <c r="O114" i="96" s="1"/>
  <c r="O112" i="96"/>
  <c r="N54" i="96"/>
  <c r="O52" i="96" s="1"/>
  <c r="N27" i="97"/>
  <c r="O25" i="97" s="1"/>
  <c r="O22" i="97"/>
  <c r="O23" i="97"/>
  <c r="N86" i="96"/>
  <c r="N101" i="96"/>
  <c r="O99" i="96" s="1"/>
  <c r="N16" i="97"/>
  <c r="O14" i="97" s="1"/>
  <c r="N27" i="96"/>
  <c r="O25" i="96" s="1"/>
  <c r="O73" i="102" l="1"/>
  <c r="O78" i="100"/>
  <c r="O73" i="98"/>
  <c r="K118" i="98"/>
  <c r="O92" i="100"/>
  <c r="N54" i="102"/>
  <c r="O52" i="102" s="1"/>
  <c r="O70" i="96"/>
  <c r="N80" i="96"/>
  <c r="O71" i="96"/>
  <c r="N108" i="100"/>
  <c r="O101" i="100" s="1"/>
  <c r="O33" i="98"/>
  <c r="O33" i="96"/>
  <c r="O33" i="102"/>
  <c r="O45" i="102"/>
  <c r="N18" i="103"/>
  <c r="O16" i="103" s="1"/>
  <c r="O14" i="103"/>
  <c r="O98" i="102"/>
  <c r="N108" i="102"/>
  <c r="O101" i="102" s="1"/>
  <c r="N88" i="102"/>
  <c r="O86" i="102" s="1"/>
  <c r="N29" i="102"/>
  <c r="O27" i="102" s="1"/>
  <c r="O99" i="100"/>
  <c r="O27" i="101"/>
  <c r="N116" i="100"/>
  <c r="O114" i="100" s="1"/>
  <c r="N66" i="100"/>
  <c r="O54" i="100" s="1"/>
  <c r="O51" i="100"/>
  <c r="N88" i="100"/>
  <c r="N29" i="100"/>
  <c r="O27" i="100" s="1"/>
  <c r="O98" i="100"/>
  <c r="O84" i="100"/>
  <c r="N88" i="98"/>
  <c r="O86" i="98" s="1"/>
  <c r="N18" i="99"/>
  <c r="O98" i="98"/>
  <c r="N108" i="98"/>
  <c r="O101" i="98" s="1"/>
  <c r="O84" i="98"/>
  <c r="N29" i="98"/>
  <c r="O27" i="98" s="1"/>
  <c r="N66" i="98"/>
  <c r="O64" i="98" s="1"/>
  <c r="O51" i="98"/>
  <c r="K118" i="96"/>
  <c r="O39" i="96"/>
  <c r="N66" i="96"/>
  <c r="O64" i="96" s="1"/>
  <c r="N29" i="96"/>
  <c r="O27" i="96" s="1"/>
  <c r="N18" i="97"/>
  <c r="N29" i="97" s="1"/>
  <c r="O27" i="97" s="1"/>
  <c r="O16" i="97"/>
  <c r="O98" i="96"/>
  <c r="N108" i="96"/>
  <c r="O62" i="96"/>
  <c r="N88" i="96"/>
  <c r="O86" i="96" s="1"/>
  <c r="O84" i="96"/>
  <c r="O51" i="96"/>
  <c r="N66" i="102" l="1"/>
  <c r="O54" i="102" s="1"/>
  <c r="O51" i="102"/>
  <c r="O95" i="100"/>
  <c r="N29" i="103"/>
  <c r="O27" i="103" s="1"/>
  <c r="O106" i="100"/>
  <c r="O64" i="100"/>
  <c r="O64" i="102"/>
  <c r="O106" i="102"/>
  <c r="O95" i="102"/>
  <c r="N118" i="102"/>
  <c r="O66" i="102" s="1"/>
  <c r="O59" i="102"/>
  <c r="O36" i="102"/>
  <c r="O42" i="102"/>
  <c r="O48" i="102"/>
  <c r="O17" i="102"/>
  <c r="O22" i="102"/>
  <c r="O17" i="100"/>
  <c r="O22" i="100"/>
  <c r="N118" i="100"/>
  <c r="O66" i="100" s="1"/>
  <c r="O86" i="100"/>
  <c r="O48" i="100"/>
  <c r="O36" i="100"/>
  <c r="O59" i="100"/>
  <c r="O42" i="100"/>
  <c r="N29" i="99"/>
  <c r="O27" i="99" s="1"/>
  <c r="O16" i="99"/>
  <c r="O106" i="98"/>
  <c r="O95" i="98"/>
  <c r="N118" i="98"/>
  <c r="O29" i="98" s="1"/>
  <c r="O17" i="98"/>
  <c r="O22" i="98"/>
  <c r="O36" i="98"/>
  <c r="O59" i="98"/>
  <c r="O48" i="98"/>
  <c r="O42" i="98"/>
  <c r="O54" i="98"/>
  <c r="O78" i="96"/>
  <c r="O73" i="96"/>
  <c r="N118" i="96"/>
  <c r="O80" i="96" s="1"/>
  <c r="O54" i="96"/>
  <c r="O18" i="97"/>
  <c r="O106" i="96"/>
  <c r="O95" i="96"/>
  <c r="O17" i="96"/>
  <c r="O22" i="96"/>
  <c r="O101" i="96"/>
  <c r="O36" i="96"/>
  <c r="O42" i="96"/>
  <c r="O59" i="96"/>
  <c r="O48" i="96"/>
  <c r="O18" i="103" l="1"/>
  <c r="O88" i="102"/>
  <c r="O80" i="102"/>
  <c r="O116" i="102"/>
  <c r="O29" i="102"/>
  <c r="O108" i="102"/>
  <c r="O116" i="100"/>
  <c r="O80" i="100"/>
  <c r="O108" i="100"/>
  <c r="O88" i="100"/>
  <c r="O29" i="100"/>
  <c r="O80" i="98"/>
  <c r="O116" i="98"/>
  <c r="O108" i="98"/>
  <c r="O66" i="98"/>
  <c r="O88" i="98"/>
  <c r="O18" i="99"/>
  <c r="O116" i="96"/>
  <c r="O29" i="96"/>
  <c r="O66" i="96"/>
  <c r="O88" i="96"/>
  <c r="O108" i="96"/>
  <c r="I144" i="63" l="1"/>
  <c r="N144" i="63" s="1"/>
  <c r="K144" i="63"/>
  <c r="M144" i="63"/>
  <c r="H55" i="63"/>
  <c r="L129" i="59"/>
  <c r="M129" i="59" s="1"/>
  <c r="J129" i="59"/>
  <c r="K129" i="59" s="1"/>
  <c r="I129" i="59"/>
  <c r="N129" i="59" s="1"/>
  <c r="L138" i="57"/>
  <c r="M138" i="57" s="1"/>
  <c r="J138" i="57"/>
  <c r="K138" i="57" s="1"/>
  <c r="I138" i="57"/>
  <c r="N138" i="57" s="1"/>
  <c r="H100" i="61"/>
  <c r="H76" i="63" l="1"/>
  <c r="H75" i="63"/>
  <c r="N131" i="59"/>
  <c r="O129" i="59" s="1"/>
  <c r="N140" i="57"/>
  <c r="O138" i="57" s="1"/>
  <c r="N133" i="59" l="1"/>
  <c r="N142" i="57"/>
  <c r="O131" i="59" l="1"/>
  <c r="O140" i="57"/>
  <c r="J35" i="83" l="1"/>
  <c r="L16" i="62"/>
  <c r="B12" i="81" l="1"/>
  <c r="A12" i="81"/>
  <c r="H65" i="61" l="1"/>
  <c r="H91" i="61" s="1"/>
  <c r="H81" i="61" l="1"/>
  <c r="H80" i="61"/>
  <c r="B11" i="95"/>
  <c r="A11" i="95"/>
  <c r="B11" i="87"/>
  <c r="A11" i="87"/>
  <c r="B11" i="94"/>
  <c r="A11" i="94"/>
  <c r="L20" i="95" l="1"/>
  <c r="M20" i="95" s="1"/>
  <c r="I20" i="95"/>
  <c r="N20" i="95" s="1"/>
  <c r="N22" i="95" s="1"/>
  <c r="L15" i="95"/>
  <c r="M15" i="95" s="1"/>
  <c r="I15" i="95"/>
  <c r="N15" i="95" s="1"/>
  <c r="L14" i="95"/>
  <c r="M14" i="95" s="1"/>
  <c r="I14" i="95"/>
  <c r="N14" i="95" s="1"/>
  <c r="D8" i="95"/>
  <c r="N7" i="95"/>
  <c r="M7" i="95"/>
  <c r="D7" i="95"/>
  <c r="N6" i="95"/>
  <c r="N5" i="95"/>
  <c r="D5" i="95"/>
  <c r="N4" i="95"/>
  <c r="D4" i="95"/>
  <c r="N33" i="94"/>
  <c r="N32" i="94"/>
  <c r="N31" i="94"/>
  <c r="N30" i="94"/>
  <c r="N29" i="94"/>
  <c r="N28" i="94"/>
  <c r="L20" i="94"/>
  <c r="M20" i="94" s="1"/>
  <c r="I20" i="94"/>
  <c r="N20" i="94" s="1"/>
  <c r="N22" i="94" s="1"/>
  <c r="L15" i="94"/>
  <c r="M15" i="94" s="1"/>
  <c r="I15" i="94"/>
  <c r="N15" i="94" s="1"/>
  <c r="L14" i="94"/>
  <c r="M14" i="94" s="1"/>
  <c r="I14" i="94"/>
  <c r="N14" i="94" s="1"/>
  <c r="D8" i="94"/>
  <c r="N7" i="94"/>
  <c r="M7" i="94"/>
  <c r="D7" i="94"/>
  <c r="N6" i="94"/>
  <c r="N5" i="94"/>
  <c r="D5" i="94"/>
  <c r="N4" i="94"/>
  <c r="D4" i="94"/>
  <c r="L108" i="59"/>
  <c r="M108" i="59" s="1"/>
  <c r="K108" i="59"/>
  <c r="I108" i="59"/>
  <c r="N108" i="59" s="1"/>
  <c r="H74" i="59"/>
  <c r="H100" i="59" s="1"/>
  <c r="H66" i="59"/>
  <c r="H131" i="57"/>
  <c r="N131" i="57" s="1"/>
  <c r="N35" i="94" l="1"/>
  <c r="N37" i="94" s="1"/>
  <c r="M151" i="87"/>
  <c r="K151" i="87"/>
  <c r="N17" i="95"/>
  <c r="N24" i="95" s="1"/>
  <c r="O22" i="95" s="1"/>
  <c r="O20" i="95"/>
  <c r="O20" i="94"/>
  <c r="N17" i="94"/>
  <c r="N110" i="59"/>
  <c r="O108" i="59" s="1"/>
  <c r="O28" i="94" l="1"/>
  <c r="O30" i="94"/>
  <c r="M39" i="94"/>
  <c r="O33" i="94"/>
  <c r="O17" i="95"/>
  <c r="O32" i="94"/>
  <c r="O29" i="94"/>
  <c r="O31" i="94"/>
  <c r="N37" i="95"/>
  <c r="O35" i="95" s="1"/>
  <c r="M39" i="95"/>
  <c r="O14" i="95"/>
  <c r="O15" i="95"/>
  <c r="N24" i="94"/>
  <c r="O17" i="94" s="1"/>
  <c r="O15" i="94"/>
  <c r="O14" i="94"/>
  <c r="O35" i="94"/>
  <c r="N112" i="59"/>
  <c r="N151" i="87" l="1"/>
  <c r="N39" i="95"/>
  <c r="O24" i="95" s="1"/>
  <c r="N39" i="94"/>
  <c r="O37" i="94" s="1"/>
  <c r="O22" i="94"/>
  <c r="O110" i="59"/>
  <c r="O112" i="87" l="1"/>
  <c r="O70" i="87"/>
  <c r="O23" i="87"/>
  <c r="O141" i="87"/>
  <c r="O149" i="87"/>
  <c r="O126" i="87"/>
  <c r="O133" i="87"/>
  <c r="O62" i="87"/>
  <c r="O104" i="87"/>
  <c r="O37" i="95"/>
  <c r="O24" i="94"/>
  <c r="H69" i="57" l="1"/>
  <c r="H95" i="57" l="1"/>
  <c r="H90" i="57" s="1"/>
  <c r="M24" i="54"/>
  <c r="N24" i="54"/>
  <c r="M22" i="54"/>
  <c r="N22" i="54"/>
  <c r="H28" i="58" l="1"/>
  <c r="J76" i="51"/>
  <c r="M76" i="51"/>
  <c r="K76" i="51" l="1"/>
  <c r="N76" i="51"/>
  <c r="J74" i="51"/>
  <c r="M74" i="51"/>
  <c r="K74" i="51" l="1"/>
  <c r="N74" i="51"/>
  <c r="H53" i="76"/>
  <c r="H54" i="76" s="1"/>
  <c r="M29" i="58" l="1"/>
  <c r="H145" i="59"/>
  <c r="H95" i="59"/>
  <c r="H94" i="59"/>
  <c r="N33" i="58"/>
  <c r="M33" i="58"/>
  <c r="N32" i="58"/>
  <c r="M32" i="58"/>
  <c r="N31" i="58"/>
  <c r="M31" i="58"/>
  <c r="N30" i="58"/>
  <c r="M30" i="58"/>
  <c r="N29" i="58"/>
  <c r="N28" i="58"/>
  <c r="L20" i="58"/>
  <c r="M20" i="58" s="1"/>
  <c r="I20" i="58"/>
  <c r="N20" i="58" s="1"/>
  <c r="L15" i="58"/>
  <c r="M15" i="58" s="1"/>
  <c r="I15" i="58"/>
  <c r="N15" i="58" s="1"/>
  <c r="L14" i="58"/>
  <c r="M14" i="58" s="1"/>
  <c r="I14" i="58"/>
  <c r="N14" i="58" s="1"/>
  <c r="B11" i="58"/>
  <c r="A11" i="58"/>
  <c r="H154" i="57"/>
  <c r="H121" i="57"/>
  <c r="H120" i="57"/>
  <c r="H89" i="57"/>
  <c r="N17" i="58" l="1"/>
  <c r="O15" i="58" s="1"/>
  <c r="N22" i="58"/>
  <c r="O20" i="58" s="1"/>
  <c r="N35" i="58"/>
  <c r="O33" i="58" s="1"/>
  <c r="M28" i="58"/>
  <c r="O28" i="58" l="1"/>
  <c r="O14" i="58"/>
  <c r="O32" i="58"/>
  <c r="O30" i="58"/>
  <c r="N37" i="58"/>
  <c r="O31" i="58"/>
  <c r="N24" i="58"/>
  <c r="O17" i="58" s="1"/>
  <c r="O29" i="58"/>
  <c r="O22" i="58" l="1"/>
  <c r="O35" i="58"/>
  <c r="M8" i="10" l="1"/>
  <c r="M8" i="8" l="1"/>
  <c r="I13" i="86" l="1"/>
  <c r="M25" i="62" l="1"/>
  <c r="N25" i="62"/>
  <c r="M24" i="62"/>
  <c r="N24" i="62"/>
  <c r="M23" i="62"/>
  <c r="N23" i="62"/>
  <c r="M22" i="62"/>
  <c r="N22" i="62"/>
  <c r="M17" i="62"/>
  <c r="N17" i="62"/>
  <c r="N16" i="62"/>
  <c r="M15" i="62"/>
  <c r="N15" i="62"/>
  <c r="B12" i="62"/>
  <c r="A12" i="62"/>
  <c r="L160" i="61"/>
  <c r="I160" i="61"/>
  <c r="H160" i="61"/>
  <c r="L155" i="61"/>
  <c r="M155" i="61" s="1"/>
  <c r="K155" i="61"/>
  <c r="I155" i="61"/>
  <c r="N155" i="61" s="1"/>
  <c r="L154" i="61"/>
  <c r="M154" i="61" s="1"/>
  <c r="K154" i="61"/>
  <c r="I154" i="61"/>
  <c r="N154" i="61" s="1"/>
  <c r="L153" i="61"/>
  <c r="M153" i="61" s="1"/>
  <c r="K153" i="61"/>
  <c r="I153" i="61"/>
  <c r="N153" i="61" s="1"/>
  <c r="L148" i="61"/>
  <c r="M148" i="61" s="1"/>
  <c r="K148" i="61"/>
  <c r="I148" i="61"/>
  <c r="N148" i="61" s="1"/>
  <c r="L143" i="61"/>
  <c r="M143" i="61" s="1"/>
  <c r="K143" i="61"/>
  <c r="I143" i="61"/>
  <c r="N143" i="61" s="1"/>
  <c r="L136" i="61"/>
  <c r="M136" i="61" s="1"/>
  <c r="K136" i="61"/>
  <c r="I136" i="61"/>
  <c r="N136" i="61" s="1"/>
  <c r="L135" i="61"/>
  <c r="M135" i="61" s="1"/>
  <c r="K135" i="61"/>
  <c r="I135" i="61"/>
  <c r="N135" i="61" s="1"/>
  <c r="L134" i="61"/>
  <c r="M134" i="61" s="1"/>
  <c r="K134" i="61"/>
  <c r="I134" i="61"/>
  <c r="N134" i="61" s="1"/>
  <c r="L126" i="61"/>
  <c r="M126" i="61" s="1"/>
  <c r="K126" i="61"/>
  <c r="I126" i="61"/>
  <c r="N126" i="61" s="1"/>
  <c r="L121" i="61"/>
  <c r="K121" i="61"/>
  <c r="I121" i="61"/>
  <c r="N121" i="61" s="1"/>
  <c r="L116" i="61"/>
  <c r="K116" i="61"/>
  <c r="I116" i="61"/>
  <c r="N116" i="61" s="1"/>
  <c r="L115" i="61"/>
  <c r="K115" i="61"/>
  <c r="I115" i="61"/>
  <c r="N115" i="61" s="1"/>
  <c r="M107" i="61"/>
  <c r="K107" i="61"/>
  <c r="N107" i="61"/>
  <c r="L106" i="61"/>
  <c r="M106" i="61" s="1"/>
  <c r="K106" i="61"/>
  <c r="I106" i="61"/>
  <c r="N106" i="61" s="1"/>
  <c r="L101" i="61"/>
  <c r="I101" i="61"/>
  <c r="L100" i="61"/>
  <c r="I100" i="61"/>
  <c r="H101" i="61"/>
  <c r="L99" i="61"/>
  <c r="M99" i="61" s="1"/>
  <c r="K99" i="61"/>
  <c r="I99" i="61"/>
  <c r="N99" i="61" s="1"/>
  <c r="L91" i="61"/>
  <c r="M91" i="61" s="1"/>
  <c r="K91" i="61"/>
  <c r="I91" i="61"/>
  <c r="N91" i="61" s="1"/>
  <c r="L86" i="61"/>
  <c r="I86" i="61"/>
  <c r="L81" i="61"/>
  <c r="M81" i="61" s="1"/>
  <c r="K81" i="61"/>
  <c r="I81" i="61"/>
  <c r="N81" i="61" s="1"/>
  <c r="L80" i="61"/>
  <c r="M80" i="61" s="1"/>
  <c r="K80" i="61"/>
  <c r="I80" i="61"/>
  <c r="N80" i="61" s="1"/>
  <c r="L75" i="61"/>
  <c r="M75" i="61" s="1"/>
  <c r="K75" i="61"/>
  <c r="I75" i="61"/>
  <c r="N75" i="61" s="1"/>
  <c r="L70" i="61"/>
  <c r="K70" i="61"/>
  <c r="I70" i="61"/>
  <c r="N70" i="61" s="1"/>
  <c r="L65" i="61"/>
  <c r="K65" i="61"/>
  <c r="I65" i="61"/>
  <c r="N65" i="61" s="1"/>
  <c r="L48" i="61"/>
  <c r="K48" i="61"/>
  <c r="I48" i="61"/>
  <c r="N48" i="61" s="1"/>
  <c r="L43" i="61"/>
  <c r="K43" i="61"/>
  <c r="I43" i="61"/>
  <c r="N43" i="61" s="1"/>
  <c r="L38" i="61"/>
  <c r="I38" i="61"/>
  <c r="H38" i="61"/>
  <c r="L33" i="61"/>
  <c r="K33" i="61"/>
  <c r="I33" i="61"/>
  <c r="N33" i="61" s="1"/>
  <c r="L28" i="61"/>
  <c r="K28" i="61"/>
  <c r="I28" i="61"/>
  <c r="N28" i="61" s="1"/>
  <c r="L27" i="61"/>
  <c r="K27" i="61"/>
  <c r="N27" i="61"/>
  <c r="L19" i="61"/>
  <c r="H19" i="61"/>
  <c r="L14" i="61"/>
  <c r="M14" i="61" s="1"/>
  <c r="J14" i="61"/>
  <c r="K14" i="61" s="1"/>
  <c r="N14" i="61"/>
  <c r="N16" i="61" s="1"/>
  <c r="B11" i="61"/>
  <c r="A11" i="61"/>
  <c r="M93" i="64"/>
  <c r="N93" i="64"/>
  <c r="N95" i="64" s="1"/>
  <c r="M88" i="64"/>
  <c r="N88" i="64"/>
  <c r="M87" i="64"/>
  <c r="N87" i="64"/>
  <c r="M86" i="64"/>
  <c r="N86" i="64"/>
  <c r="M85" i="64"/>
  <c r="N85" i="64"/>
  <c r="M84" i="64"/>
  <c r="N84" i="64"/>
  <c r="M83" i="64"/>
  <c r="N83" i="64"/>
  <c r="M82" i="64"/>
  <c r="N82" i="64"/>
  <c r="M81" i="64"/>
  <c r="N81" i="64"/>
  <c r="M80" i="64"/>
  <c r="N80" i="64"/>
  <c r="M79" i="64"/>
  <c r="N79" i="64"/>
  <c r="M78" i="64"/>
  <c r="N78" i="64"/>
  <c r="M77" i="64"/>
  <c r="N77" i="64"/>
  <c r="M76" i="64"/>
  <c r="N76" i="64"/>
  <c r="M72" i="64"/>
  <c r="N72" i="64"/>
  <c r="M71" i="64"/>
  <c r="N71" i="64"/>
  <c r="M70" i="64"/>
  <c r="N70" i="64"/>
  <c r="M65" i="64"/>
  <c r="N65" i="64"/>
  <c r="M64" i="64"/>
  <c r="N64" i="64"/>
  <c r="M63" i="64"/>
  <c r="N63" i="64"/>
  <c r="M58" i="64"/>
  <c r="N58" i="64"/>
  <c r="M57" i="64"/>
  <c r="N57" i="64"/>
  <c r="M56" i="64"/>
  <c r="N56" i="64"/>
  <c r="M48" i="64"/>
  <c r="I48" i="64"/>
  <c r="N48" i="64" s="1"/>
  <c r="N50" i="64" s="1"/>
  <c r="M40" i="64"/>
  <c r="I40" i="64"/>
  <c r="N40" i="64" s="1"/>
  <c r="M39" i="64"/>
  <c r="I39" i="64"/>
  <c r="N39" i="64" s="1"/>
  <c r="M38" i="64"/>
  <c r="I38" i="64"/>
  <c r="N38" i="64" s="1"/>
  <c r="M33" i="64"/>
  <c r="I33" i="64"/>
  <c r="N33" i="64" s="1"/>
  <c r="M32" i="64"/>
  <c r="I32" i="64"/>
  <c r="N32" i="64" s="1"/>
  <c r="M31" i="64"/>
  <c r="I31" i="64"/>
  <c r="N31" i="64" s="1"/>
  <c r="M23" i="64"/>
  <c r="I23" i="64"/>
  <c r="N23" i="64" s="1"/>
  <c r="N25" i="64" s="1"/>
  <c r="I15" i="64"/>
  <c r="B12" i="64"/>
  <c r="A12" i="64"/>
  <c r="I196" i="63"/>
  <c r="H196" i="63"/>
  <c r="M190" i="63"/>
  <c r="K190" i="63"/>
  <c r="N190" i="63"/>
  <c r="M189" i="63"/>
  <c r="K189" i="63"/>
  <c r="I189" i="63"/>
  <c r="N189" i="63" s="1"/>
  <c r="M188" i="63"/>
  <c r="K188" i="63"/>
  <c r="I188" i="63"/>
  <c r="N188" i="63" s="1"/>
  <c r="M187" i="63"/>
  <c r="K187" i="63"/>
  <c r="I187" i="63"/>
  <c r="N187" i="63" s="1"/>
  <c r="M186" i="63"/>
  <c r="K186" i="63"/>
  <c r="I186" i="63"/>
  <c r="N186" i="63" s="1"/>
  <c r="M185" i="63"/>
  <c r="K185" i="63"/>
  <c r="I185" i="63"/>
  <c r="N185" i="63" s="1"/>
  <c r="L184" i="63"/>
  <c r="M184" i="63" s="1"/>
  <c r="J184" i="63"/>
  <c r="K184" i="63" s="1"/>
  <c r="I184" i="63"/>
  <c r="N184" i="63" s="1"/>
  <c r="M183" i="63"/>
  <c r="K183" i="63"/>
  <c r="N183" i="63"/>
  <c r="I175" i="63"/>
  <c r="I174" i="63"/>
  <c r="I169" i="63"/>
  <c r="H169" i="63"/>
  <c r="I168" i="63"/>
  <c r="I167" i="63"/>
  <c r="I166" i="63"/>
  <c r="I165" i="63"/>
  <c r="I164" i="63"/>
  <c r="H168" i="63"/>
  <c r="I163" i="63"/>
  <c r="H167" i="63"/>
  <c r="I158" i="63"/>
  <c r="I153" i="63"/>
  <c r="H153" i="63"/>
  <c r="I152" i="63"/>
  <c r="H152" i="63"/>
  <c r="M143" i="63"/>
  <c r="K143" i="63"/>
  <c r="I143" i="63"/>
  <c r="N143" i="63" s="1"/>
  <c r="M138" i="63"/>
  <c r="K138" i="63"/>
  <c r="I138" i="63"/>
  <c r="N138" i="63" s="1"/>
  <c r="M133" i="63"/>
  <c r="K133" i="63"/>
  <c r="I133" i="63"/>
  <c r="N133" i="63" s="1"/>
  <c r="N135" i="63" s="1"/>
  <c r="I128" i="63"/>
  <c r="H128" i="63"/>
  <c r="I127" i="63"/>
  <c r="I122" i="63"/>
  <c r="I117" i="63"/>
  <c r="I109" i="63"/>
  <c r="I101" i="63"/>
  <c r="I96" i="63"/>
  <c r="I91" i="63"/>
  <c r="I86" i="63"/>
  <c r="I81" i="63"/>
  <c r="I76" i="63"/>
  <c r="I75" i="63"/>
  <c r="I70" i="63"/>
  <c r="I65" i="63"/>
  <c r="I60" i="63"/>
  <c r="I55" i="63"/>
  <c r="I47" i="63"/>
  <c r="I42" i="63"/>
  <c r="I37" i="63"/>
  <c r="I32" i="63"/>
  <c r="I27" i="63"/>
  <c r="I19" i="63"/>
  <c r="H19" i="63"/>
  <c r="L14" i="63"/>
  <c r="M14" i="63" s="1"/>
  <c r="J14" i="63"/>
  <c r="K14" i="63" s="1"/>
  <c r="I14" i="63"/>
  <c r="N14" i="63" s="1"/>
  <c r="N16" i="63" s="1"/>
  <c r="B11" i="63"/>
  <c r="A11" i="63"/>
  <c r="K38" i="61" l="1"/>
  <c r="M70" i="63"/>
  <c r="N101" i="63"/>
  <c r="N103" i="63" s="1"/>
  <c r="N152" i="63"/>
  <c r="N158" i="63"/>
  <c r="N160" i="63" s="1"/>
  <c r="N169" i="63"/>
  <c r="K196" i="63"/>
  <c r="M101" i="63"/>
  <c r="M117" i="63"/>
  <c r="M158" i="63"/>
  <c r="M164" i="63"/>
  <c r="M169" i="63"/>
  <c r="N38" i="61"/>
  <c r="N40" i="61" s="1"/>
  <c r="N91" i="63"/>
  <c r="N93" i="63" s="1"/>
  <c r="N117" i="63"/>
  <c r="N119" i="63" s="1"/>
  <c r="N65" i="63"/>
  <c r="N67" i="63" s="1"/>
  <c r="O65" i="63" s="1"/>
  <c r="M65" i="63"/>
  <c r="N19" i="63"/>
  <c r="N21" i="63" s="1"/>
  <c r="O19" i="63" s="1"/>
  <c r="N32" i="63"/>
  <c r="N34" i="63" s="1"/>
  <c r="K163" i="63"/>
  <c r="N100" i="61"/>
  <c r="K19" i="63"/>
  <c r="N70" i="63"/>
  <c r="N72" i="63" s="1"/>
  <c r="K70" i="63"/>
  <c r="M96" i="63"/>
  <c r="M163" i="63"/>
  <c r="M174" i="63"/>
  <c r="M100" i="61"/>
  <c r="M128" i="63"/>
  <c r="M86" i="61"/>
  <c r="N153" i="63"/>
  <c r="N19" i="61"/>
  <c r="N21" i="61" s="1"/>
  <c r="O19" i="61" s="1"/>
  <c r="K91" i="63"/>
  <c r="N167" i="63"/>
  <c r="M109" i="63"/>
  <c r="N160" i="61"/>
  <c r="N162" i="61" s="1"/>
  <c r="M16" i="62"/>
  <c r="M31" i="62" s="1"/>
  <c r="K65" i="63"/>
  <c r="N35" i="61"/>
  <c r="K32" i="63"/>
  <c r="K96" i="63"/>
  <c r="K117" i="63"/>
  <c r="K169" i="63"/>
  <c r="M196" i="63"/>
  <c r="K19" i="61"/>
  <c r="K100" i="61"/>
  <c r="K76" i="63"/>
  <c r="M76" i="63"/>
  <c r="N140" i="63"/>
  <c r="O138" i="63" s="1"/>
  <c r="K158" i="63"/>
  <c r="K174" i="63"/>
  <c r="N196" i="63"/>
  <c r="N198" i="63" s="1"/>
  <c r="N15" i="64"/>
  <c r="N17" i="64" s="1"/>
  <c r="K86" i="61"/>
  <c r="M15" i="64"/>
  <c r="K160" i="61"/>
  <c r="N168" i="63"/>
  <c r="K168" i="63"/>
  <c r="K75" i="63"/>
  <c r="N109" i="63"/>
  <c r="N111" i="63" s="1"/>
  <c r="M75" i="63"/>
  <c r="K101" i="63"/>
  <c r="N128" i="63"/>
  <c r="K164" i="63"/>
  <c r="N86" i="61"/>
  <c r="N88" i="61" s="1"/>
  <c r="M160" i="61"/>
  <c r="N27" i="62"/>
  <c r="O22" i="62" s="1"/>
  <c r="N19" i="62"/>
  <c r="O16" i="62" s="1"/>
  <c r="N50" i="61"/>
  <c r="O48" i="61" s="1"/>
  <c r="N93" i="61"/>
  <c r="O91" i="61" s="1"/>
  <c r="N101" i="61"/>
  <c r="M101" i="61"/>
  <c r="K101" i="61"/>
  <c r="N109" i="61"/>
  <c r="N118" i="61"/>
  <c r="O116" i="61" s="1"/>
  <c r="N157" i="61"/>
  <c r="O155" i="61" s="1"/>
  <c r="N77" i="61"/>
  <c r="O75" i="61" s="1"/>
  <c r="N138" i="61"/>
  <c r="O134" i="61" s="1"/>
  <c r="N145" i="61"/>
  <c r="O143" i="61" s="1"/>
  <c r="N128" i="61"/>
  <c r="O126" i="61" s="1"/>
  <c r="N30" i="61"/>
  <c r="O28" i="61" s="1"/>
  <c r="N67" i="61"/>
  <c r="O65" i="61" s="1"/>
  <c r="N45" i="61"/>
  <c r="N150" i="61"/>
  <c r="O148" i="61" s="1"/>
  <c r="N72" i="61"/>
  <c r="O70" i="61" s="1"/>
  <c r="N83" i="61"/>
  <c r="O80" i="61" s="1"/>
  <c r="N123" i="61"/>
  <c r="O121" i="61" s="1"/>
  <c r="O14" i="61"/>
  <c r="N60" i="64"/>
  <c r="O56" i="64" s="1"/>
  <c r="N27" i="64"/>
  <c r="N35" i="64"/>
  <c r="N42" i="64"/>
  <c r="O39" i="64" s="1"/>
  <c r="N52" i="64"/>
  <c r="O50" i="64" s="1"/>
  <c r="N67" i="64"/>
  <c r="O65" i="64" s="1"/>
  <c r="O48" i="64"/>
  <c r="O93" i="64"/>
  <c r="O23" i="64"/>
  <c r="N122" i="63"/>
  <c r="K122" i="63"/>
  <c r="H127" i="63"/>
  <c r="N60" i="63"/>
  <c r="K60" i="63"/>
  <c r="N81" i="63"/>
  <c r="M81" i="63"/>
  <c r="H86" i="63"/>
  <c r="K81" i="63"/>
  <c r="M168" i="63"/>
  <c r="N146" i="63"/>
  <c r="N55" i="63"/>
  <c r="K55" i="63"/>
  <c r="N76" i="63"/>
  <c r="M122" i="63"/>
  <c r="K167" i="63"/>
  <c r="N27" i="63"/>
  <c r="K27" i="63"/>
  <c r="N75" i="63"/>
  <c r="N192" i="63"/>
  <c r="O192" i="63" s="1"/>
  <c r="M167" i="63"/>
  <c r="N175" i="63"/>
  <c r="M175" i="63"/>
  <c r="K175" i="63"/>
  <c r="O14" i="63"/>
  <c r="H37" i="63"/>
  <c r="N96" i="63"/>
  <c r="O133" i="63"/>
  <c r="N163" i="63"/>
  <c r="N164" i="63"/>
  <c r="K152" i="63"/>
  <c r="K153" i="63"/>
  <c r="K109" i="63"/>
  <c r="K128" i="63"/>
  <c r="H165" i="63"/>
  <c r="M165" i="63" s="1"/>
  <c r="H166" i="63"/>
  <c r="N174" i="63"/>
  <c r="M152" i="63"/>
  <c r="M153" i="63"/>
  <c r="K166" i="61" l="1"/>
  <c r="O160" i="61"/>
  <c r="N164" i="61"/>
  <c r="O107" i="61"/>
  <c r="N111" i="61"/>
  <c r="O143" i="63"/>
  <c r="O144" i="63"/>
  <c r="O32" i="63"/>
  <c r="O101" i="63"/>
  <c r="N103" i="61"/>
  <c r="O99" i="61" s="1"/>
  <c r="O158" i="63"/>
  <c r="N155" i="63"/>
  <c r="O152" i="63" s="1"/>
  <c r="O117" i="63"/>
  <c r="O70" i="63"/>
  <c r="O63" i="64"/>
  <c r="O106" i="61"/>
  <c r="O58" i="64"/>
  <c r="O136" i="61"/>
  <c r="O135" i="61"/>
  <c r="O86" i="61"/>
  <c r="O23" i="62"/>
  <c r="O187" i="63"/>
  <c r="O57" i="64"/>
  <c r="O24" i="62"/>
  <c r="O40" i="64"/>
  <c r="O17" i="62"/>
  <c r="O189" i="63"/>
  <c r="O185" i="63"/>
  <c r="M166" i="61"/>
  <c r="O196" i="63"/>
  <c r="N29" i="62"/>
  <c r="O27" i="62" s="1"/>
  <c r="O15" i="62"/>
  <c r="O25" i="62"/>
  <c r="N23" i="61"/>
  <c r="O21" i="61" s="1"/>
  <c r="O153" i="61"/>
  <c r="N130" i="61"/>
  <c r="N95" i="61"/>
  <c r="O77" i="61" s="1"/>
  <c r="O154" i="61"/>
  <c r="O27" i="61"/>
  <c r="O115" i="61"/>
  <c r="O81" i="61"/>
  <c r="N139" i="61"/>
  <c r="O138" i="61" s="1"/>
  <c r="N52" i="61"/>
  <c r="O40" i="61" s="1"/>
  <c r="O43" i="61"/>
  <c r="N19" i="64"/>
  <c r="O17" i="64" s="1"/>
  <c r="N44" i="64"/>
  <c r="O42" i="64" s="1"/>
  <c r="O32" i="64"/>
  <c r="O31" i="64"/>
  <c r="O38" i="64"/>
  <c r="O25" i="64"/>
  <c r="O15" i="64"/>
  <c r="O64" i="64"/>
  <c r="O33" i="64"/>
  <c r="N57" i="63"/>
  <c r="O55" i="63" s="1"/>
  <c r="N166" i="63"/>
  <c r="K166" i="63"/>
  <c r="M166" i="63"/>
  <c r="N165" i="63"/>
  <c r="K165" i="63"/>
  <c r="N23" i="63"/>
  <c r="O188" i="63"/>
  <c r="M127" i="63"/>
  <c r="K127" i="63"/>
  <c r="N127" i="63"/>
  <c r="N78" i="63"/>
  <c r="O76" i="63" s="1"/>
  <c r="O186" i="63"/>
  <c r="O91" i="63"/>
  <c r="K86" i="63"/>
  <c r="N86" i="63"/>
  <c r="M86" i="63"/>
  <c r="N124" i="63"/>
  <c r="N29" i="63"/>
  <c r="O27" i="63" s="1"/>
  <c r="N200" i="63"/>
  <c r="O184" i="63"/>
  <c r="N98" i="63"/>
  <c r="O96" i="63" s="1"/>
  <c r="N113" i="63"/>
  <c r="O111" i="63" s="1"/>
  <c r="N42" i="63"/>
  <c r="K42" i="63"/>
  <c r="O109" i="63"/>
  <c r="N83" i="63"/>
  <c r="O81" i="63" s="1"/>
  <c r="K37" i="63"/>
  <c r="N37" i="63"/>
  <c r="N177" i="63"/>
  <c r="O175" i="63" s="1"/>
  <c r="O183" i="63"/>
  <c r="O190" i="63"/>
  <c r="N62" i="63"/>
  <c r="N166" i="61" l="1"/>
  <c r="O61" i="61" s="1"/>
  <c r="O145" i="61"/>
  <c r="O150" i="61"/>
  <c r="O153" i="63"/>
  <c r="O100" i="61"/>
  <c r="O101" i="61"/>
  <c r="O103" i="61"/>
  <c r="O35" i="64"/>
  <c r="N171" i="63"/>
  <c r="O167" i="63" s="1"/>
  <c r="O174" i="63"/>
  <c r="O162" i="61"/>
  <c r="O75" i="63"/>
  <c r="O83" i="61"/>
  <c r="O45" i="61"/>
  <c r="O50" i="61"/>
  <c r="O19" i="62"/>
  <c r="O72" i="61"/>
  <c r="N31" i="62"/>
  <c r="O29" i="62" s="1"/>
  <c r="O123" i="61"/>
  <c r="O35" i="61"/>
  <c r="O88" i="61"/>
  <c r="O67" i="61"/>
  <c r="O128" i="61"/>
  <c r="O93" i="61"/>
  <c r="O16" i="61"/>
  <c r="O118" i="61"/>
  <c r="O30" i="61"/>
  <c r="O157" i="61"/>
  <c r="N44" i="63"/>
  <c r="N47" i="63"/>
  <c r="K47" i="63"/>
  <c r="K202" i="63" s="1"/>
  <c r="N39" i="63"/>
  <c r="O37" i="63" s="1"/>
  <c r="O122" i="63"/>
  <c r="O60" i="63"/>
  <c r="M202" i="63"/>
  <c r="O16" i="63"/>
  <c r="N88" i="63"/>
  <c r="O86" i="63" s="1"/>
  <c r="O21" i="63"/>
  <c r="O198" i="63"/>
  <c r="N130" i="63"/>
  <c r="O109" i="61" l="1"/>
  <c r="O23" i="61"/>
  <c r="N179" i="63"/>
  <c r="O177" i="63" s="1"/>
  <c r="O166" i="63"/>
  <c r="O165" i="63"/>
  <c r="O163" i="63"/>
  <c r="O168" i="63"/>
  <c r="O164" i="63"/>
  <c r="O169" i="63"/>
  <c r="O128" i="63"/>
  <c r="N105" i="63"/>
  <c r="O127" i="63"/>
  <c r="N148" i="63"/>
  <c r="N49" i="63"/>
  <c r="O47" i="63" s="1"/>
  <c r="O42" i="63"/>
  <c r="O130" i="61" l="1"/>
  <c r="O164" i="61"/>
  <c r="O111" i="61"/>
  <c r="O52" i="61"/>
  <c r="O139" i="61"/>
  <c r="O95" i="61"/>
  <c r="O155" i="63"/>
  <c r="O160" i="63"/>
  <c r="O171" i="63"/>
  <c r="O135" i="63"/>
  <c r="O140" i="63"/>
  <c r="O119" i="63"/>
  <c r="O146" i="63"/>
  <c r="O124" i="63"/>
  <c r="O103" i="63"/>
  <c r="O67" i="63"/>
  <c r="O72" i="63"/>
  <c r="O93" i="63"/>
  <c r="O78" i="63"/>
  <c r="O57" i="63"/>
  <c r="O83" i="63"/>
  <c r="O98" i="63"/>
  <c r="O62" i="63"/>
  <c r="O130" i="63"/>
  <c r="O88" i="63"/>
  <c r="N51" i="63"/>
  <c r="O49" i="63" s="1"/>
  <c r="O34" i="63" l="1"/>
  <c r="N202" i="63"/>
  <c r="O51" i="63" s="1"/>
  <c r="O29" i="63"/>
  <c r="O39" i="63"/>
  <c r="O44" i="63"/>
  <c r="O23" i="63" l="1"/>
  <c r="O113" i="63"/>
  <c r="O200" i="63"/>
  <c r="O179" i="63"/>
  <c r="O148" i="63"/>
  <c r="O105" i="63"/>
  <c r="L145" i="59" l="1"/>
  <c r="J145" i="59"/>
  <c r="I145" i="59"/>
  <c r="N137" i="59"/>
  <c r="N122" i="59"/>
  <c r="L100" i="59"/>
  <c r="K100" i="59"/>
  <c r="I100" i="59"/>
  <c r="L95" i="59"/>
  <c r="M95" i="59" s="1"/>
  <c r="K95" i="59"/>
  <c r="I95" i="59"/>
  <c r="N95" i="59" s="1"/>
  <c r="L94" i="59"/>
  <c r="M94" i="59" s="1"/>
  <c r="K94" i="59"/>
  <c r="I94" i="59"/>
  <c r="N94" i="59" s="1"/>
  <c r="L89" i="59"/>
  <c r="M89" i="59" s="1"/>
  <c r="K89" i="59"/>
  <c r="I89" i="59"/>
  <c r="N89" i="59" s="1"/>
  <c r="L84" i="59"/>
  <c r="M84" i="59" s="1"/>
  <c r="K84" i="59"/>
  <c r="I84" i="59"/>
  <c r="N84" i="59" s="1"/>
  <c r="N86" i="59" s="1"/>
  <c r="L79" i="59"/>
  <c r="K79" i="59"/>
  <c r="I79" i="59"/>
  <c r="N79" i="59" s="1"/>
  <c r="L74" i="59"/>
  <c r="K74" i="59"/>
  <c r="I74" i="59"/>
  <c r="N74" i="59" s="1"/>
  <c r="L66" i="59"/>
  <c r="I66" i="59"/>
  <c r="L58" i="59"/>
  <c r="I58" i="59"/>
  <c r="L53" i="59"/>
  <c r="I53" i="59"/>
  <c r="L48" i="59"/>
  <c r="I48" i="59"/>
  <c r="L43" i="59"/>
  <c r="I43" i="59"/>
  <c r="H48" i="59"/>
  <c r="L42" i="59"/>
  <c r="K42" i="59"/>
  <c r="I42" i="59"/>
  <c r="N42" i="59" s="1"/>
  <c r="L37" i="59"/>
  <c r="I37" i="59"/>
  <c r="L32" i="59"/>
  <c r="I32" i="59"/>
  <c r="L27" i="59"/>
  <c r="K27" i="59"/>
  <c r="I27" i="59"/>
  <c r="N27" i="59" s="1"/>
  <c r="L19" i="59"/>
  <c r="I19" i="59"/>
  <c r="H19" i="59"/>
  <c r="L14" i="59"/>
  <c r="M14" i="59" s="1"/>
  <c r="J14" i="59"/>
  <c r="K14" i="59" s="1"/>
  <c r="I14" i="59"/>
  <c r="N14" i="59" s="1"/>
  <c r="N16" i="59" s="1"/>
  <c r="B11" i="59"/>
  <c r="A11" i="59"/>
  <c r="L154" i="57"/>
  <c r="J154" i="57"/>
  <c r="I154" i="57"/>
  <c r="M146" i="57"/>
  <c r="K146" i="57"/>
  <c r="N146" i="57"/>
  <c r="K145" i="57"/>
  <c r="N145" i="57"/>
  <c r="K131" i="57"/>
  <c r="L121" i="57"/>
  <c r="M121" i="57" s="1"/>
  <c r="K121" i="57"/>
  <c r="I121" i="57"/>
  <c r="N121" i="57" s="1"/>
  <c r="L120" i="57"/>
  <c r="I120" i="57"/>
  <c r="L119" i="57"/>
  <c r="M119" i="57" s="1"/>
  <c r="K119" i="57"/>
  <c r="I119" i="57"/>
  <c r="N119" i="57" s="1"/>
  <c r="L111" i="57"/>
  <c r="M111" i="57" s="1"/>
  <c r="K111" i="57"/>
  <c r="I111" i="57"/>
  <c r="N111" i="57" s="1"/>
  <c r="L103" i="57"/>
  <c r="M103" i="57" s="1"/>
  <c r="K103" i="57"/>
  <c r="I103" i="57"/>
  <c r="N103" i="57" s="1"/>
  <c r="L95" i="57"/>
  <c r="I95" i="57"/>
  <c r="L90" i="57"/>
  <c r="M90" i="57" s="1"/>
  <c r="K90" i="57"/>
  <c r="I90" i="57"/>
  <c r="N90" i="57" s="1"/>
  <c r="L89" i="57"/>
  <c r="I89" i="57"/>
  <c r="L84" i="57"/>
  <c r="M84" i="57" s="1"/>
  <c r="K84" i="57"/>
  <c r="I84" i="57"/>
  <c r="N84" i="57" s="1"/>
  <c r="N86" i="57" s="1"/>
  <c r="L79" i="57"/>
  <c r="I79" i="57"/>
  <c r="L74" i="57"/>
  <c r="K74" i="57"/>
  <c r="I74" i="57"/>
  <c r="N74" i="57" s="1"/>
  <c r="L69" i="57"/>
  <c r="K69" i="57"/>
  <c r="I69" i="57"/>
  <c r="N69" i="57" s="1"/>
  <c r="L61" i="57"/>
  <c r="I61" i="57"/>
  <c r="L53" i="57"/>
  <c r="I53" i="57"/>
  <c r="L48" i="57"/>
  <c r="I48" i="57"/>
  <c r="L43" i="57"/>
  <c r="I43" i="57"/>
  <c r="H43" i="57"/>
  <c r="L38" i="57"/>
  <c r="K38" i="57"/>
  <c r="I38" i="57"/>
  <c r="N38" i="57" s="1"/>
  <c r="L33" i="57"/>
  <c r="I33" i="57"/>
  <c r="L28" i="57"/>
  <c r="I28" i="57"/>
  <c r="L27" i="57"/>
  <c r="I27" i="57"/>
  <c r="L19" i="57"/>
  <c r="I19" i="57"/>
  <c r="H19" i="57"/>
  <c r="L14" i="57"/>
  <c r="M14" i="57" s="1"/>
  <c r="J14" i="57"/>
  <c r="K14" i="57" s="1"/>
  <c r="I14" i="57"/>
  <c r="N14" i="57" s="1"/>
  <c r="H54" i="56"/>
  <c r="N53" i="56"/>
  <c r="N38" i="56"/>
  <c r="M30" i="56"/>
  <c r="I30" i="56"/>
  <c r="N30" i="56" s="1"/>
  <c r="M25" i="56"/>
  <c r="I25" i="56"/>
  <c r="N25" i="56" s="1"/>
  <c r="M20" i="56"/>
  <c r="I20" i="56"/>
  <c r="N20" i="56" s="1"/>
  <c r="L14" i="56"/>
  <c r="M14" i="56" s="1"/>
  <c r="I14" i="56"/>
  <c r="N14" i="56" s="1"/>
  <c r="L140" i="55"/>
  <c r="J140" i="55"/>
  <c r="I140" i="55"/>
  <c r="H140" i="55"/>
  <c r="L132" i="55"/>
  <c r="M132" i="55" s="1"/>
  <c r="J132" i="55"/>
  <c r="K132" i="55" s="1"/>
  <c r="I132" i="55"/>
  <c r="N132" i="55" s="1"/>
  <c r="L127" i="55"/>
  <c r="J127" i="55"/>
  <c r="K127" i="55" s="1"/>
  <c r="I127" i="55"/>
  <c r="N127" i="55" s="1"/>
  <c r="L122" i="55"/>
  <c r="M122" i="55" s="1"/>
  <c r="J122" i="55"/>
  <c r="K122" i="55" s="1"/>
  <c r="I122" i="55"/>
  <c r="N122" i="55" s="1"/>
  <c r="K114" i="55"/>
  <c r="L109" i="55"/>
  <c r="M109" i="55" s="1"/>
  <c r="J109" i="55"/>
  <c r="K109" i="55" s="1"/>
  <c r="N109" i="55"/>
  <c r="O109" i="55" s="1"/>
  <c r="L108" i="55"/>
  <c r="M108" i="55" s="1"/>
  <c r="J108" i="55"/>
  <c r="K108" i="55" s="1"/>
  <c r="N108" i="55"/>
  <c r="O108" i="55" s="1"/>
  <c r="L107" i="55"/>
  <c r="M107" i="55" s="1"/>
  <c r="J107" i="55"/>
  <c r="K107" i="55" s="1"/>
  <c r="N107" i="55"/>
  <c r="O107" i="55" s="1"/>
  <c r="O101" i="55"/>
  <c r="M99" i="55"/>
  <c r="K99" i="55"/>
  <c r="N99" i="55"/>
  <c r="O99" i="55" s="1"/>
  <c r="O96" i="55"/>
  <c r="L94" i="55"/>
  <c r="M94" i="55" s="1"/>
  <c r="J94" i="55"/>
  <c r="K94" i="55" s="1"/>
  <c r="N94" i="55"/>
  <c r="O94" i="55" s="1"/>
  <c r="N88" i="55"/>
  <c r="O88" i="55" s="1"/>
  <c r="L86" i="55"/>
  <c r="J86" i="55"/>
  <c r="K86" i="55" s="1"/>
  <c r="O83" i="55"/>
  <c r="L81" i="55"/>
  <c r="M81" i="55" s="1"/>
  <c r="J81" i="55"/>
  <c r="K81" i="55" s="1"/>
  <c r="N81" i="55"/>
  <c r="O81" i="55" s="1"/>
  <c r="O78" i="55"/>
  <c r="L76" i="55"/>
  <c r="M76" i="55" s="1"/>
  <c r="J76" i="55"/>
  <c r="K76" i="55" s="1"/>
  <c r="N76" i="55"/>
  <c r="O76" i="55" s="1"/>
  <c r="L75" i="55"/>
  <c r="M75" i="55" s="1"/>
  <c r="J75" i="55"/>
  <c r="K75" i="55" s="1"/>
  <c r="N75" i="55"/>
  <c r="O75" i="55" s="1"/>
  <c r="O72" i="55"/>
  <c r="L70" i="55"/>
  <c r="M70" i="55" s="1"/>
  <c r="J70" i="55"/>
  <c r="K70" i="55" s="1"/>
  <c r="N70" i="55"/>
  <c r="O70" i="55" s="1"/>
  <c r="O67" i="55"/>
  <c r="L65" i="55"/>
  <c r="J65" i="55"/>
  <c r="K65" i="55" s="1"/>
  <c r="N65" i="55"/>
  <c r="O65" i="55" s="1"/>
  <c r="O62" i="55"/>
  <c r="M60" i="55"/>
  <c r="K60" i="55"/>
  <c r="N60" i="55"/>
  <c r="O60" i="55" s="1"/>
  <c r="L52" i="55"/>
  <c r="J52" i="55"/>
  <c r="L47" i="55"/>
  <c r="J47" i="55"/>
  <c r="L42" i="55"/>
  <c r="J42" i="55"/>
  <c r="L37" i="55"/>
  <c r="J37" i="55"/>
  <c r="L32" i="55"/>
  <c r="J32" i="55"/>
  <c r="I32" i="55"/>
  <c r="L27" i="55"/>
  <c r="J27" i="55"/>
  <c r="L19" i="55"/>
  <c r="J19" i="55"/>
  <c r="H19" i="55"/>
  <c r="L14" i="55"/>
  <c r="M14" i="55" s="1"/>
  <c r="J14" i="55"/>
  <c r="K14" i="55" s="1"/>
  <c r="N14" i="55"/>
  <c r="N16" i="55" s="1"/>
  <c r="M51" i="54"/>
  <c r="N51" i="54"/>
  <c r="H46" i="54"/>
  <c r="H45" i="54"/>
  <c r="M40" i="54"/>
  <c r="N40" i="54"/>
  <c r="N42" i="54" s="1"/>
  <c r="N32" i="54"/>
  <c r="M32" i="54"/>
  <c r="L23" i="54"/>
  <c r="M23" i="54" s="1"/>
  <c r="N23" i="54"/>
  <c r="M14" i="54"/>
  <c r="N14" i="54"/>
  <c r="H162" i="53"/>
  <c r="K141" i="53"/>
  <c r="N141" i="53"/>
  <c r="K136" i="53"/>
  <c r="N136" i="53"/>
  <c r="K131" i="53"/>
  <c r="N131" i="53"/>
  <c r="K126" i="53"/>
  <c r="N126" i="53"/>
  <c r="K121" i="53"/>
  <c r="N121" i="53"/>
  <c r="M105" i="53"/>
  <c r="K105" i="53"/>
  <c r="N105" i="53"/>
  <c r="H99" i="53"/>
  <c r="L73" i="53"/>
  <c r="J73" i="53"/>
  <c r="H42" i="53"/>
  <c r="I19" i="53"/>
  <c r="H19" i="53"/>
  <c r="L14" i="53"/>
  <c r="M14" i="53" s="1"/>
  <c r="J14" i="53"/>
  <c r="K14" i="53" s="1"/>
  <c r="N14" i="53"/>
  <c r="N16" i="53" s="1"/>
  <c r="N16" i="52"/>
  <c r="I16" i="52"/>
  <c r="N15" i="52"/>
  <c r="I15" i="52"/>
  <c r="L14" i="52"/>
  <c r="N14" i="52" s="1"/>
  <c r="I14" i="52"/>
  <c r="L87" i="51"/>
  <c r="J87" i="51"/>
  <c r="M79" i="51"/>
  <c r="K79" i="51"/>
  <c r="N79" i="51"/>
  <c r="M78" i="51"/>
  <c r="K78" i="51"/>
  <c r="N78" i="51"/>
  <c r="M73" i="51"/>
  <c r="J73" i="51"/>
  <c r="L61" i="51"/>
  <c r="J61" i="51"/>
  <c r="H61" i="51"/>
  <c r="N56" i="51"/>
  <c r="N58" i="51" s="1"/>
  <c r="K56" i="51"/>
  <c r="L39" i="51"/>
  <c r="J39" i="51"/>
  <c r="L34" i="51"/>
  <c r="J34" i="51"/>
  <c r="L29" i="51"/>
  <c r="J29" i="51"/>
  <c r="L24" i="51"/>
  <c r="J24" i="51"/>
  <c r="J19" i="51"/>
  <c r="L14" i="51"/>
  <c r="J14" i="51"/>
  <c r="L43" i="50"/>
  <c r="M43" i="50" s="1"/>
  <c r="I43" i="50"/>
  <c r="N43" i="50" s="1"/>
  <c r="L33" i="50"/>
  <c r="M33" i="50" s="1"/>
  <c r="I33" i="50"/>
  <c r="N33" i="50" s="1"/>
  <c r="L32" i="50"/>
  <c r="L31" i="50"/>
  <c r="M31" i="50" s="1"/>
  <c r="I31" i="50"/>
  <c r="N31" i="50" s="1"/>
  <c r="L30" i="50"/>
  <c r="M30" i="50" s="1"/>
  <c r="I30" i="50"/>
  <c r="N30" i="50" s="1"/>
  <c r="L19" i="50"/>
  <c r="M19" i="50" s="1"/>
  <c r="I19" i="50"/>
  <c r="N19" i="50" s="1"/>
  <c r="L14" i="50"/>
  <c r="M14" i="50" s="1"/>
  <c r="I14" i="50"/>
  <c r="N14" i="50" s="1"/>
  <c r="H129" i="49"/>
  <c r="K121" i="49"/>
  <c r="N121" i="49"/>
  <c r="M113" i="49"/>
  <c r="K113" i="49"/>
  <c r="N113" i="49"/>
  <c r="M108" i="49"/>
  <c r="K108" i="49"/>
  <c r="N108" i="49"/>
  <c r="M84" i="49"/>
  <c r="K84" i="49"/>
  <c r="K83" i="49"/>
  <c r="M82" i="49"/>
  <c r="K82" i="49"/>
  <c r="N82" i="49"/>
  <c r="M81" i="49"/>
  <c r="K81" i="49"/>
  <c r="N81" i="49"/>
  <c r="M65" i="49"/>
  <c r="K65" i="49"/>
  <c r="N65" i="49"/>
  <c r="M64" i="49"/>
  <c r="K64" i="49"/>
  <c r="N64" i="49"/>
  <c r="H20" i="49"/>
  <c r="L14" i="49"/>
  <c r="M14" i="49" s="1"/>
  <c r="J14" i="49"/>
  <c r="K14" i="49" s="1"/>
  <c r="I14" i="49"/>
  <c r="N14" i="49" s="1"/>
  <c r="N17" i="49" s="1"/>
  <c r="H108" i="65"/>
  <c r="M100" i="65"/>
  <c r="K100" i="65"/>
  <c r="N100" i="65"/>
  <c r="M99" i="65"/>
  <c r="K99" i="65"/>
  <c r="N99" i="65"/>
  <c r="M94" i="65"/>
  <c r="K94" i="65"/>
  <c r="N94" i="65"/>
  <c r="M93" i="65"/>
  <c r="K93" i="65"/>
  <c r="N93" i="65"/>
  <c r="K84" i="65"/>
  <c r="N84" i="65"/>
  <c r="M83" i="65"/>
  <c r="K83" i="65"/>
  <c r="N83" i="65"/>
  <c r="K74" i="65"/>
  <c r="N74" i="65"/>
  <c r="N76" i="65" s="1"/>
  <c r="K50" i="65"/>
  <c r="N50" i="65"/>
  <c r="N40" i="65"/>
  <c r="K35" i="65"/>
  <c r="N35" i="65"/>
  <c r="N37" i="65" s="1"/>
  <c r="K27" i="65"/>
  <c r="N27" i="65"/>
  <c r="H19" i="65"/>
  <c r="L14" i="65"/>
  <c r="M14" i="65" s="1"/>
  <c r="J14" i="65"/>
  <c r="K14" i="65" s="1"/>
  <c r="I14" i="65"/>
  <c r="N14" i="65" s="1"/>
  <c r="N14" i="76"/>
  <c r="J14" i="76"/>
  <c r="K14" i="76" s="1"/>
  <c r="L14" i="76"/>
  <c r="M14" i="76" s="1"/>
  <c r="H19" i="76"/>
  <c r="N24" i="76"/>
  <c r="K24" i="76"/>
  <c r="N54" i="76"/>
  <c r="K54" i="76"/>
  <c r="M54" i="76"/>
  <c r="H55" i="56" l="1"/>
  <c r="N55" i="56" s="1"/>
  <c r="K54" i="56"/>
  <c r="M54" i="56"/>
  <c r="M15" i="56"/>
  <c r="N15" i="56"/>
  <c r="N17" i="56" s="1"/>
  <c r="O15" i="56" s="1"/>
  <c r="N23" i="52"/>
  <c r="O19" i="52" s="1"/>
  <c r="K73" i="51"/>
  <c r="N73" i="51"/>
  <c r="M68" i="53"/>
  <c r="N34" i="54"/>
  <c r="N36" i="54" s="1"/>
  <c r="H46" i="49"/>
  <c r="N46" i="49" s="1"/>
  <c r="N19" i="53"/>
  <c r="N21" i="53" s="1"/>
  <c r="O19" i="53" s="1"/>
  <c r="N32" i="53"/>
  <c r="N26" i="54"/>
  <c r="O24" i="54" s="1"/>
  <c r="N113" i="53"/>
  <c r="N115" i="53" s="1"/>
  <c r="O113" i="53" s="1"/>
  <c r="N162" i="53"/>
  <c r="N164" i="53" s="1"/>
  <c r="K43" i="57"/>
  <c r="N37" i="53"/>
  <c r="N39" i="53" s="1"/>
  <c r="K68" i="53"/>
  <c r="N87" i="51"/>
  <c r="N89" i="51" s="1"/>
  <c r="O87" i="51" s="1"/>
  <c r="K39" i="49"/>
  <c r="K48" i="59"/>
  <c r="N140" i="55"/>
  <c r="N142" i="55" s="1"/>
  <c r="O140" i="55" s="1"/>
  <c r="M82" i="65"/>
  <c r="K82" i="65"/>
  <c r="K108" i="65"/>
  <c r="M108" i="65"/>
  <c r="N82" i="65"/>
  <c r="K51" i="65"/>
  <c r="K19" i="65"/>
  <c r="K85" i="65"/>
  <c r="N129" i="49"/>
  <c r="K89" i="57"/>
  <c r="K149" i="53"/>
  <c r="N45" i="65"/>
  <c r="N47" i="65" s="1"/>
  <c r="O45" i="65" s="1"/>
  <c r="K32" i="55"/>
  <c r="N43" i="57"/>
  <c r="N45" i="57" s="1"/>
  <c r="O43" i="57" s="1"/>
  <c r="N100" i="59"/>
  <c r="N102" i="59" s="1"/>
  <c r="O100" i="59" s="1"/>
  <c r="N170" i="53"/>
  <c r="N172" i="53" s="1"/>
  <c r="O170" i="53" s="1"/>
  <c r="N27" i="55"/>
  <c r="K37" i="55"/>
  <c r="N95" i="57"/>
  <c r="N97" i="57" s="1"/>
  <c r="N145" i="59"/>
  <c r="N147" i="59" s="1"/>
  <c r="K27" i="53"/>
  <c r="K104" i="53"/>
  <c r="N154" i="57"/>
  <c r="N156" i="57" s="1"/>
  <c r="N14" i="51"/>
  <c r="N16" i="51" s="1"/>
  <c r="O14" i="51" s="1"/>
  <c r="K24" i="51"/>
  <c r="N61" i="51"/>
  <c r="N63" i="51" s="1"/>
  <c r="O61" i="51" s="1"/>
  <c r="N68" i="53"/>
  <c r="N70" i="53" s="1"/>
  <c r="N78" i="53"/>
  <c r="N80" i="53" s="1"/>
  <c r="O78" i="53" s="1"/>
  <c r="N120" i="57"/>
  <c r="M145" i="59"/>
  <c r="M120" i="57"/>
  <c r="N66" i="59"/>
  <c r="N68" i="59" s="1"/>
  <c r="N149" i="53"/>
  <c r="N151" i="53" s="1"/>
  <c r="N153" i="53" s="1"/>
  <c r="M20" i="50"/>
  <c r="N19" i="51"/>
  <c r="N21" i="51" s="1"/>
  <c r="N99" i="53"/>
  <c r="N101" i="53" s="1"/>
  <c r="M95" i="57"/>
  <c r="N32" i="59"/>
  <c r="N34" i="59" s="1"/>
  <c r="K43" i="59"/>
  <c r="N19" i="76"/>
  <c r="N21" i="76" s="1"/>
  <c r="N29" i="49"/>
  <c r="N28" i="57"/>
  <c r="K79" i="57"/>
  <c r="K95" i="57"/>
  <c r="K120" i="57"/>
  <c r="N73" i="49"/>
  <c r="N75" i="49" s="1"/>
  <c r="N77" i="49" s="1"/>
  <c r="N51" i="65"/>
  <c r="N53" i="65" s="1"/>
  <c r="O50" i="65" s="1"/>
  <c r="N108" i="65"/>
  <c r="N110" i="65" s="1"/>
  <c r="M16" i="52"/>
  <c r="M46" i="54"/>
  <c r="K140" i="55"/>
  <c r="N33" i="57"/>
  <c r="N35" i="57" s="1"/>
  <c r="O33" i="57" s="1"/>
  <c r="N29" i="59"/>
  <c r="O27" i="59" s="1"/>
  <c r="N116" i="55"/>
  <c r="N118" i="55" s="1"/>
  <c r="O111" i="55" s="1"/>
  <c r="N40" i="76"/>
  <c r="N42" i="76" s="1"/>
  <c r="K84" i="53"/>
  <c r="K32" i="76"/>
  <c r="K40" i="76"/>
  <c r="M84" i="65"/>
  <c r="M157" i="53"/>
  <c r="K19" i="51"/>
  <c r="N79" i="57"/>
  <c r="N81" i="57" s="1"/>
  <c r="K20" i="49"/>
  <c r="N73" i="53"/>
  <c r="N75" i="53" s="1"/>
  <c r="K83" i="53"/>
  <c r="N89" i="53"/>
  <c r="N91" i="53" s="1"/>
  <c r="O89" i="53" s="1"/>
  <c r="N19" i="57"/>
  <c r="N21" i="57" s="1"/>
  <c r="O19" i="57" s="1"/>
  <c r="K28" i="57"/>
  <c r="N43" i="59"/>
  <c r="N45" i="59" s="1"/>
  <c r="O42" i="59" s="1"/>
  <c r="K19" i="59"/>
  <c r="K37" i="59"/>
  <c r="N19" i="59"/>
  <c r="N21" i="59" s="1"/>
  <c r="N23" i="59" s="1"/>
  <c r="K32" i="59"/>
  <c r="N48" i="59"/>
  <c r="N50" i="59" s="1"/>
  <c r="K58" i="59"/>
  <c r="N37" i="59"/>
  <c r="N39" i="59" s="1"/>
  <c r="O37" i="59" s="1"/>
  <c r="K19" i="57"/>
  <c r="K154" i="57"/>
  <c r="H61" i="57"/>
  <c r="N61" i="57" s="1"/>
  <c r="N54" i="56"/>
  <c r="M140" i="55"/>
  <c r="M146" i="55" s="1"/>
  <c r="K19" i="55"/>
  <c r="N37" i="55"/>
  <c r="N39" i="55" s="1"/>
  <c r="O37" i="55" s="1"/>
  <c r="N19" i="55"/>
  <c r="N21" i="55" s="1"/>
  <c r="N23" i="55" s="1"/>
  <c r="N32" i="55"/>
  <c r="H42" i="55"/>
  <c r="N94" i="53"/>
  <c r="N96" i="53" s="1"/>
  <c r="O94" i="53" s="1"/>
  <c r="K94" i="53"/>
  <c r="M94" i="53"/>
  <c r="N104" i="53"/>
  <c r="N107" i="53" s="1"/>
  <c r="O104" i="53" s="1"/>
  <c r="K113" i="53"/>
  <c r="M83" i="53"/>
  <c r="M113" i="53"/>
  <c r="N83" i="53"/>
  <c r="N157" i="53"/>
  <c r="N159" i="53" s="1"/>
  <c r="O157" i="53" s="1"/>
  <c r="K89" i="53"/>
  <c r="K157" i="53"/>
  <c r="K170" i="53"/>
  <c r="N27" i="53"/>
  <c r="N29" i="53" s="1"/>
  <c r="M84" i="53"/>
  <c r="M170" i="53"/>
  <c r="M89" i="53"/>
  <c r="K47" i="53"/>
  <c r="K37" i="53"/>
  <c r="N84" i="53"/>
  <c r="M149" i="53"/>
  <c r="K87" i="51"/>
  <c r="K61" i="51"/>
  <c r="N34" i="49"/>
  <c r="N36" i="49" s="1"/>
  <c r="O34" i="49" s="1"/>
  <c r="N40" i="49"/>
  <c r="N83" i="49"/>
  <c r="N88" i="49" s="1"/>
  <c r="K34" i="49"/>
  <c r="K40" i="49"/>
  <c r="K100" i="49"/>
  <c r="K129" i="49"/>
  <c r="K28" i="49"/>
  <c r="K73" i="49"/>
  <c r="H130" i="49"/>
  <c r="M130" i="49" s="1"/>
  <c r="K29" i="49"/>
  <c r="N28" i="49"/>
  <c r="N20" i="49"/>
  <c r="N22" i="49" s="1"/>
  <c r="N24" i="49" s="1"/>
  <c r="O22" i="49" s="1"/>
  <c r="M45" i="54"/>
  <c r="M85" i="65"/>
  <c r="K40" i="65"/>
  <c r="N61" i="65"/>
  <c r="N63" i="65" s="1"/>
  <c r="N85" i="65"/>
  <c r="K45" i="65"/>
  <c r="K19" i="76"/>
  <c r="N139" i="59"/>
  <c r="O137" i="59" s="1"/>
  <c r="N97" i="59"/>
  <c r="O95" i="59" s="1"/>
  <c r="N124" i="59"/>
  <c r="N126" i="59" s="1"/>
  <c r="O119" i="59" s="1"/>
  <c r="N91" i="59"/>
  <c r="O89" i="59" s="1"/>
  <c r="N76" i="59"/>
  <c r="O74" i="59" s="1"/>
  <c r="N81" i="59"/>
  <c r="O84" i="59"/>
  <c r="M100" i="59"/>
  <c r="K145" i="59"/>
  <c r="O14" i="59"/>
  <c r="N105" i="57"/>
  <c r="O103" i="57" s="1"/>
  <c r="N71" i="57"/>
  <c r="O69" i="57" s="1"/>
  <c r="N113" i="57"/>
  <c r="O111" i="57" s="1"/>
  <c r="N40" i="57"/>
  <c r="N148" i="57"/>
  <c r="O146" i="57" s="1"/>
  <c r="N16" i="57"/>
  <c r="O14" i="57" s="1"/>
  <c r="N76" i="57"/>
  <c r="N133" i="57"/>
  <c r="O84" i="57"/>
  <c r="M89" i="57"/>
  <c r="N89" i="57"/>
  <c r="M154" i="57"/>
  <c r="K27" i="57"/>
  <c r="K33" i="57"/>
  <c r="N27" i="57"/>
  <c r="M79" i="57"/>
  <c r="N22" i="56"/>
  <c r="N32" i="56"/>
  <c r="O30" i="56" s="1"/>
  <c r="N40" i="56"/>
  <c r="O38" i="56" s="1"/>
  <c r="N27" i="56"/>
  <c r="O25" i="56" s="1"/>
  <c r="N129" i="55"/>
  <c r="N134" i="55"/>
  <c r="N124" i="55"/>
  <c r="O14" i="55"/>
  <c r="O86" i="55"/>
  <c r="K27" i="55"/>
  <c r="N16" i="54"/>
  <c r="O14" i="54" s="1"/>
  <c r="N53" i="54"/>
  <c r="O51" i="54" s="1"/>
  <c r="N45" i="54"/>
  <c r="O40" i="54"/>
  <c r="N46" i="54"/>
  <c r="N128" i="53"/>
  <c r="N143" i="53"/>
  <c r="O141" i="53" s="1"/>
  <c r="N133" i="53"/>
  <c r="O131" i="53" s="1"/>
  <c r="N123" i="53"/>
  <c r="O121" i="53" s="1"/>
  <c r="N138" i="53"/>
  <c r="O136" i="53" s="1"/>
  <c r="K42" i="53"/>
  <c r="N42" i="53"/>
  <c r="K19" i="53"/>
  <c r="H60" i="53"/>
  <c r="K73" i="53"/>
  <c r="O14" i="53"/>
  <c r="M78" i="53"/>
  <c r="M99" i="53"/>
  <c r="M162" i="53"/>
  <c r="K78" i="53"/>
  <c r="K99" i="53"/>
  <c r="K32" i="53"/>
  <c r="M14" i="52"/>
  <c r="M15" i="52"/>
  <c r="N24" i="51"/>
  <c r="H29" i="51"/>
  <c r="H34" i="51"/>
  <c r="H39" i="51" s="1"/>
  <c r="O56" i="51"/>
  <c r="M61" i="51"/>
  <c r="M93" i="51" s="1"/>
  <c r="K14" i="51"/>
  <c r="N16" i="50"/>
  <c r="O14" i="50" s="1"/>
  <c r="N51" i="50"/>
  <c r="M32" i="50"/>
  <c r="N32" i="50"/>
  <c r="N20" i="50"/>
  <c r="N67" i="49"/>
  <c r="O65" i="49" s="1"/>
  <c r="N115" i="49"/>
  <c r="N123" i="49"/>
  <c r="O121" i="49"/>
  <c r="N110" i="49"/>
  <c r="O108" i="49" s="1"/>
  <c r="H45" i="49"/>
  <c r="O14" i="49"/>
  <c r="N39" i="49"/>
  <c r="N100" i="49"/>
  <c r="N78" i="65"/>
  <c r="O76" i="65" s="1"/>
  <c r="N16" i="65"/>
  <c r="O14" i="65" s="1"/>
  <c r="N42" i="65"/>
  <c r="O40" i="65" s="1"/>
  <c r="N96" i="65"/>
  <c r="O93" i="65" s="1"/>
  <c r="N102" i="65"/>
  <c r="O99" i="65" s="1"/>
  <c r="N29" i="65"/>
  <c r="N19" i="65"/>
  <c r="H56" i="65"/>
  <c r="K56" i="65" s="1"/>
  <c r="O74" i="65"/>
  <c r="O35" i="65"/>
  <c r="N32" i="76"/>
  <c r="N34" i="76" s="1"/>
  <c r="K45" i="76"/>
  <c r="N45" i="76"/>
  <c r="N26" i="76"/>
  <c r="K53" i="76"/>
  <c r="N16" i="76"/>
  <c r="M55" i="56" l="1"/>
  <c r="N29" i="55"/>
  <c r="O27" i="55"/>
  <c r="K55" i="56"/>
  <c r="N57" i="56"/>
  <c r="O55" i="56" s="1"/>
  <c r="K61" i="56"/>
  <c r="N34" i="53"/>
  <c r="O32" i="53" s="1"/>
  <c r="O34" i="54"/>
  <c r="O131" i="57"/>
  <c r="N135" i="57"/>
  <c r="O128" i="57" s="1"/>
  <c r="O122" i="59"/>
  <c r="O49" i="50"/>
  <c r="O48" i="50"/>
  <c r="O44" i="50"/>
  <c r="O45" i="50"/>
  <c r="O47" i="50"/>
  <c r="O46" i="50"/>
  <c r="O43" i="50"/>
  <c r="N37" i="50"/>
  <c r="N39" i="50" s="1"/>
  <c r="N24" i="50"/>
  <c r="N26" i="50" s="1"/>
  <c r="O16" i="50" s="1"/>
  <c r="O85" i="49"/>
  <c r="O86" i="49"/>
  <c r="M61" i="56"/>
  <c r="O15" i="52"/>
  <c r="O17" i="52"/>
  <c r="O20" i="52"/>
  <c r="O21" i="52"/>
  <c r="O16" i="52"/>
  <c r="O18" i="52"/>
  <c r="K46" i="49"/>
  <c r="O37" i="53"/>
  <c r="N81" i="51"/>
  <c r="O73" i="51" s="1"/>
  <c r="O84" i="49"/>
  <c r="O91" i="49"/>
  <c r="N51" i="49"/>
  <c r="N53" i="49" s="1"/>
  <c r="O51" i="49" s="1"/>
  <c r="K51" i="49"/>
  <c r="N47" i="53"/>
  <c r="N49" i="53" s="1"/>
  <c r="O47" i="53" s="1"/>
  <c r="N87" i="65"/>
  <c r="O82" i="65" s="1"/>
  <c r="N123" i="57"/>
  <c r="O121" i="57" s="1"/>
  <c r="M151" i="59"/>
  <c r="O23" i="54"/>
  <c r="N42" i="49"/>
  <c r="O39" i="49" s="1"/>
  <c r="O32" i="54"/>
  <c r="O22" i="54"/>
  <c r="K66" i="59"/>
  <c r="N53" i="59"/>
  <c r="N55" i="59" s="1"/>
  <c r="O53" i="59" s="1"/>
  <c r="O149" i="53"/>
  <c r="N52" i="53"/>
  <c r="O116" i="55"/>
  <c r="O20" i="49"/>
  <c r="K66" i="65"/>
  <c r="M114" i="65"/>
  <c r="O68" i="53"/>
  <c r="O73" i="49"/>
  <c r="N31" i="49"/>
  <c r="O29" i="49" s="1"/>
  <c r="O114" i="55"/>
  <c r="O19" i="51"/>
  <c r="O14" i="56"/>
  <c r="M57" i="54"/>
  <c r="O75" i="49"/>
  <c r="O83" i="49"/>
  <c r="O145" i="57"/>
  <c r="M100" i="49"/>
  <c r="M136" i="49" s="1"/>
  <c r="K61" i="57"/>
  <c r="O40" i="76"/>
  <c r="M55" i="50"/>
  <c r="O64" i="49"/>
  <c r="O94" i="59"/>
  <c r="O19" i="55"/>
  <c r="O19" i="59"/>
  <c r="K60" i="76"/>
  <c r="O79" i="57"/>
  <c r="K53" i="59"/>
  <c r="N58" i="59"/>
  <c r="N60" i="59" s="1"/>
  <c r="O58" i="59" s="1"/>
  <c r="M160" i="57"/>
  <c r="O53" i="56"/>
  <c r="N59" i="56"/>
  <c r="O57" i="56" s="1"/>
  <c r="O54" i="56"/>
  <c r="N42" i="55"/>
  <c r="N44" i="55" s="1"/>
  <c r="K42" i="55"/>
  <c r="N34" i="55"/>
  <c r="O32" i="55" s="1"/>
  <c r="O27" i="53"/>
  <c r="N86" i="53"/>
  <c r="O83" i="53" s="1"/>
  <c r="M176" i="53"/>
  <c r="N130" i="49"/>
  <c r="N132" i="49" s="1"/>
  <c r="N134" i="49" s="1"/>
  <c r="K130" i="49"/>
  <c r="O61" i="65"/>
  <c r="N56" i="65"/>
  <c r="N58" i="65" s="1"/>
  <c r="K61" i="65"/>
  <c r="N70" i="59"/>
  <c r="O68" i="59" s="1"/>
  <c r="O66" i="59"/>
  <c r="N141" i="59"/>
  <c r="O16" i="59"/>
  <c r="O32" i="59"/>
  <c r="N149" i="59"/>
  <c r="O147" i="59" s="1"/>
  <c r="N104" i="59"/>
  <c r="O102" i="59" s="1"/>
  <c r="O145" i="59"/>
  <c r="O43" i="59"/>
  <c r="O79" i="59"/>
  <c r="O48" i="59"/>
  <c r="O21" i="59"/>
  <c r="N115" i="57"/>
  <c r="O113" i="57" s="1"/>
  <c r="N30" i="57"/>
  <c r="N158" i="57"/>
  <c r="O156" i="57" s="1"/>
  <c r="N63" i="57"/>
  <c r="O61" i="57" s="1"/>
  <c r="O154" i="57"/>
  <c r="N23" i="57"/>
  <c r="O16" i="57" s="1"/>
  <c r="N107" i="57"/>
  <c r="O105" i="57" s="1"/>
  <c r="N48" i="57"/>
  <c r="K48" i="57"/>
  <c r="N92" i="57"/>
  <c r="O89" i="57" s="1"/>
  <c r="O74" i="57"/>
  <c r="N150" i="57"/>
  <c r="O148" i="57" s="1"/>
  <c r="O38" i="57"/>
  <c r="O95" i="57"/>
  <c r="N34" i="56"/>
  <c r="N42" i="56"/>
  <c r="O40" i="56" s="1"/>
  <c r="O20" i="56"/>
  <c r="O16" i="55"/>
  <c r="N47" i="55"/>
  <c r="K47" i="55"/>
  <c r="N136" i="55"/>
  <c r="O129" i="55" s="1"/>
  <c r="O132" i="55"/>
  <c r="N144" i="55"/>
  <c r="O142" i="55" s="1"/>
  <c r="O127" i="55"/>
  <c r="O122" i="55"/>
  <c r="O21" i="55"/>
  <c r="N28" i="54"/>
  <c r="O26" i="54" s="1"/>
  <c r="N48" i="54"/>
  <c r="O45" i="54" s="1"/>
  <c r="N18" i="54"/>
  <c r="O16" i="54" s="1"/>
  <c r="N166" i="53"/>
  <c r="O164" i="53" s="1"/>
  <c r="O162" i="53"/>
  <c r="N44" i="53"/>
  <c r="O42" i="53" s="1"/>
  <c r="N145" i="53"/>
  <c r="O138" i="53" s="1"/>
  <c r="N117" i="53"/>
  <c r="O115" i="53" s="1"/>
  <c r="O105" i="53"/>
  <c r="O99" i="53"/>
  <c r="N174" i="53"/>
  <c r="O172" i="53" s="1"/>
  <c r="O73" i="53"/>
  <c r="N23" i="53"/>
  <c r="O21" i="53" s="1"/>
  <c r="O151" i="53"/>
  <c r="O126" i="53"/>
  <c r="M27" i="52"/>
  <c r="N34" i="51"/>
  <c r="K34" i="51"/>
  <c r="N29" i="51"/>
  <c r="K29" i="51"/>
  <c r="N26" i="51"/>
  <c r="O24" i="51" s="1"/>
  <c r="N65" i="51"/>
  <c r="O63" i="51" s="1"/>
  <c r="N91" i="51"/>
  <c r="N53" i="50"/>
  <c r="O51" i="50" s="1"/>
  <c r="N102" i="49"/>
  <c r="N104" i="49" s="1"/>
  <c r="O81" i="49"/>
  <c r="N69" i="49"/>
  <c r="K45" i="49"/>
  <c r="N45" i="49"/>
  <c r="N48" i="49" s="1"/>
  <c r="O46" i="49" s="1"/>
  <c r="N56" i="49"/>
  <c r="K56" i="49"/>
  <c r="O82" i="49"/>
  <c r="N117" i="49"/>
  <c r="O115" i="49" s="1"/>
  <c r="O123" i="49"/>
  <c r="N125" i="49"/>
  <c r="O113" i="49"/>
  <c r="O17" i="49"/>
  <c r="N112" i="65"/>
  <c r="O110" i="65" s="1"/>
  <c r="N104" i="65"/>
  <c r="O51" i="65"/>
  <c r="N21" i="65"/>
  <c r="O19" i="65" s="1"/>
  <c r="N31" i="65"/>
  <c r="O29" i="65" s="1"/>
  <c r="O27" i="65"/>
  <c r="O100" i="65"/>
  <c r="O108" i="65"/>
  <c r="O94" i="65"/>
  <c r="N36" i="76"/>
  <c r="O32" i="76"/>
  <c r="N28" i="76"/>
  <c r="O26" i="76" s="1"/>
  <c r="O24" i="76"/>
  <c r="N47" i="76"/>
  <c r="O19" i="76"/>
  <c r="N53" i="76"/>
  <c r="M53" i="76"/>
  <c r="M60" i="76" s="1"/>
  <c r="O14" i="76"/>
  <c r="O22" i="56" l="1"/>
  <c r="N61" i="56"/>
  <c r="O49" i="56" s="1"/>
  <c r="O89" i="51"/>
  <c r="O32" i="50"/>
  <c r="O30" i="50"/>
  <c r="O31" i="50"/>
  <c r="O33" i="50"/>
  <c r="O35" i="50"/>
  <c r="O34" i="50"/>
  <c r="O20" i="50"/>
  <c r="O21" i="50"/>
  <c r="O22" i="50"/>
  <c r="O19" i="50"/>
  <c r="K52" i="53"/>
  <c r="K176" i="53" s="1"/>
  <c r="N89" i="65"/>
  <c r="O87" i="65" s="1"/>
  <c r="O13" i="52"/>
  <c r="O14" i="52"/>
  <c r="N83" i="51"/>
  <c r="O81" i="51" s="1"/>
  <c r="O78" i="51"/>
  <c r="O79" i="51"/>
  <c r="O75" i="51"/>
  <c r="O74" i="51"/>
  <c r="O76" i="51"/>
  <c r="O70" i="51"/>
  <c r="O69" i="51"/>
  <c r="O71" i="51"/>
  <c r="O72" i="51"/>
  <c r="O77" i="51"/>
  <c r="O40" i="49"/>
  <c r="O83" i="65"/>
  <c r="O84" i="65"/>
  <c r="O133" i="57"/>
  <c r="O85" i="65"/>
  <c r="O119" i="57"/>
  <c r="O120" i="57"/>
  <c r="O139" i="59"/>
  <c r="K151" i="59"/>
  <c r="N109" i="53"/>
  <c r="O75" i="53" s="1"/>
  <c r="O42" i="55"/>
  <c r="O28" i="49"/>
  <c r="N25" i="52"/>
  <c r="O23" i="52" s="1"/>
  <c r="K114" i="65"/>
  <c r="N66" i="65"/>
  <c r="N68" i="65" s="1"/>
  <c r="N70" i="65" s="1"/>
  <c r="O76" i="59"/>
  <c r="O97" i="59"/>
  <c r="O32" i="56"/>
  <c r="O81" i="59"/>
  <c r="O27" i="56"/>
  <c r="O143" i="53"/>
  <c r="O132" i="49"/>
  <c r="O91" i="59"/>
  <c r="O124" i="55"/>
  <c r="O134" i="55"/>
  <c r="N99" i="57"/>
  <c r="O76" i="57" s="1"/>
  <c r="O84" i="53"/>
  <c r="O130" i="49"/>
  <c r="O129" i="49"/>
  <c r="O21" i="76"/>
  <c r="O86" i="59"/>
  <c r="N62" i="59"/>
  <c r="O60" i="59" s="1"/>
  <c r="O124" i="59"/>
  <c r="K53" i="57"/>
  <c r="K160" i="57" s="1"/>
  <c r="N53" i="57"/>
  <c r="N50" i="57"/>
  <c r="O48" i="57" s="1"/>
  <c r="O90" i="57"/>
  <c r="N65" i="57"/>
  <c r="O63" i="57" s="1"/>
  <c r="O28" i="57"/>
  <c r="O21" i="57"/>
  <c r="O27" i="57"/>
  <c r="O59" i="56"/>
  <c r="O17" i="56"/>
  <c r="K52" i="55"/>
  <c r="K146" i="55" s="1"/>
  <c r="N52" i="55"/>
  <c r="N49" i="55"/>
  <c r="N55" i="54"/>
  <c r="O46" i="54"/>
  <c r="O159" i="53"/>
  <c r="N54" i="53"/>
  <c r="O52" i="53" s="1"/>
  <c r="O133" i="53"/>
  <c r="O123" i="53"/>
  <c r="O16" i="53"/>
  <c r="N62" i="53"/>
  <c r="O128" i="53"/>
  <c r="N39" i="51"/>
  <c r="K39" i="51"/>
  <c r="K93" i="51" s="1"/>
  <c r="O58" i="51"/>
  <c r="N31" i="51"/>
  <c r="O29" i="51" s="1"/>
  <c r="N36" i="51"/>
  <c r="O34" i="51" s="1"/>
  <c r="N55" i="50"/>
  <c r="O39" i="50" s="1"/>
  <c r="O24" i="50"/>
  <c r="O37" i="50"/>
  <c r="N58" i="49"/>
  <c r="O100" i="49"/>
  <c r="O45" i="49"/>
  <c r="K136" i="49"/>
  <c r="O110" i="49"/>
  <c r="O67" i="49"/>
  <c r="O56" i="65"/>
  <c r="O102" i="65"/>
  <c r="O96" i="65"/>
  <c r="N23" i="65"/>
  <c r="O21" i="65" s="1"/>
  <c r="N56" i="76"/>
  <c r="O53" i="76" s="1"/>
  <c r="N49" i="76"/>
  <c r="O47" i="76" s="1"/>
  <c r="O34" i="76"/>
  <c r="O45" i="76"/>
  <c r="O16" i="76"/>
  <c r="O102" i="49" l="1"/>
  <c r="O88" i="49"/>
  <c r="O123" i="57"/>
  <c r="N151" i="59"/>
  <c r="O70" i="53"/>
  <c r="O86" i="53"/>
  <c r="O107" i="53"/>
  <c r="O96" i="53"/>
  <c r="O91" i="53"/>
  <c r="O101" i="53"/>
  <c r="O80" i="53"/>
  <c r="N27" i="52"/>
  <c r="O25" i="52" s="1"/>
  <c r="O86" i="57"/>
  <c r="O92" i="57"/>
  <c r="O66" i="65"/>
  <c r="O71" i="57"/>
  <c r="O97" i="57"/>
  <c r="O81" i="57"/>
  <c r="O58" i="65"/>
  <c r="N114" i="65"/>
  <c r="O112" i="65" s="1"/>
  <c r="O29" i="59"/>
  <c r="O34" i="59"/>
  <c r="O50" i="59"/>
  <c r="O39" i="59"/>
  <c r="O45" i="59"/>
  <c r="O55" i="59"/>
  <c r="N55" i="57"/>
  <c r="O53" i="57" s="1"/>
  <c r="O34" i="56"/>
  <c r="O42" i="56"/>
  <c r="O47" i="55"/>
  <c r="N54" i="55"/>
  <c r="O52" i="55" s="1"/>
  <c r="N57" i="54"/>
  <c r="O55" i="54" s="1"/>
  <c r="O42" i="54"/>
  <c r="O53" i="54"/>
  <c r="O48" i="54"/>
  <c r="N64" i="53"/>
  <c r="N56" i="53"/>
  <c r="O54" i="53" s="1"/>
  <c r="N41" i="51"/>
  <c r="O39" i="51" s="1"/>
  <c r="O53" i="50"/>
  <c r="O26" i="50"/>
  <c r="O97" i="49"/>
  <c r="N60" i="49"/>
  <c r="O56" i="49"/>
  <c r="O68" i="65"/>
  <c r="O16" i="65"/>
  <c r="O37" i="65"/>
  <c r="O42" i="65"/>
  <c r="O53" i="65"/>
  <c r="O47" i="65"/>
  <c r="O63" i="65"/>
  <c r="O42" i="76"/>
  <c r="N58" i="76"/>
  <c r="O56" i="76" s="1"/>
  <c r="O54" i="76"/>
  <c r="O112" i="59" l="1"/>
  <c r="O133" i="59"/>
  <c r="O78" i="65"/>
  <c r="O89" i="65"/>
  <c r="O104" i="65"/>
  <c r="O70" i="65"/>
  <c r="O31" i="65"/>
  <c r="O23" i="65"/>
  <c r="O23" i="59"/>
  <c r="O104" i="59"/>
  <c r="O141" i="59"/>
  <c r="O149" i="59"/>
  <c r="O70" i="59"/>
  <c r="O126" i="59"/>
  <c r="O62" i="59"/>
  <c r="N57" i="57"/>
  <c r="N56" i="55"/>
  <c r="O54" i="55" s="1"/>
  <c r="O36" i="54"/>
  <c r="O18" i="54"/>
  <c r="O28" i="54"/>
  <c r="N176" i="53"/>
  <c r="O56" i="53" s="1"/>
  <c r="O39" i="53"/>
  <c r="O34" i="53"/>
  <c r="O29" i="53"/>
  <c r="O44" i="53"/>
  <c r="O49" i="53"/>
  <c r="N43" i="51"/>
  <c r="O36" i="49"/>
  <c r="O42" i="49"/>
  <c r="O31" i="49"/>
  <c r="O48" i="49"/>
  <c r="O53" i="49"/>
  <c r="N136" i="49"/>
  <c r="O58" i="49"/>
  <c r="N60" i="76"/>
  <c r="O41" i="51" l="1"/>
  <c r="N93" i="51"/>
  <c r="O52" i="51" s="1"/>
  <c r="O45" i="57"/>
  <c r="O40" i="57"/>
  <c r="O35" i="57"/>
  <c r="O30" i="57"/>
  <c r="O50" i="57"/>
  <c r="N160" i="57"/>
  <c r="O142" i="57" s="1"/>
  <c r="O55" i="57"/>
  <c r="O34" i="55"/>
  <c r="O29" i="55"/>
  <c r="O44" i="55"/>
  <c r="O39" i="55"/>
  <c r="N146" i="55"/>
  <c r="O49" i="55"/>
  <c r="O153" i="53"/>
  <c r="O117" i="53"/>
  <c r="O166" i="53"/>
  <c r="O145" i="53"/>
  <c r="O174" i="53"/>
  <c r="O109" i="53"/>
  <c r="O23" i="53"/>
  <c r="O64" i="53"/>
  <c r="O21" i="51"/>
  <c r="O16" i="51"/>
  <c r="O26" i="51"/>
  <c r="O36" i="51"/>
  <c r="O31" i="51"/>
  <c r="O77" i="49"/>
  <c r="O24" i="49"/>
  <c r="O134" i="49"/>
  <c r="O125" i="49"/>
  <c r="O69" i="49"/>
  <c r="O117" i="49"/>
  <c r="O104" i="49"/>
  <c r="O60" i="49"/>
  <c r="O28" i="76"/>
  <c r="O36" i="76"/>
  <c r="O49" i="76"/>
  <c r="O58" i="76"/>
  <c r="O43" i="51" l="1"/>
  <c r="O99" i="57"/>
  <c r="O158" i="57"/>
  <c r="O107" i="57"/>
  <c r="O115" i="57"/>
  <c r="O135" i="57"/>
  <c r="O23" i="57"/>
  <c r="O150" i="57"/>
  <c r="O65" i="57"/>
  <c r="O57" i="57"/>
  <c r="O103" i="55"/>
  <c r="O90" i="55"/>
  <c r="O118" i="55"/>
  <c r="O23" i="55"/>
  <c r="O144" i="55"/>
  <c r="O136" i="55"/>
  <c r="O56" i="55"/>
  <c r="O83" i="51"/>
  <c r="O65" i="51"/>
  <c r="O91" i="51"/>
  <c r="H112" i="38" l="1"/>
  <c r="H71" i="38"/>
  <c r="H14" i="10" l="1"/>
  <c r="H47" i="11"/>
  <c r="S6" i="11"/>
  <c r="H96" i="11"/>
  <c r="H57" i="11" s="1"/>
  <c r="H52" i="11"/>
  <c r="H31" i="8"/>
  <c r="H23" i="8"/>
  <c r="H14" i="8"/>
  <c r="H36" i="8"/>
  <c r="H178" i="9"/>
  <c r="H177" i="9" s="1"/>
  <c r="H169" i="9"/>
  <c r="T6" i="11" l="1"/>
  <c r="H34" i="11" s="1"/>
  <c r="H39" i="11" s="1"/>
  <c r="Q96" i="11"/>
  <c r="H14" i="11" s="1"/>
  <c r="H19" i="11" s="1"/>
  <c r="H37" i="10"/>
  <c r="H24" i="11" l="1"/>
  <c r="H88" i="11"/>
  <c r="H162" i="9"/>
  <c r="H161" i="9"/>
  <c r="H168" i="9"/>
  <c r="H155" i="9"/>
  <c r="H154" i="9"/>
  <c r="H91" i="9"/>
  <c r="H82" i="9"/>
  <c r="H44" i="9"/>
  <c r="H45" i="9" s="1"/>
  <c r="H38" i="9"/>
  <c r="B11" i="79" l="1"/>
  <c r="A11" i="79"/>
  <c r="B11" i="80"/>
  <c r="A11" i="80"/>
  <c r="D8" i="87"/>
  <c r="N7" i="87"/>
  <c r="M7" i="87"/>
  <c r="D7" i="87"/>
  <c r="N6" i="87"/>
  <c r="N5" i="87"/>
  <c r="D5" i="87"/>
  <c r="N4" i="87"/>
  <c r="D4" i="87"/>
  <c r="B11" i="86" l="1"/>
  <c r="A11" i="86"/>
  <c r="B11" i="85"/>
  <c r="A11" i="85"/>
  <c r="B11" i="84"/>
  <c r="A11" i="84"/>
  <c r="B12" i="83"/>
  <c r="A12" i="83"/>
  <c r="B11" i="82"/>
  <c r="A11" i="82"/>
  <c r="D8" i="86"/>
  <c r="N7" i="86"/>
  <c r="M7" i="86"/>
  <c r="D7" i="86"/>
  <c r="N6" i="86"/>
  <c r="N5" i="86"/>
  <c r="D5" i="86"/>
  <c r="N4" i="86"/>
  <c r="D4" i="86"/>
  <c r="D8" i="85"/>
  <c r="N7" i="85"/>
  <c r="M7" i="85"/>
  <c r="D7" i="85"/>
  <c r="N6" i="85"/>
  <c r="N5" i="85"/>
  <c r="D5" i="85"/>
  <c r="N4" i="85"/>
  <c r="D4" i="85"/>
  <c r="D8" i="84"/>
  <c r="N7" i="84"/>
  <c r="M7" i="84"/>
  <c r="D7" i="84"/>
  <c r="N6" i="84"/>
  <c r="N5" i="84"/>
  <c r="D5" i="84"/>
  <c r="N4" i="84"/>
  <c r="D4" i="84"/>
  <c r="D9" i="83"/>
  <c r="N7" i="83"/>
  <c r="M7" i="83"/>
  <c r="D7" i="83"/>
  <c r="N6" i="83"/>
  <c r="N5" i="83"/>
  <c r="D5" i="83"/>
  <c r="N4" i="83"/>
  <c r="D4" i="83"/>
  <c r="D8" i="82"/>
  <c r="N7" i="82"/>
  <c r="M7" i="82"/>
  <c r="D7" i="82"/>
  <c r="N6" i="82"/>
  <c r="N5" i="82"/>
  <c r="D5" i="82"/>
  <c r="N4" i="82"/>
  <c r="D4" i="82"/>
  <c r="D9" i="81"/>
  <c r="N7" i="81"/>
  <c r="M7" i="81"/>
  <c r="D7" i="81"/>
  <c r="N6" i="81"/>
  <c r="N5" i="81"/>
  <c r="D5" i="81"/>
  <c r="N4" i="81"/>
  <c r="D4" i="81"/>
  <c r="D8" i="80"/>
  <c r="N7" i="80"/>
  <c r="M7" i="80"/>
  <c r="D7" i="80"/>
  <c r="N6" i="80"/>
  <c r="N5" i="80"/>
  <c r="D5" i="80"/>
  <c r="N4" i="80"/>
  <c r="D4" i="80"/>
  <c r="D8" i="79"/>
  <c r="N7" i="79"/>
  <c r="M7" i="79"/>
  <c r="D7" i="79"/>
  <c r="N6" i="79"/>
  <c r="N5" i="79"/>
  <c r="D5" i="79"/>
  <c r="N4" i="79"/>
  <c r="D4" i="79"/>
  <c r="N7" i="78"/>
  <c r="N6" i="78"/>
  <c r="N5" i="78"/>
  <c r="N4" i="78"/>
  <c r="B11" i="78"/>
  <c r="A11" i="78"/>
  <c r="D8" i="78"/>
  <c r="D7" i="78"/>
  <c r="M7" i="78"/>
  <c r="D5" i="78"/>
  <c r="D4" i="78"/>
  <c r="L58" i="83"/>
  <c r="M58" i="83" s="1"/>
  <c r="J58" i="83"/>
  <c r="N58" i="83"/>
  <c r="N60" i="83" s="1"/>
  <c r="M35" i="83"/>
  <c r="N35" i="83"/>
  <c r="M32" i="83"/>
  <c r="N32" i="83"/>
  <c r="M31" i="83"/>
  <c r="N31" i="83"/>
  <c r="M30" i="83"/>
  <c r="N30" i="83"/>
  <c r="M21" i="83"/>
  <c r="N21" i="83"/>
  <c r="M20" i="83"/>
  <c r="N20" i="83"/>
  <c r="N24" i="83" s="1"/>
  <c r="O22" i="83" s="1"/>
  <c r="M15" i="83"/>
  <c r="N15" i="83"/>
  <c r="N17" i="83" s="1"/>
  <c r="N52" i="83" l="1"/>
  <c r="O40" i="83" s="1"/>
  <c r="M64" i="83"/>
  <c r="O20" i="83"/>
  <c r="K55" i="78"/>
  <c r="M55" i="78"/>
  <c r="N62" i="83"/>
  <c r="O15" i="83"/>
  <c r="O58" i="83"/>
  <c r="M61" i="78" l="1"/>
  <c r="O43" i="83"/>
  <c r="O47" i="83"/>
  <c r="O41" i="83"/>
  <c r="O37" i="83"/>
  <c r="O38" i="83"/>
  <c r="O45" i="83"/>
  <c r="O42" i="83"/>
  <c r="O39" i="83"/>
  <c r="O48" i="83"/>
  <c r="O34" i="83"/>
  <c r="O36" i="83"/>
  <c r="O46" i="83"/>
  <c r="O44" i="83"/>
  <c r="O49" i="83"/>
  <c r="O50" i="83"/>
  <c r="O30" i="83"/>
  <c r="O29" i="83"/>
  <c r="O33" i="83"/>
  <c r="O28" i="83"/>
  <c r="O27" i="83"/>
  <c r="M157" i="80"/>
  <c r="K157" i="80"/>
  <c r="O21" i="83"/>
  <c r="O35" i="83"/>
  <c r="O31" i="83"/>
  <c r="O60" i="83"/>
  <c r="N54" i="83"/>
  <c r="N64" i="83" s="1"/>
  <c r="O62" i="83" s="1"/>
  <c r="O32" i="83"/>
  <c r="M164" i="80" l="1"/>
  <c r="O52" i="83"/>
  <c r="O54" i="83"/>
  <c r="O24" i="83"/>
  <c r="N55" i="78"/>
  <c r="N157" i="80"/>
  <c r="O17" i="83"/>
  <c r="O148" i="80" l="1"/>
  <c r="O155" i="80"/>
  <c r="O28" i="80"/>
  <c r="O77" i="80"/>
  <c r="O69" i="80"/>
  <c r="O140" i="80"/>
  <c r="O60" i="80"/>
  <c r="O132" i="80"/>
  <c r="O28" i="78"/>
  <c r="O18" i="78"/>
  <c r="O53" i="78"/>
  <c r="D8" i="10" l="1"/>
  <c r="D7" i="10"/>
  <c r="D5" i="10"/>
  <c r="D4" i="10"/>
  <c r="L40" i="38" l="1"/>
  <c r="J40" i="38"/>
  <c r="K40" i="38" s="1"/>
  <c r="I40" i="38"/>
  <c r="N40" i="38" s="1"/>
  <c r="K25" i="9" l="1"/>
  <c r="N25" i="9"/>
  <c r="L20" i="38"/>
  <c r="J20" i="38"/>
  <c r="I20" i="38"/>
  <c r="H20" i="38"/>
  <c r="H25" i="38" s="1"/>
  <c r="H20" i="9"/>
  <c r="L14" i="38"/>
  <c r="M14" i="38" s="1"/>
  <c r="J14" i="38"/>
  <c r="K14" i="38" s="1"/>
  <c r="I14" i="38"/>
  <c r="N14" i="38" s="1"/>
  <c r="K20" i="9" l="1"/>
  <c r="N20" i="38"/>
  <c r="N22" i="38" s="1"/>
  <c r="O20" i="38" s="1"/>
  <c r="K20" i="38"/>
  <c r="N27" i="9"/>
  <c r="N20" i="9"/>
  <c r="N17" i="38"/>
  <c r="O14" i="38" l="1"/>
  <c r="O25" i="9"/>
  <c r="N22" i="9"/>
  <c r="O20" i="9" s="1"/>
  <c r="L71" i="38" l="1"/>
  <c r="B11" i="77" l="1"/>
  <c r="A11" i="77"/>
  <c r="M13" i="77"/>
  <c r="M19" i="77" s="1"/>
  <c r="M21" i="77" s="1"/>
  <c r="K13" i="77"/>
  <c r="K19" i="77" s="1"/>
  <c r="K21" i="77" s="1"/>
  <c r="N13" i="77"/>
  <c r="D8" i="77"/>
  <c r="N7" i="77"/>
  <c r="M7" i="77"/>
  <c r="D7" i="77"/>
  <c r="N6" i="77"/>
  <c r="N5" i="77"/>
  <c r="D5" i="77"/>
  <c r="N4" i="77"/>
  <c r="D4" i="77"/>
  <c r="N21" i="77" l="1"/>
  <c r="N15" i="77"/>
  <c r="I17" i="43"/>
  <c r="J17" i="43" s="1"/>
  <c r="J19" i="43"/>
  <c r="J20" i="43"/>
  <c r="J21" i="43"/>
  <c r="J25" i="43"/>
  <c r="J26" i="43"/>
  <c r="J27" i="43"/>
  <c r="J28" i="43"/>
  <c r="J29" i="43"/>
  <c r="J30" i="43"/>
  <c r="J31" i="43"/>
  <c r="J34" i="43"/>
  <c r="O13" i="77" l="1"/>
  <c r="N17" i="77"/>
  <c r="H19" i="1"/>
  <c r="H18" i="1"/>
  <c r="H17" i="1"/>
  <c r="H16" i="1"/>
  <c r="H15" i="1"/>
  <c r="H14" i="1"/>
  <c r="D8" i="76"/>
  <c r="N7" i="76"/>
  <c r="M7" i="76"/>
  <c r="D7" i="76"/>
  <c r="N6" i="76"/>
  <c r="N5" i="76"/>
  <c r="D5" i="76"/>
  <c r="N4" i="76"/>
  <c r="D4" i="76"/>
  <c r="D8" i="11" l="1"/>
  <c r="D7" i="11"/>
  <c r="D5" i="43" l="1"/>
  <c r="B12" i="43"/>
  <c r="D8" i="43" s="1"/>
  <c r="A12" i="43"/>
  <c r="J4" i="43" l="1"/>
  <c r="M8" i="50" l="1"/>
  <c r="M8" i="51"/>
  <c r="N96" i="9"/>
  <c r="K96" i="9"/>
  <c r="M96" i="9"/>
  <c r="N98" i="9" l="1"/>
  <c r="O96" i="9" l="1"/>
  <c r="L23" i="35" l="1"/>
  <c r="I23" i="35"/>
  <c r="L112" i="38"/>
  <c r="J112" i="38"/>
  <c r="K112" i="38" s="1"/>
  <c r="I112" i="38"/>
  <c r="L104" i="38"/>
  <c r="J104" i="38"/>
  <c r="K104" i="38" s="1"/>
  <c r="I104" i="38"/>
  <c r="L99" i="38"/>
  <c r="J99" i="38"/>
  <c r="K99" i="38" s="1"/>
  <c r="I99" i="38"/>
  <c r="L98" i="38"/>
  <c r="J98" i="38"/>
  <c r="K98" i="38" s="1"/>
  <c r="I98" i="38"/>
  <c r="L92" i="38"/>
  <c r="J92" i="38"/>
  <c r="I92" i="38"/>
  <c r="L84" i="38"/>
  <c r="J84" i="38"/>
  <c r="K84" i="38" s="1"/>
  <c r="I84" i="38"/>
  <c r="J71" i="38"/>
  <c r="K71" i="38" s="1"/>
  <c r="I71" i="38"/>
  <c r="L70" i="38"/>
  <c r="J70" i="38"/>
  <c r="K70" i="38" s="1"/>
  <c r="I70" i="38"/>
  <c r="L62" i="38"/>
  <c r="J62" i="38"/>
  <c r="K62" i="38" s="1"/>
  <c r="I62" i="38"/>
  <c r="L57" i="38"/>
  <c r="J57" i="38"/>
  <c r="K57" i="38" s="1"/>
  <c r="I57" i="38"/>
  <c r="L52" i="38"/>
  <c r="J52" i="38"/>
  <c r="I52" i="38"/>
  <c r="L51" i="38"/>
  <c r="J51" i="38"/>
  <c r="I51" i="38"/>
  <c r="L46" i="38"/>
  <c r="J46" i="38"/>
  <c r="K46" i="38" s="1"/>
  <c r="I46" i="38"/>
  <c r="L45" i="38"/>
  <c r="J45" i="38"/>
  <c r="K45" i="38" s="1"/>
  <c r="I45" i="38"/>
  <c r="L39" i="38"/>
  <c r="J39" i="38"/>
  <c r="K39" i="38" s="1"/>
  <c r="I39" i="38"/>
  <c r="L34" i="38"/>
  <c r="J34" i="38"/>
  <c r="K34" i="38" s="1"/>
  <c r="I34" i="38"/>
  <c r="L33" i="38"/>
  <c r="J33" i="38"/>
  <c r="K33" i="38" s="1"/>
  <c r="I33" i="38"/>
  <c r="L25" i="38"/>
  <c r="J25" i="38"/>
  <c r="I25" i="38"/>
  <c r="L37" i="10"/>
  <c r="L32" i="10"/>
  <c r="L27" i="10"/>
  <c r="L22" i="10"/>
  <c r="K96" i="11"/>
  <c r="K88" i="11"/>
  <c r="K69" i="11"/>
  <c r="K68" i="11"/>
  <c r="K67" i="11"/>
  <c r="K57" i="11"/>
  <c r="K52" i="11"/>
  <c r="K47" i="11"/>
  <c r="K39" i="11"/>
  <c r="K34" i="11"/>
  <c r="K24" i="11"/>
  <c r="K19" i="11"/>
  <c r="K14" i="11"/>
  <c r="K143" i="9"/>
  <c r="K144" i="9"/>
  <c r="K145" i="9"/>
  <c r="K146" i="9"/>
  <c r="K147" i="9"/>
  <c r="N148" i="9"/>
  <c r="K148" i="9"/>
  <c r="K178" i="9"/>
  <c r="K177" i="9"/>
  <c r="K169" i="9"/>
  <c r="K168" i="9"/>
  <c r="K162" i="9"/>
  <c r="K155" i="9"/>
  <c r="K161" i="9"/>
  <c r="K154" i="9"/>
  <c r="K142" i="9"/>
  <c r="K134" i="9"/>
  <c r="K129" i="9"/>
  <c r="K128" i="9"/>
  <c r="K123" i="9"/>
  <c r="K118" i="9"/>
  <c r="K113" i="9"/>
  <c r="K112" i="9"/>
  <c r="K104" i="9"/>
  <c r="K91" i="9"/>
  <c r="K90" i="9"/>
  <c r="K82" i="9"/>
  <c r="K77" i="9"/>
  <c r="K66" i="9"/>
  <c r="K65" i="9"/>
  <c r="K60" i="9"/>
  <c r="K59" i="9"/>
  <c r="K54" i="9"/>
  <c r="K53" i="9"/>
  <c r="K45" i="9"/>
  <c r="K44" i="9"/>
  <c r="K38" i="9"/>
  <c r="D8" i="64" l="1"/>
  <c r="D7" i="64"/>
  <c r="D8" i="63"/>
  <c r="D7" i="63"/>
  <c r="D8" i="62"/>
  <c r="D7" i="62"/>
  <c r="D8" i="61"/>
  <c r="D7" i="61"/>
  <c r="D8" i="59"/>
  <c r="D7" i="59"/>
  <c r="D8" i="58"/>
  <c r="D7" i="58"/>
  <c r="D8" i="57"/>
  <c r="D7" i="57"/>
  <c r="D8" i="56"/>
  <c r="D7" i="56"/>
  <c r="D8" i="55"/>
  <c r="D7" i="55"/>
  <c r="D8" i="54"/>
  <c r="D7" i="54"/>
  <c r="D8" i="53"/>
  <c r="D7" i="53"/>
  <c r="D8" i="52"/>
  <c r="D7" i="52"/>
  <c r="D8" i="51"/>
  <c r="D7" i="51"/>
  <c r="D8" i="50"/>
  <c r="D7" i="50"/>
  <c r="D8" i="49"/>
  <c r="D7" i="49"/>
  <c r="D8" i="66"/>
  <c r="D7" i="66"/>
  <c r="D8" i="65"/>
  <c r="D7" i="65"/>
  <c r="D8" i="8"/>
  <c r="D7" i="8"/>
  <c r="D8" i="9"/>
  <c r="D7" i="9"/>
  <c r="B11" i="66" l="1"/>
  <c r="A11" i="66"/>
  <c r="N7" i="66"/>
  <c r="M7" i="66"/>
  <c r="N6" i="66"/>
  <c r="N5" i="66"/>
  <c r="D5" i="66"/>
  <c r="N4" i="66"/>
  <c r="D4" i="66"/>
  <c r="N7" i="65"/>
  <c r="M7" i="65"/>
  <c r="N6" i="65"/>
  <c r="N5" i="65"/>
  <c r="D5" i="65"/>
  <c r="N4" i="65"/>
  <c r="D4" i="65"/>
  <c r="N7" i="64"/>
  <c r="M7" i="64"/>
  <c r="N6" i="64"/>
  <c r="N5" i="64"/>
  <c r="D5" i="64"/>
  <c r="N4" i="64"/>
  <c r="D4" i="64"/>
  <c r="N7" i="63"/>
  <c r="M7" i="63"/>
  <c r="N6" i="63"/>
  <c r="N5" i="63"/>
  <c r="D5" i="63"/>
  <c r="N4" i="63"/>
  <c r="D4" i="63"/>
  <c r="N7" i="62"/>
  <c r="M7" i="62"/>
  <c r="N6" i="62"/>
  <c r="N5" i="62"/>
  <c r="D5" i="62"/>
  <c r="N4" i="62"/>
  <c r="D4" i="62"/>
  <c r="N7" i="61"/>
  <c r="M7" i="61"/>
  <c r="N6" i="61"/>
  <c r="N5" i="61"/>
  <c r="D5" i="61"/>
  <c r="N4" i="61"/>
  <c r="D4" i="61"/>
  <c r="N7" i="59"/>
  <c r="M7" i="59"/>
  <c r="N6" i="59"/>
  <c r="N5" i="59"/>
  <c r="D5" i="59"/>
  <c r="N4" i="59"/>
  <c r="D4" i="59"/>
  <c r="N7" i="58"/>
  <c r="M7" i="58"/>
  <c r="N6" i="58"/>
  <c r="N5" i="58"/>
  <c r="D5" i="58"/>
  <c r="N4" i="58"/>
  <c r="D4" i="58"/>
  <c r="N7" i="57"/>
  <c r="M7" i="57"/>
  <c r="N6" i="57"/>
  <c r="N5" i="57"/>
  <c r="D5" i="57"/>
  <c r="N4" i="57"/>
  <c r="D4" i="57"/>
  <c r="N7" i="56"/>
  <c r="M7" i="56"/>
  <c r="N6" i="56"/>
  <c r="N5" i="56"/>
  <c r="D5" i="56"/>
  <c r="N4" i="56"/>
  <c r="D4" i="56"/>
  <c r="N7" i="55"/>
  <c r="M7" i="55"/>
  <c r="N6" i="55"/>
  <c r="N5" i="55"/>
  <c r="D5" i="55"/>
  <c r="N4" i="55"/>
  <c r="D4" i="55"/>
  <c r="N7" i="54"/>
  <c r="M7" i="54"/>
  <c r="N6" i="54"/>
  <c r="N5" i="54"/>
  <c r="D5" i="54"/>
  <c r="N4" i="54"/>
  <c r="D4" i="54"/>
  <c r="N7" i="53"/>
  <c r="M7" i="53"/>
  <c r="N6" i="53"/>
  <c r="N5" i="53"/>
  <c r="D5" i="53"/>
  <c r="N4" i="53"/>
  <c r="D4" i="53"/>
  <c r="N7" i="52"/>
  <c r="M7" i="52"/>
  <c r="N6" i="52"/>
  <c r="N5" i="52"/>
  <c r="D5" i="52"/>
  <c r="N4" i="52"/>
  <c r="D4" i="52"/>
  <c r="N7" i="51"/>
  <c r="M7" i="51"/>
  <c r="N6" i="51"/>
  <c r="N5" i="51"/>
  <c r="D5" i="51"/>
  <c r="N4" i="51"/>
  <c r="D4" i="51"/>
  <c r="N7" i="50"/>
  <c r="M7" i="50"/>
  <c r="N6" i="50"/>
  <c r="N5" i="50"/>
  <c r="D5" i="50"/>
  <c r="N4" i="50"/>
  <c r="D4" i="50"/>
  <c r="N7" i="49"/>
  <c r="M7" i="49"/>
  <c r="N6" i="49"/>
  <c r="N5" i="49"/>
  <c r="D5" i="49"/>
  <c r="N4" i="49"/>
  <c r="D4" i="49"/>
  <c r="G4" i="3" l="1"/>
  <c r="P4" i="106" s="1"/>
  <c r="P111" i="106" s="1"/>
  <c r="N14" i="66"/>
  <c r="N16" i="66" s="1"/>
  <c r="M14" i="66"/>
  <c r="M20" i="66" s="1"/>
  <c r="M4" i="120" l="1"/>
  <c r="M4" i="125"/>
  <c r="M4" i="126"/>
  <c r="M4" i="124"/>
  <c r="M4" i="123"/>
  <c r="M4" i="122"/>
  <c r="M4" i="121"/>
  <c r="M4" i="118"/>
  <c r="M4" i="119"/>
  <c r="M4" i="116"/>
  <c r="M4" i="117"/>
  <c r="M4" i="114"/>
  <c r="M4" i="115"/>
  <c r="M4" i="112"/>
  <c r="M4" i="113"/>
  <c r="M4" i="110"/>
  <c r="M4" i="111"/>
  <c r="M4" i="107"/>
  <c r="M4" i="108"/>
  <c r="M4" i="105"/>
  <c r="M4" i="104"/>
  <c r="M4" i="102"/>
  <c r="M4" i="103"/>
  <c r="M4" i="100"/>
  <c r="M4" i="101"/>
  <c r="M4" i="98"/>
  <c r="M4" i="99"/>
  <c r="M4" i="96"/>
  <c r="M4" i="97"/>
  <c r="M4" i="94"/>
  <c r="M4" i="95"/>
  <c r="M4" i="86"/>
  <c r="M4" i="87"/>
  <c r="M4" i="84"/>
  <c r="M4" i="85"/>
  <c r="M4" i="82"/>
  <c r="M4" i="83"/>
  <c r="M4" i="80"/>
  <c r="M4" i="81"/>
  <c r="M4" i="78"/>
  <c r="M4" i="79"/>
  <c r="M4" i="76"/>
  <c r="M4" i="77"/>
  <c r="N19" i="77"/>
  <c r="M4" i="66"/>
  <c r="M4" i="64"/>
  <c r="M4" i="65"/>
  <c r="M4" i="62"/>
  <c r="M4" i="63"/>
  <c r="M4" i="61"/>
  <c r="M4" i="58"/>
  <c r="M4" i="59"/>
  <c r="M4" i="56"/>
  <c r="M4" i="57"/>
  <c r="M4" i="55"/>
  <c r="M4" i="53"/>
  <c r="M4" i="54"/>
  <c r="M4" i="51"/>
  <c r="M4" i="52"/>
  <c r="M4" i="49"/>
  <c r="M4" i="50"/>
  <c r="O14" i="66"/>
  <c r="N18" i="66"/>
  <c r="O16" i="66" s="1"/>
  <c r="O15" i="77" l="1"/>
  <c r="M39" i="58"/>
  <c r="N39" i="58"/>
  <c r="N20" i="66"/>
  <c r="O18" i="66" s="1"/>
  <c r="O24" i="58" l="1"/>
  <c r="O37" i="58"/>
  <c r="O17" i="77"/>
  <c r="H39" i="9" l="1"/>
  <c r="K39" i="9" s="1"/>
  <c r="C18" i="47" l="1"/>
  <c r="G19" i="47" s="1"/>
  <c r="H29" i="11" l="1"/>
  <c r="K29" i="11" s="1"/>
  <c r="C17" i="46"/>
  <c r="F19" i="46" s="1"/>
  <c r="M7" i="9" l="1"/>
  <c r="I7" i="43"/>
  <c r="N39" i="38" l="1"/>
  <c r="N42" i="38" s="1"/>
  <c r="O40" i="38" s="1"/>
  <c r="I7" i="3" l="1"/>
  <c r="I5" i="3"/>
  <c r="O5" i="124" l="1"/>
  <c r="O5" i="126"/>
  <c r="O5" i="125"/>
  <c r="K120" i="125" s="1"/>
  <c r="F39" i="3" s="1"/>
  <c r="O5" i="122"/>
  <c r="O5" i="121"/>
  <c r="K120" i="121" s="1"/>
  <c r="F33" i="3" s="1"/>
  <c r="O5" i="123"/>
  <c r="K120" i="123" s="1"/>
  <c r="F36" i="3" s="1"/>
  <c r="O7" i="126"/>
  <c r="M31" i="126" s="1"/>
  <c r="O7" i="125"/>
  <c r="M120" i="125" s="1"/>
  <c r="G39" i="3" s="1"/>
  <c r="O7" i="122"/>
  <c r="M31" i="122" s="1"/>
  <c r="O7" i="124"/>
  <c r="M31" i="124" s="1"/>
  <c r="O7" i="123"/>
  <c r="M120" i="123" s="1"/>
  <c r="G36" i="3" s="1"/>
  <c r="O7" i="121"/>
  <c r="M120" i="121" s="1"/>
  <c r="G33" i="3" s="1"/>
  <c r="O5" i="113"/>
  <c r="K159" i="113" s="1"/>
  <c r="O5" i="120"/>
  <c r="O5" i="119"/>
  <c r="O5" i="117"/>
  <c r="O5" i="116"/>
  <c r="K68" i="116" s="1"/>
  <c r="O5" i="114"/>
  <c r="K144" i="114" s="1"/>
  <c r="O5" i="115"/>
  <c r="O5" i="118"/>
  <c r="K86" i="118" s="1"/>
  <c r="O5" i="112"/>
  <c r="K57" i="112" s="1"/>
  <c r="O7" i="118"/>
  <c r="M86" i="118" s="1"/>
  <c r="G91" i="3" s="1"/>
  <c r="O7" i="112"/>
  <c r="M57" i="112" s="1"/>
  <c r="G85" i="3" s="1"/>
  <c r="O7" i="114"/>
  <c r="M144" i="114" s="1"/>
  <c r="G87" i="3" s="1"/>
  <c r="O7" i="120"/>
  <c r="O7" i="115"/>
  <c r="M266" i="115" s="1"/>
  <c r="O7" i="117"/>
  <c r="M66" i="117" s="1"/>
  <c r="O7" i="116"/>
  <c r="M68" i="116" s="1"/>
  <c r="G89" i="3" s="1"/>
  <c r="O7" i="113"/>
  <c r="M159" i="113" s="1"/>
  <c r="G86" i="3" s="1"/>
  <c r="O7" i="119"/>
  <c r="M53" i="119" s="1"/>
  <c r="O5" i="110"/>
  <c r="K148" i="110" s="1"/>
  <c r="O5" i="111"/>
  <c r="O7" i="110"/>
  <c r="M148" i="110" s="1"/>
  <c r="G67" i="3" s="1"/>
  <c r="O7" i="111"/>
  <c r="M59" i="111" s="1"/>
  <c r="O5" i="107"/>
  <c r="K153" i="107" s="1"/>
  <c r="F65" i="3" s="1"/>
  <c r="O5" i="108"/>
  <c r="O7" i="108"/>
  <c r="M41" i="108" s="1"/>
  <c r="O7" i="107"/>
  <c r="M153" i="107" s="1"/>
  <c r="G65" i="3" s="1"/>
  <c r="O5" i="105"/>
  <c r="O5" i="104"/>
  <c r="K120" i="104" s="1"/>
  <c r="O7" i="104"/>
  <c r="M120" i="104" s="1"/>
  <c r="O7" i="105"/>
  <c r="M31" i="105" s="1"/>
  <c r="O5" i="103"/>
  <c r="O5" i="101"/>
  <c r="O5" i="99"/>
  <c r="O5" i="102"/>
  <c r="K120" i="102" s="1"/>
  <c r="O5" i="97"/>
  <c r="O5" i="100"/>
  <c r="K120" i="100" s="1"/>
  <c r="O5" i="98"/>
  <c r="K120" i="98" s="1"/>
  <c r="F27" i="3" s="1"/>
  <c r="O5" i="96"/>
  <c r="K120" i="96" s="1"/>
  <c r="O7" i="102"/>
  <c r="M120" i="102" s="1"/>
  <c r="G45" i="3" s="1"/>
  <c r="O7" i="100"/>
  <c r="M120" i="100" s="1"/>
  <c r="G42" i="3" s="1"/>
  <c r="O7" i="98"/>
  <c r="M120" i="98" s="1"/>
  <c r="G27" i="3" s="1"/>
  <c r="O7" i="96"/>
  <c r="M120" i="96" s="1"/>
  <c r="G24" i="3" s="1"/>
  <c r="O7" i="103"/>
  <c r="M31" i="103" s="1"/>
  <c r="O7" i="101"/>
  <c r="M31" i="101" s="1"/>
  <c r="O7" i="99"/>
  <c r="M31" i="99" s="1"/>
  <c r="G28" i="3" s="1"/>
  <c r="O7" i="97"/>
  <c r="M31" i="97" s="1"/>
  <c r="O5" i="94"/>
  <c r="O5" i="95"/>
  <c r="O7" i="94"/>
  <c r="M41" i="94" s="1"/>
  <c r="O7" i="95"/>
  <c r="M41" i="95" s="1"/>
  <c r="O5" i="87"/>
  <c r="K153" i="87" s="1"/>
  <c r="O7" i="87"/>
  <c r="M153" i="87" s="1"/>
  <c r="G63" i="3" s="1"/>
  <c r="O5" i="78"/>
  <c r="K57" i="78" s="1"/>
  <c r="F75" i="3" s="1"/>
  <c r="O5" i="86"/>
  <c r="O5" i="85"/>
  <c r="O5" i="84"/>
  <c r="K86" i="84" s="1"/>
  <c r="O5" i="83"/>
  <c r="O5" i="82"/>
  <c r="K68" i="82" s="1"/>
  <c r="O5" i="81"/>
  <c r="O5" i="80"/>
  <c r="K159" i="80" s="1"/>
  <c r="F76" i="3" s="1"/>
  <c r="O5" i="79"/>
  <c r="K144" i="79" s="1"/>
  <c r="O7" i="78"/>
  <c r="M57" i="78" s="1"/>
  <c r="G75" i="3" s="1"/>
  <c r="O7" i="86"/>
  <c r="O7" i="85"/>
  <c r="M53" i="85" s="1"/>
  <c r="O7" i="84"/>
  <c r="M86" i="84" s="1"/>
  <c r="G81" i="3" s="1"/>
  <c r="O7" i="83"/>
  <c r="M66" i="83" s="1"/>
  <c r="O7" i="82"/>
  <c r="M68" i="82" s="1"/>
  <c r="G79" i="3" s="1"/>
  <c r="O7" i="81"/>
  <c r="M266" i="81" s="1"/>
  <c r="O7" i="80"/>
  <c r="M159" i="80" s="1"/>
  <c r="G76" i="3" s="1"/>
  <c r="O7" i="79"/>
  <c r="M144" i="79" s="1"/>
  <c r="G77" i="3" s="1"/>
  <c r="O5" i="76"/>
  <c r="O5" i="77"/>
  <c r="O7" i="76"/>
  <c r="M62" i="76" s="1"/>
  <c r="O7" i="77"/>
  <c r="O5" i="66"/>
  <c r="O5" i="65"/>
  <c r="K116" i="65" s="1"/>
  <c r="O5" i="64"/>
  <c r="O5" i="63"/>
  <c r="K204" i="63" s="1"/>
  <c r="O5" i="62"/>
  <c r="O5" i="61"/>
  <c r="K168" i="61" s="1"/>
  <c r="O5" i="59"/>
  <c r="K153" i="59" s="1"/>
  <c r="O5" i="58"/>
  <c r="O5" i="57"/>
  <c r="K162" i="57" s="1"/>
  <c r="O5" i="56"/>
  <c r="O5" i="55"/>
  <c r="O5" i="54"/>
  <c r="O5" i="53"/>
  <c r="O5" i="52"/>
  <c r="O5" i="51"/>
  <c r="K95" i="51" s="1"/>
  <c r="O5" i="50"/>
  <c r="O5" i="49"/>
  <c r="K138" i="49" s="1"/>
  <c r="O7" i="49"/>
  <c r="O7" i="66"/>
  <c r="M22" i="66" s="1"/>
  <c r="O7" i="65"/>
  <c r="O7" i="64"/>
  <c r="O7" i="63"/>
  <c r="O7" i="62"/>
  <c r="M33" i="62" s="1"/>
  <c r="N33" i="62" s="1"/>
  <c r="O7" i="61"/>
  <c r="O7" i="59"/>
  <c r="O7" i="58"/>
  <c r="M41" i="58" s="1"/>
  <c r="O7" i="57"/>
  <c r="O7" i="56"/>
  <c r="O7" i="55"/>
  <c r="M148" i="55" s="1"/>
  <c r="O7" i="54"/>
  <c r="M59" i="54" s="1"/>
  <c r="N59" i="54" s="1"/>
  <c r="O7" i="53"/>
  <c r="M178" i="53" s="1"/>
  <c r="O7" i="52"/>
  <c r="M29" i="52" s="1"/>
  <c r="O7" i="51"/>
  <c r="O7" i="50"/>
  <c r="M57" i="50" s="1"/>
  <c r="N57" i="50" s="1"/>
  <c r="N31" i="126" l="1"/>
  <c r="H40" i="3" s="1"/>
  <c r="G40" i="3"/>
  <c r="N31" i="124"/>
  <c r="H37" i="3" s="1"/>
  <c r="G37" i="3"/>
  <c r="N31" i="122"/>
  <c r="H34" i="3" s="1"/>
  <c r="G34" i="3"/>
  <c r="G31" i="3"/>
  <c r="G30" i="3"/>
  <c r="F30" i="3"/>
  <c r="N120" i="123"/>
  <c r="H36" i="3" s="1"/>
  <c r="N120" i="121"/>
  <c r="H33" i="3" s="1"/>
  <c r="N120" i="125"/>
  <c r="H39" i="3" s="1"/>
  <c r="F91" i="3"/>
  <c r="N86" i="118"/>
  <c r="H91" i="3" s="1"/>
  <c r="G88" i="3"/>
  <c r="N266" i="115"/>
  <c r="H88" i="3" s="1"/>
  <c r="N144" i="114"/>
  <c r="H87" i="3" s="1"/>
  <c r="F87" i="3"/>
  <c r="N68" i="116"/>
  <c r="H89" i="3" s="1"/>
  <c r="F89" i="3"/>
  <c r="N66" i="117"/>
  <c r="H90" i="3" s="1"/>
  <c r="G90" i="3"/>
  <c r="N53" i="119"/>
  <c r="H92" i="3" s="1"/>
  <c r="G92" i="3"/>
  <c r="N57" i="112"/>
  <c r="H85" i="3" s="1"/>
  <c r="F85" i="3"/>
  <c r="F86" i="3"/>
  <c r="N159" i="113"/>
  <c r="H86" i="3" s="1"/>
  <c r="N59" i="111"/>
  <c r="H68" i="3" s="1"/>
  <c r="G68" i="3"/>
  <c r="F67" i="3"/>
  <c r="N148" i="110"/>
  <c r="H67" i="3" s="1"/>
  <c r="N41" i="108"/>
  <c r="H66" i="3" s="1"/>
  <c r="G66" i="3"/>
  <c r="N153" i="107"/>
  <c r="H65" i="3" s="1"/>
  <c r="D78" i="106" s="1"/>
  <c r="M63" i="56"/>
  <c r="G58" i="3" s="1"/>
  <c r="K63" i="56"/>
  <c r="N31" i="105"/>
  <c r="N120" i="104"/>
  <c r="N53" i="85"/>
  <c r="H82" i="3" s="1"/>
  <c r="G82" i="3"/>
  <c r="N266" i="81"/>
  <c r="H78" i="3" s="1"/>
  <c r="G78" i="3"/>
  <c r="F77" i="3"/>
  <c r="N144" i="79"/>
  <c r="H77" i="3" s="1"/>
  <c r="N31" i="97"/>
  <c r="H25" i="3" s="1"/>
  <c r="G25" i="3"/>
  <c r="N120" i="96"/>
  <c r="H24" i="3" s="1"/>
  <c r="F24" i="3"/>
  <c r="N31" i="99"/>
  <c r="H28" i="3" s="1"/>
  <c r="N120" i="98"/>
  <c r="H27" i="3" s="1"/>
  <c r="F42" i="3"/>
  <c r="N120" i="100"/>
  <c r="H42" i="3" s="1"/>
  <c r="G46" i="3"/>
  <c r="N31" i="103"/>
  <c r="H46" i="3" s="1"/>
  <c r="F45" i="3"/>
  <c r="N120" i="102"/>
  <c r="H45" i="3" s="1"/>
  <c r="N31" i="101"/>
  <c r="H43" i="3" s="1"/>
  <c r="G43" i="3"/>
  <c r="F63" i="3"/>
  <c r="N153" i="87"/>
  <c r="H63" i="3" s="1"/>
  <c r="N41" i="94"/>
  <c r="H62" i="3" s="1"/>
  <c r="G62" i="3"/>
  <c r="N41" i="95"/>
  <c r="H64" i="3" s="1"/>
  <c r="G64" i="3"/>
  <c r="M204" i="63"/>
  <c r="G71" i="3" s="1"/>
  <c r="M116" i="65"/>
  <c r="N116" i="65" s="1"/>
  <c r="M162" i="57"/>
  <c r="G59" i="3" s="1"/>
  <c r="K148" i="55"/>
  <c r="N148" i="55" s="1"/>
  <c r="K178" i="53"/>
  <c r="N178" i="53" s="1"/>
  <c r="K62" i="76"/>
  <c r="F48" i="3" s="1"/>
  <c r="M138" i="49"/>
  <c r="G51" i="3" s="1"/>
  <c r="M95" i="51"/>
  <c r="G53" i="3" s="1"/>
  <c r="M153" i="59"/>
  <c r="G61" i="3" s="1"/>
  <c r="G54" i="3"/>
  <c r="N29" i="52"/>
  <c r="M168" i="61"/>
  <c r="N168" i="61" s="1"/>
  <c r="N86" i="84"/>
  <c r="H81" i="3" s="1"/>
  <c r="F81" i="3"/>
  <c r="G80" i="3"/>
  <c r="N66" i="83"/>
  <c r="H80" i="3" s="1"/>
  <c r="F79" i="3"/>
  <c r="N68" i="82"/>
  <c r="H79" i="3" s="1"/>
  <c r="N159" i="80"/>
  <c r="H76" i="3" s="1"/>
  <c r="D119" i="106" s="1"/>
  <c r="N57" i="78"/>
  <c r="H75" i="3" s="1"/>
  <c r="D116" i="106" s="1"/>
  <c r="Q116" i="106" s="1"/>
  <c r="G48" i="3"/>
  <c r="G70" i="3"/>
  <c r="G55" i="3"/>
  <c r="G57" i="3"/>
  <c r="G56" i="3"/>
  <c r="F53" i="3"/>
  <c r="F69" i="3"/>
  <c r="F61" i="3"/>
  <c r="G52" i="3"/>
  <c r="N22" i="66"/>
  <c r="G50" i="3"/>
  <c r="F59" i="3"/>
  <c r="N41" i="58"/>
  <c r="H60" i="3" s="1"/>
  <c r="G60" i="3"/>
  <c r="F71" i="3"/>
  <c r="F51" i="3"/>
  <c r="F49" i="3"/>
  <c r="M119" i="106" l="1"/>
  <c r="N119" i="106"/>
  <c r="D75" i="106"/>
  <c r="J75" i="106" s="1"/>
  <c r="D125" i="106"/>
  <c r="D122" i="106"/>
  <c r="X116" i="106"/>
  <c r="D128" i="106"/>
  <c r="H35" i="3"/>
  <c r="H30" i="3"/>
  <c r="H31" i="3"/>
  <c r="N63" i="56"/>
  <c r="H58" i="3" s="1"/>
  <c r="H23" i="3"/>
  <c r="D27" i="106" s="1"/>
  <c r="I27" i="106" s="1"/>
  <c r="H26" i="3"/>
  <c r="D30" i="106" s="1"/>
  <c r="J30" i="106" s="1"/>
  <c r="N62" i="76"/>
  <c r="H48" i="3" s="1"/>
  <c r="D51" i="106" s="1"/>
  <c r="F51" i="106" s="1"/>
  <c r="X51" i="106" s="1"/>
  <c r="N204" i="63"/>
  <c r="H71" i="3" s="1"/>
  <c r="N153" i="59"/>
  <c r="H61" i="3" s="1"/>
  <c r="D72" i="106" s="1"/>
  <c r="J72" i="106" s="1"/>
  <c r="N162" i="57"/>
  <c r="H59" i="3" s="1"/>
  <c r="D69" i="106" s="1"/>
  <c r="J69" i="106" s="1"/>
  <c r="G69" i="3"/>
  <c r="H54" i="3"/>
  <c r="F55" i="3"/>
  <c r="G49" i="3"/>
  <c r="N138" i="49"/>
  <c r="N95" i="51"/>
  <c r="F57" i="3"/>
  <c r="H41" i="3"/>
  <c r="D45" i="106" s="1"/>
  <c r="H49" i="3"/>
  <c r="H52" i="3"/>
  <c r="H57" i="3"/>
  <c r="H55" i="3"/>
  <c r="H69" i="3"/>
  <c r="H50" i="3"/>
  <c r="H56" i="3"/>
  <c r="H70" i="3"/>
  <c r="G45" i="106" l="1"/>
  <c r="F45" i="106"/>
  <c r="O128" i="106"/>
  <c r="P128" i="106"/>
  <c r="X27" i="106"/>
  <c r="O125" i="106"/>
  <c r="N122" i="106"/>
  <c r="O122" i="106"/>
  <c r="K75" i="106"/>
  <c r="I75" i="106"/>
  <c r="D63" i="106"/>
  <c r="F63" i="106" s="1"/>
  <c r="X63" i="106" s="1"/>
  <c r="D54" i="106"/>
  <c r="K54" i="106" s="1"/>
  <c r="D81" i="106"/>
  <c r="J81" i="106" s="1"/>
  <c r="D66" i="106"/>
  <c r="G66" i="106" s="1"/>
  <c r="X66" i="106" s="1"/>
  <c r="X119" i="106"/>
  <c r="G69" i="106"/>
  <c r="H72" i="106"/>
  <c r="I72" i="106"/>
  <c r="H38" i="3"/>
  <c r="H32" i="3"/>
  <c r="D36" i="106" s="1"/>
  <c r="I36" i="106" s="1"/>
  <c r="X36" i="106" s="1"/>
  <c r="I25" i="3"/>
  <c r="I24" i="3"/>
  <c r="I42" i="3"/>
  <c r="I27" i="3"/>
  <c r="I28" i="3"/>
  <c r="I43" i="3"/>
  <c r="H51" i="3"/>
  <c r="D57" i="106" s="1"/>
  <c r="J57" i="106" s="1"/>
  <c r="H53" i="3"/>
  <c r="D60" i="106" s="1"/>
  <c r="K60" i="106" s="1"/>
  <c r="M37" i="10"/>
  <c r="M52" i="11"/>
  <c r="M47" i="11"/>
  <c r="M42" i="8"/>
  <c r="M41" i="8"/>
  <c r="M36" i="8"/>
  <c r="M31" i="8"/>
  <c r="M23" i="8"/>
  <c r="M15" i="8"/>
  <c r="M14" i="8"/>
  <c r="O5" i="8"/>
  <c r="O7" i="8"/>
  <c r="O5" i="9"/>
  <c r="O7" i="9"/>
  <c r="M14" i="35"/>
  <c r="X128" i="106" l="1"/>
  <c r="X125" i="106"/>
  <c r="X122" i="106"/>
  <c r="X75" i="106"/>
  <c r="L54" i="106"/>
  <c r="X54" i="106" s="1"/>
  <c r="X60" i="106"/>
  <c r="X69" i="106"/>
  <c r="K81" i="106"/>
  <c r="X72" i="106"/>
  <c r="X45" i="106"/>
  <c r="X30" i="106"/>
  <c r="K57" i="106"/>
  <c r="N15" i="8"/>
  <c r="X81" i="106" l="1"/>
  <c r="X57" i="106"/>
  <c r="H30" i="9"/>
  <c r="K30" i="9" s="1"/>
  <c r="I6" i="3" l="1"/>
  <c r="O6" i="124" l="1"/>
  <c r="O6" i="126"/>
  <c r="O6" i="125"/>
  <c r="O6" i="122"/>
  <c r="O6" i="123"/>
  <c r="O6" i="121"/>
  <c r="O6" i="119"/>
  <c r="O6" i="118"/>
  <c r="O6" i="115"/>
  <c r="O6" i="116"/>
  <c r="O6" i="117"/>
  <c r="O6" i="113"/>
  <c r="O6" i="112"/>
  <c r="O6" i="114"/>
  <c r="O6" i="120"/>
  <c r="O6" i="110"/>
  <c r="O6" i="111"/>
  <c r="O6" i="108"/>
  <c r="O6" i="107"/>
  <c r="O6" i="105"/>
  <c r="O6" i="104"/>
  <c r="O6" i="103"/>
  <c r="O6" i="101"/>
  <c r="O6" i="99"/>
  <c r="O6" i="102"/>
  <c r="O6" i="97"/>
  <c r="O6" i="100"/>
  <c r="O6" i="98"/>
  <c r="O6" i="96"/>
  <c r="O6" i="95"/>
  <c r="O6" i="94"/>
  <c r="O6" i="87"/>
  <c r="O6" i="86"/>
  <c r="O6" i="85"/>
  <c r="O6" i="84"/>
  <c r="O6" i="83"/>
  <c r="O6" i="82"/>
  <c r="O6" i="81"/>
  <c r="O6" i="80"/>
  <c r="O6" i="79"/>
  <c r="O6" i="78"/>
  <c r="O6" i="76"/>
  <c r="O6" i="77"/>
  <c r="O6" i="49"/>
  <c r="O6" i="66"/>
  <c r="O6" i="65"/>
  <c r="O6" i="64"/>
  <c r="O6" i="63"/>
  <c r="O6" i="62"/>
  <c r="O6" i="61"/>
  <c r="O6" i="59"/>
  <c r="O6" i="58"/>
  <c r="O6" i="57"/>
  <c r="O6" i="56"/>
  <c r="O6" i="55"/>
  <c r="O6" i="54"/>
  <c r="O6" i="53"/>
  <c r="O6" i="52"/>
  <c r="O6" i="51"/>
  <c r="O6" i="50"/>
  <c r="O6" i="9"/>
  <c r="O6" i="8"/>
  <c r="H82" i="11"/>
  <c r="K82" i="11" s="1"/>
  <c r="K21" i="120" l="1"/>
  <c r="F93" i="3" s="1"/>
  <c r="M21" i="120"/>
  <c r="G93" i="3" s="1"/>
  <c r="N21" i="120"/>
  <c r="H93" i="3" s="1"/>
  <c r="M13" i="41"/>
  <c r="K13" i="41"/>
  <c r="M24" i="1"/>
  <c r="M29" i="1"/>
  <c r="K24" i="1"/>
  <c r="M15" i="1"/>
  <c r="M16" i="1"/>
  <c r="M17" i="1"/>
  <c r="M18" i="1"/>
  <c r="M19" i="1"/>
  <c r="M14" i="1"/>
  <c r="K15" i="1"/>
  <c r="K16" i="1"/>
  <c r="K17" i="1"/>
  <c r="K18" i="1"/>
  <c r="K19" i="1"/>
  <c r="K14" i="1"/>
  <c r="M23" i="35"/>
  <c r="M4" i="9"/>
  <c r="M178" i="9"/>
  <c r="M169" i="9"/>
  <c r="M168" i="9"/>
  <c r="M162" i="9"/>
  <c r="M161" i="9"/>
  <c r="M155" i="9"/>
  <c r="M154" i="9"/>
  <c r="M148" i="9"/>
  <c r="M134" i="9"/>
  <c r="M129" i="9"/>
  <c r="M128" i="9"/>
  <c r="M123" i="9"/>
  <c r="M118" i="9"/>
  <c r="M113" i="9"/>
  <c r="M112" i="9"/>
  <c r="M91" i="9"/>
  <c r="M90" i="9"/>
  <c r="M45" i="9"/>
  <c r="M44" i="9"/>
  <c r="M39" i="9"/>
  <c r="M38" i="9"/>
  <c r="M14" i="9"/>
  <c r="K14" i="9"/>
  <c r="H183" i="9"/>
  <c r="K183" i="9" s="1"/>
  <c r="H72" i="9"/>
  <c r="K72" i="9" s="1"/>
  <c r="H71" i="9"/>
  <c r="K71" i="9" s="1"/>
  <c r="H84" i="3" l="1"/>
  <c r="O7" i="41"/>
  <c r="K7" i="43" s="1"/>
  <c r="N7" i="41"/>
  <c r="O6" i="41"/>
  <c r="K6" i="43" s="1"/>
  <c r="N6" i="41"/>
  <c r="O5" i="41"/>
  <c r="K5" i="43" s="1"/>
  <c r="N5" i="41"/>
  <c r="I86" i="3" l="1"/>
  <c r="I90" i="3"/>
  <c r="I89" i="3"/>
  <c r="I85" i="3"/>
  <c r="I91" i="3"/>
  <c r="I87" i="3"/>
  <c r="I88" i="3"/>
  <c r="I92" i="3"/>
  <c r="I93" i="3"/>
  <c r="N6" i="35"/>
  <c r="O6" i="35"/>
  <c r="N6" i="38"/>
  <c r="O6" i="38"/>
  <c r="N6" i="10"/>
  <c r="O6" i="10"/>
  <c r="N6" i="11"/>
  <c r="O6" i="11"/>
  <c r="N6" i="8"/>
  <c r="N6" i="9"/>
  <c r="N6" i="1"/>
  <c r="O6" i="1"/>
  <c r="H32" i="10" l="1"/>
  <c r="M32" i="10" s="1"/>
  <c r="H27" i="10"/>
  <c r="M27" i="10" s="1"/>
  <c r="H22" i="10"/>
  <c r="M22" i="10" s="1"/>
  <c r="I4" i="43" l="1"/>
  <c r="D4" i="43"/>
  <c r="J15" i="43"/>
  <c r="J37" i="43" s="1"/>
  <c r="D7" i="43"/>
  <c r="K17" i="43" l="1"/>
  <c r="K20" i="43"/>
  <c r="K21" i="43"/>
  <c r="K19" i="43"/>
  <c r="K26" i="43"/>
  <c r="K31" i="43"/>
  <c r="K34" i="43"/>
  <c r="J38" i="43"/>
  <c r="J40" i="43" s="1"/>
  <c r="H12" i="3" s="1"/>
  <c r="K25" i="43"/>
  <c r="K27" i="43"/>
  <c r="K28" i="43"/>
  <c r="K29" i="43"/>
  <c r="K30" i="43"/>
  <c r="K15" i="43"/>
  <c r="H52" i="38"/>
  <c r="K52" i="38" s="1"/>
  <c r="H51" i="38"/>
  <c r="K51" i="38" s="1"/>
  <c r="D15" i="106" l="1"/>
  <c r="G15" i="106"/>
  <c r="K15" i="106"/>
  <c r="O15" i="106"/>
  <c r="H15" i="106"/>
  <c r="L15" i="106"/>
  <c r="P15" i="106"/>
  <c r="I15" i="106"/>
  <c r="M15" i="106"/>
  <c r="Q15" i="106"/>
  <c r="J15" i="106"/>
  <c r="N15" i="106"/>
  <c r="F15" i="106"/>
  <c r="S134" i="106"/>
  <c r="T134" i="106"/>
  <c r="R134" i="106"/>
  <c r="O5" i="10"/>
  <c r="X15" i="106" l="1"/>
  <c r="H184" i="9"/>
  <c r="K184" i="9" s="1"/>
  <c r="M184" i="9" l="1"/>
  <c r="M104" i="38"/>
  <c r="M99" i="38"/>
  <c r="M71" i="38"/>
  <c r="M70" i="38"/>
  <c r="M88" i="11"/>
  <c r="M82" i="11"/>
  <c r="M69" i="11"/>
  <c r="M57" i="11"/>
  <c r="M98" i="38" l="1"/>
  <c r="M112" i="38"/>
  <c r="K25" i="38"/>
  <c r="N71" i="9" l="1"/>
  <c r="N118" i="9"/>
  <c r="N143" i="9"/>
  <c r="N104" i="9"/>
  <c r="N155" i="9"/>
  <c r="N54" i="9"/>
  <c r="N154" i="9"/>
  <c r="N142" i="9"/>
  <c r="N60" i="9"/>
  <c r="N184" i="9"/>
  <c r="N183" i="9"/>
  <c r="N134" i="9"/>
  <c r="N129" i="9"/>
  <c r="N128" i="9"/>
  <c r="N123" i="9"/>
  <c r="N113" i="9"/>
  <c r="N112" i="9"/>
  <c r="N91" i="9"/>
  <c r="N90" i="9"/>
  <c r="N82" i="9"/>
  <c r="N77" i="9"/>
  <c r="N72" i="9"/>
  <c r="N66" i="9"/>
  <c r="N65" i="9"/>
  <c r="N59" i="9"/>
  <c r="N53" i="9"/>
  <c r="N45" i="9"/>
  <c r="N44" i="9"/>
  <c r="N30" i="9"/>
  <c r="N14" i="9"/>
  <c r="A11" i="35"/>
  <c r="A11" i="38"/>
  <c r="A11" i="10"/>
  <c r="A11" i="11"/>
  <c r="A11" i="8"/>
  <c r="A11" i="9"/>
  <c r="N115" i="9" l="1"/>
  <c r="N56" i="9"/>
  <c r="O53" i="9" s="1"/>
  <c r="N157" i="9"/>
  <c r="O155" i="9" s="1"/>
  <c r="N62" i="9"/>
  <c r="O60" i="9" s="1"/>
  <c r="N47" i="9"/>
  <c r="O54" i="9" l="1"/>
  <c r="O154" i="9"/>
  <c r="M19" i="41"/>
  <c r="G11" i="3" s="1"/>
  <c r="K19" i="41"/>
  <c r="F11" i="3" s="1"/>
  <c r="K35" i="1"/>
  <c r="M35" i="1"/>
  <c r="G10" i="3" s="1"/>
  <c r="F10" i="3" l="1"/>
  <c r="B11" i="41"/>
  <c r="D8" i="41" s="1"/>
  <c r="A11" i="41"/>
  <c r="D7" i="41" s="1"/>
  <c r="N13" i="41"/>
  <c r="N15" i="41" s="1"/>
  <c r="M7" i="41"/>
  <c r="D5" i="41"/>
  <c r="N4" i="41"/>
  <c r="M4" i="41"/>
  <c r="D4" i="41"/>
  <c r="O13" i="41" l="1"/>
  <c r="N17" i="41"/>
  <c r="N19" i="41" l="1"/>
  <c r="O17" i="41" l="1"/>
  <c r="H11" i="3"/>
  <c r="D12" i="106" s="1"/>
  <c r="F12" i="106" s="1"/>
  <c r="X12" i="106" s="1"/>
  <c r="O15" i="41"/>
  <c r="B11" i="11" l="1"/>
  <c r="B11" i="10"/>
  <c r="B11" i="9"/>
  <c r="B11" i="8"/>
  <c r="B11" i="1"/>
  <c r="A11" i="1"/>
  <c r="D7" i="1" s="1"/>
  <c r="O7" i="38"/>
  <c r="N7" i="38"/>
  <c r="M7" i="38"/>
  <c r="O5" i="38"/>
  <c r="N5" i="38"/>
  <c r="D5" i="38"/>
  <c r="N4" i="38"/>
  <c r="M4" i="38"/>
  <c r="D4" i="38"/>
  <c r="O7" i="35"/>
  <c r="N7" i="35"/>
  <c r="M7" i="35"/>
  <c r="O5" i="35"/>
  <c r="N5" i="35"/>
  <c r="D5" i="35"/>
  <c r="N4" i="35"/>
  <c r="M4" i="35"/>
  <c r="D4" i="35"/>
  <c r="N14" i="35" l="1"/>
  <c r="N16" i="35" s="1"/>
  <c r="O14" i="35" s="1"/>
  <c r="N34" i="38"/>
  <c r="N84" i="38"/>
  <c r="N86" i="38" s="1"/>
  <c r="O84" i="38" s="1"/>
  <c r="N99" i="38"/>
  <c r="M190" i="9"/>
  <c r="N112" i="38"/>
  <c r="N114" i="38" s="1"/>
  <c r="O112" i="38" s="1"/>
  <c r="N71" i="38"/>
  <c r="N52" i="38"/>
  <c r="N51" i="38"/>
  <c r="N23" i="35"/>
  <c r="N25" i="35" s="1"/>
  <c r="N33" i="38"/>
  <c r="N57" i="38"/>
  <c r="N70" i="38"/>
  <c r="N25" i="38"/>
  <c r="N46" i="38"/>
  <c r="N62" i="38"/>
  <c r="N98" i="38"/>
  <c r="N104" i="38"/>
  <c r="N45" i="38"/>
  <c r="O22" i="35" l="1"/>
  <c r="M192" i="9"/>
  <c r="G15" i="3" s="1"/>
  <c r="O39" i="38"/>
  <c r="N36" i="38"/>
  <c r="O34" i="38" s="1"/>
  <c r="O23" i="35"/>
  <c r="N73" i="38"/>
  <c r="M29" i="35"/>
  <c r="M31" i="35" s="1"/>
  <c r="G22" i="3" s="1"/>
  <c r="N54" i="38"/>
  <c r="O52" i="38" s="1"/>
  <c r="N27" i="38"/>
  <c r="N29" i="38" s="1"/>
  <c r="N64" i="38"/>
  <c r="N59" i="38"/>
  <c r="O57" i="38" s="1"/>
  <c r="N88" i="38"/>
  <c r="O86" i="38" s="1"/>
  <c r="N48" i="38"/>
  <c r="N101" i="38"/>
  <c r="O98" i="38" s="1"/>
  <c r="N106" i="38"/>
  <c r="N116" i="38"/>
  <c r="N18" i="35"/>
  <c r="O16" i="35" s="1"/>
  <c r="O70" i="38" l="1"/>
  <c r="N80" i="38"/>
  <c r="O71" i="38"/>
  <c r="O22" i="38"/>
  <c r="N31" i="35"/>
  <c r="H22" i="3" s="1"/>
  <c r="O33" i="38"/>
  <c r="N27" i="35"/>
  <c r="O25" i="35" s="1"/>
  <c r="O51" i="38"/>
  <c r="O104" i="38"/>
  <c r="O114" i="38"/>
  <c r="N66" i="38"/>
  <c r="O64" i="38" s="1"/>
  <c r="O99" i="38"/>
  <c r="O62" i="38"/>
  <c r="O46" i="38"/>
  <c r="O45" i="38"/>
  <c r="O25" i="38"/>
  <c r="O78" i="38" l="1"/>
  <c r="H29" i="3"/>
  <c r="D33" i="106" s="1"/>
  <c r="O27" i="38"/>
  <c r="O17" i="38"/>
  <c r="N29" i="35"/>
  <c r="O42" i="38"/>
  <c r="O59" i="38"/>
  <c r="O36" i="38"/>
  <c r="O54" i="38"/>
  <c r="O48" i="38"/>
  <c r="O73" i="38"/>
  <c r="H33" i="106" l="1"/>
  <c r="I33" i="106"/>
  <c r="I134" i="106" s="1"/>
  <c r="I34" i="3"/>
  <c r="I33" i="3"/>
  <c r="I40" i="3"/>
  <c r="I39" i="3"/>
  <c r="I37" i="3"/>
  <c r="I36" i="3"/>
  <c r="I31" i="3"/>
  <c r="I30" i="3"/>
  <c r="H44" i="3"/>
  <c r="D48" i="106" s="1"/>
  <c r="J48" i="106" s="1"/>
  <c r="J134" i="106" s="1"/>
  <c r="O18" i="35"/>
  <c r="O27" i="35"/>
  <c r="X33" i="106" l="1"/>
  <c r="I46" i="3"/>
  <c r="I45" i="3"/>
  <c r="O7" i="11"/>
  <c r="N7" i="11"/>
  <c r="M7" i="11"/>
  <c r="O5" i="11"/>
  <c r="N5" i="11"/>
  <c r="D5" i="11"/>
  <c r="N4" i="11"/>
  <c r="M4" i="11"/>
  <c r="D4" i="11"/>
  <c r="O7" i="10"/>
  <c r="N7" i="10"/>
  <c r="M7" i="10"/>
  <c r="N5" i="10"/>
  <c r="N4" i="10"/>
  <c r="M4" i="10"/>
  <c r="N7" i="9"/>
  <c r="N5" i="9"/>
  <c r="D5" i="9"/>
  <c r="N4" i="9"/>
  <c r="D4" i="9"/>
  <c r="D8" i="1"/>
  <c r="N7" i="8"/>
  <c r="M7" i="8"/>
  <c r="N5" i="8"/>
  <c r="D5" i="8"/>
  <c r="N4" i="8"/>
  <c r="M4" i="8"/>
  <c r="D4" i="8"/>
  <c r="D5" i="1"/>
  <c r="O7" i="1"/>
  <c r="O5" i="1"/>
  <c r="N7" i="1"/>
  <c r="N5" i="1"/>
  <c r="N4" i="1"/>
  <c r="M4" i="1"/>
  <c r="M7" i="1"/>
  <c r="X48" i="106" l="1"/>
  <c r="N19" i="11"/>
  <c r="N21" i="11" s="1"/>
  <c r="N36" i="8"/>
  <c r="N41" i="8"/>
  <c r="N31" i="8"/>
  <c r="N42" i="8"/>
  <c r="N177" i="9"/>
  <c r="N178" i="9"/>
  <c r="D4" i="1"/>
  <c r="N44" i="8" l="1"/>
  <c r="M43" i="10"/>
  <c r="M102" i="11"/>
  <c r="M48" i="8"/>
  <c r="K102" i="11"/>
  <c r="K104" i="11" s="1"/>
  <c r="N180" i="9"/>
  <c r="O178" i="9" s="1"/>
  <c r="M104" i="11" l="1"/>
  <c r="N104" i="11" s="1"/>
  <c r="F18" i="3"/>
  <c r="M45" i="10"/>
  <c r="M50" i="8"/>
  <c r="O19" i="11"/>
  <c r="O177" i="9"/>
  <c r="G18" i="3" l="1"/>
  <c r="H18" i="3"/>
  <c r="N50" i="8"/>
  <c r="H16" i="3" s="1"/>
  <c r="G16" i="3"/>
  <c r="N45" i="10"/>
  <c r="H19" i="3" s="1"/>
  <c r="G19" i="3"/>
  <c r="K190" i="9"/>
  <c r="K192" i="9" s="1"/>
  <c r="H17" i="3" l="1"/>
  <c r="D21" i="106" s="1"/>
  <c r="N192" i="9"/>
  <c r="H15" i="3" s="1"/>
  <c r="F15" i="3"/>
  <c r="N96" i="11"/>
  <c r="N88" i="11"/>
  <c r="N90" i="11" s="1"/>
  <c r="N82" i="11"/>
  <c r="N69" i="11"/>
  <c r="N68" i="11"/>
  <c r="N67" i="11"/>
  <c r="N57" i="11"/>
  <c r="N52" i="11"/>
  <c r="N47" i="11"/>
  <c r="N39" i="11"/>
  <c r="N34" i="11"/>
  <c r="N29" i="11"/>
  <c r="N24" i="11"/>
  <c r="N14" i="11"/>
  <c r="N16" i="11" s="1"/>
  <c r="N37" i="10"/>
  <c r="N32" i="10"/>
  <c r="N27" i="10"/>
  <c r="N22" i="10"/>
  <c r="N14" i="10"/>
  <c r="N186" i="9"/>
  <c r="N188" i="9" s="1"/>
  <c r="O180" i="9" s="1"/>
  <c r="N169" i="9"/>
  <c r="N168" i="9"/>
  <c r="N162" i="9"/>
  <c r="N161" i="9"/>
  <c r="N146" i="9"/>
  <c r="N145" i="9"/>
  <c r="N144" i="9"/>
  <c r="N147" i="9"/>
  <c r="N120" i="9"/>
  <c r="N106" i="9"/>
  <c r="N93" i="9"/>
  <c r="N84" i="9"/>
  <c r="O59" i="9"/>
  <c r="O45" i="9"/>
  <c r="N38" i="9"/>
  <c r="N39" i="9"/>
  <c r="N32" i="9"/>
  <c r="N38" i="8"/>
  <c r="N33" i="8"/>
  <c r="N23" i="8"/>
  <c r="N14" i="8"/>
  <c r="N15" i="1"/>
  <c r="N16" i="1"/>
  <c r="N17" i="1"/>
  <c r="N18" i="1"/>
  <c r="N19" i="1"/>
  <c r="N14" i="1"/>
  <c r="O21" i="106" l="1"/>
  <c r="K21" i="106"/>
  <c r="M21" i="106"/>
  <c r="N21" i="106"/>
  <c r="L21" i="106"/>
  <c r="N71" i="11"/>
  <c r="O65" i="11" s="1"/>
  <c r="I19" i="3"/>
  <c r="H14" i="3"/>
  <c r="I18" i="3"/>
  <c r="O91" i="9"/>
  <c r="N100" i="9"/>
  <c r="O98" i="9" s="1"/>
  <c r="N17" i="8"/>
  <c r="O15" i="8" s="1"/>
  <c r="N150" i="9"/>
  <c r="O144" i="9" s="1"/>
  <c r="N41" i="9"/>
  <c r="N49" i="9" s="1"/>
  <c r="O113" i="9"/>
  <c r="O183" i="9"/>
  <c r="O90" i="9"/>
  <c r="O118" i="9"/>
  <c r="N59" i="11"/>
  <c r="O57" i="11" s="1"/>
  <c r="N31" i="11"/>
  <c r="O29" i="11" s="1"/>
  <c r="N16" i="10"/>
  <c r="O14" i="10" s="1"/>
  <c r="N39" i="10"/>
  <c r="O37" i="10" s="1"/>
  <c r="N41" i="11"/>
  <c r="O88" i="11"/>
  <c r="N54" i="11"/>
  <c r="O52" i="11" s="1"/>
  <c r="N24" i="10"/>
  <c r="N49" i="11"/>
  <c r="O47" i="11" s="1"/>
  <c r="N98" i="11"/>
  <c r="O104" i="9"/>
  <c r="N84" i="11"/>
  <c r="O82" i="11" s="1"/>
  <c r="N26" i="11"/>
  <c r="O24" i="11" s="1"/>
  <c r="O14" i="11"/>
  <c r="N36" i="11"/>
  <c r="O34" i="11" s="1"/>
  <c r="N29" i="10"/>
  <c r="O27" i="10" s="1"/>
  <c r="N34" i="10"/>
  <c r="N68" i="9"/>
  <c r="N74" i="9"/>
  <c r="O72" i="9" s="1"/>
  <c r="N171" i="9"/>
  <c r="O169" i="9" s="1"/>
  <c r="N164" i="9"/>
  <c r="N131" i="9"/>
  <c r="O129" i="9" s="1"/>
  <c r="N136" i="9"/>
  <c r="O134" i="9" s="1"/>
  <c r="N125" i="9"/>
  <c r="N108" i="9"/>
  <c r="O106" i="9" s="1"/>
  <c r="O82" i="9"/>
  <c r="N79" i="9"/>
  <c r="N17" i="9"/>
  <c r="O30" i="9"/>
  <c r="N25" i="8"/>
  <c r="O31" i="8"/>
  <c r="O36" i="8"/>
  <c r="N21" i="1"/>
  <c r="J208" i="3"/>
  <c r="D18" i="106" l="1"/>
  <c r="O66" i="11"/>
  <c r="O18" i="106"/>
  <c r="O134" i="106" s="1"/>
  <c r="L18" i="106"/>
  <c r="L134" i="106" s="1"/>
  <c r="N18" i="106"/>
  <c r="N134" i="106" s="1"/>
  <c r="K18" i="106"/>
  <c r="K134" i="106" s="1"/>
  <c r="M18" i="106"/>
  <c r="X21" i="106"/>
  <c r="N92" i="11"/>
  <c r="O78" i="11" s="1"/>
  <c r="I15" i="3"/>
  <c r="N34" i="9"/>
  <c r="O27" i="9" s="1"/>
  <c r="O14" i="8"/>
  <c r="N19" i="8"/>
  <c r="O17" i="8" s="1"/>
  <c r="O39" i="11"/>
  <c r="N43" i="11"/>
  <c r="O21" i="11" s="1"/>
  <c r="O142" i="9"/>
  <c r="N173" i="9"/>
  <c r="O157" i="9" s="1"/>
  <c r="O143" i="9"/>
  <c r="O145" i="9"/>
  <c r="O42" i="8"/>
  <c r="O38" i="9"/>
  <c r="O112" i="9"/>
  <c r="N46" i="8"/>
  <c r="O44" i="8" s="1"/>
  <c r="O41" i="8"/>
  <c r="N61" i="11"/>
  <c r="O59" i="11" s="1"/>
  <c r="O22" i="10"/>
  <c r="N41" i="10"/>
  <c r="O34" i="10" s="1"/>
  <c r="N138" i="9"/>
  <c r="O131" i="9" s="1"/>
  <c r="N86" i="9"/>
  <c r="O79" i="9" s="1"/>
  <c r="O146" i="9"/>
  <c r="O39" i="9"/>
  <c r="O186" i="9"/>
  <c r="O66" i="9"/>
  <c r="O96" i="11"/>
  <c r="O184" i="9"/>
  <c r="O162" i="9"/>
  <c r="O69" i="11"/>
  <c r="O44" i="9"/>
  <c r="N100" i="11"/>
  <c r="O68" i="11"/>
  <c r="O147" i="9"/>
  <c r="O161" i="9"/>
  <c r="N18" i="10"/>
  <c r="O16" i="10" s="1"/>
  <c r="O148" i="9"/>
  <c r="O93" i="9"/>
  <c r="O123" i="9"/>
  <c r="O67" i="11"/>
  <c r="O168" i="9"/>
  <c r="O32" i="10"/>
  <c r="O128" i="9"/>
  <c r="O71" i="9"/>
  <c r="O65" i="9"/>
  <c r="O77" i="9"/>
  <c r="O14" i="9"/>
  <c r="N27" i="8"/>
  <c r="O25" i="8" s="1"/>
  <c r="O23" i="8"/>
  <c r="O14" i="1"/>
  <c r="O19" i="1"/>
  <c r="O16" i="1"/>
  <c r="O15" i="1"/>
  <c r="O17" i="1"/>
  <c r="O18" i="1"/>
  <c r="X18" i="106" l="1"/>
  <c r="O71" i="11"/>
  <c r="O22" i="9"/>
  <c r="N102" i="11"/>
  <c r="N190" i="9"/>
  <c r="O47" i="9"/>
  <c r="O54" i="11"/>
  <c r="O49" i="11"/>
  <c r="O38" i="8"/>
  <c r="O33" i="8"/>
  <c r="O164" i="9"/>
  <c r="O26" i="11"/>
  <c r="O24" i="10"/>
  <c r="O39" i="10"/>
  <c r="O74" i="9"/>
  <c r="O32" i="9"/>
  <c r="O90" i="11"/>
  <c r="O29" i="10"/>
  <c r="O84" i="11"/>
  <c r="O136" i="9"/>
  <c r="O41" i="11"/>
  <c r="O125" i="9"/>
  <c r="O31" i="11"/>
  <c r="O41" i="9"/>
  <c r="O36" i="11"/>
  <c r="O68" i="9"/>
  <c r="O120" i="9"/>
  <c r="O84" i="9"/>
  <c r="O62" i="9"/>
  <c r="O56" i="9"/>
  <c r="O16" i="11"/>
  <c r="O115" i="9"/>
  <c r="O150" i="9"/>
  <c r="O171" i="9"/>
  <c r="O17" i="9"/>
  <c r="O98" i="11"/>
  <c r="N43" i="10"/>
  <c r="N48" i="8"/>
  <c r="O49" i="9" l="1"/>
  <c r="O138" i="9"/>
  <c r="O18" i="10"/>
  <c r="O34" i="9"/>
  <c r="O92" i="11"/>
  <c r="O188" i="9"/>
  <c r="O86" i="9"/>
  <c r="O173" i="9"/>
  <c r="O46" i="8"/>
  <c r="O19" i="8"/>
  <c r="O27" i="8"/>
  <c r="O43" i="11"/>
  <c r="O61" i="11"/>
  <c r="O41" i="10"/>
  <c r="O100" i="9"/>
  <c r="O108" i="9"/>
  <c r="O100" i="11"/>
  <c r="I16" i="3" l="1"/>
  <c r="N29" i="1" l="1"/>
  <c r="N31" i="1" l="1"/>
  <c r="O29" i="1"/>
  <c r="N24" i="1" l="1"/>
  <c r="N26" i="1" l="1"/>
  <c r="N33" i="1" s="1"/>
  <c r="O24" i="1" l="1"/>
  <c r="N35" i="1" l="1"/>
  <c r="H10" i="3" s="1"/>
  <c r="D9" i="106" s="1"/>
  <c r="F9" i="106" l="1"/>
  <c r="O21" i="1"/>
  <c r="O31" i="1"/>
  <c r="O33" i="1"/>
  <c r="O26" i="1"/>
  <c r="X9" i="106" l="1"/>
  <c r="G73" i="3"/>
  <c r="F73" i="3"/>
  <c r="H73" i="3" l="1"/>
  <c r="D95" i="106" s="1"/>
  <c r="M95" i="106" s="1"/>
  <c r="M134" i="106" s="1"/>
  <c r="X95" i="106" l="1"/>
  <c r="K19" i="86"/>
  <c r="K21" i="86" s="1"/>
  <c r="F83" i="3" s="1"/>
  <c r="M19" i="86"/>
  <c r="M21" i="86" s="1"/>
  <c r="G83" i="3" l="1"/>
  <c r="N13" i="86" l="1"/>
  <c r="N15" i="86" l="1"/>
  <c r="O13" i="86" s="1"/>
  <c r="N17" i="86" l="1"/>
  <c r="O15" i="86" s="1"/>
  <c r="N19" i="86" l="1"/>
  <c r="O17" i="86" l="1"/>
  <c r="N21" i="86"/>
  <c r="H83" i="3" l="1"/>
  <c r="D131" i="106" s="1"/>
  <c r="P131" i="106" l="1"/>
  <c r="P134" i="106" s="1"/>
  <c r="Q131" i="106"/>
  <c r="Q134" i="106" s="1"/>
  <c r="H74" i="3"/>
  <c r="X131" i="106" l="1"/>
  <c r="I83" i="3"/>
  <c r="I79" i="3"/>
  <c r="I82" i="3"/>
  <c r="I78" i="3"/>
  <c r="I80" i="3"/>
  <c r="I81" i="3"/>
  <c r="I76" i="3"/>
  <c r="I75" i="3"/>
  <c r="I77" i="3"/>
  <c r="L75" i="64"/>
  <c r="M75" i="64" s="1"/>
  <c r="N75" i="64"/>
  <c r="N73" i="64"/>
  <c r="N74" i="64"/>
  <c r="L74" i="64"/>
  <c r="M74" i="64" s="1"/>
  <c r="L73" i="64"/>
  <c r="M73" i="64" s="1"/>
  <c r="N90" i="64" l="1"/>
  <c r="M99" i="64"/>
  <c r="M101" i="64" s="1"/>
  <c r="N101" i="64" s="1"/>
  <c r="O79" i="64"/>
  <c r="O81" i="64"/>
  <c r="O88" i="64"/>
  <c r="O86" i="64"/>
  <c r="O74" i="64"/>
  <c r="O85" i="64"/>
  <c r="O82" i="64"/>
  <c r="O72" i="64"/>
  <c r="N97" i="64"/>
  <c r="O90" i="64" s="1"/>
  <c r="O84" i="64"/>
  <c r="O70" i="64"/>
  <c r="O80" i="64"/>
  <c r="O77" i="64"/>
  <c r="O76" i="64"/>
  <c r="O78" i="64"/>
  <c r="O83" i="64"/>
  <c r="O71" i="64"/>
  <c r="O87" i="64"/>
  <c r="O75" i="64"/>
  <c r="O73" i="64"/>
  <c r="G72" i="3" l="1"/>
  <c r="H72" i="3"/>
  <c r="D84" i="106" s="1"/>
  <c r="N99" i="64"/>
  <c r="O97" i="64" s="1"/>
  <c r="O67" i="64"/>
  <c r="O95" i="64"/>
  <c r="O60" i="64"/>
  <c r="F84" i="106" l="1"/>
  <c r="F134" i="106" s="1"/>
  <c r="G84" i="106"/>
  <c r="G134" i="106" s="1"/>
  <c r="O19" i="64"/>
  <c r="O27" i="64"/>
  <c r="O44" i="64"/>
  <c r="O52" i="64"/>
  <c r="H47" i="3"/>
  <c r="X84" i="106" l="1"/>
  <c r="I72" i="3"/>
  <c r="I50" i="3"/>
  <c r="I60" i="3"/>
  <c r="I59" i="3"/>
  <c r="I54" i="3"/>
  <c r="I53" i="3"/>
  <c r="I65" i="3"/>
  <c r="I73" i="3"/>
  <c r="I69" i="3"/>
  <c r="I63" i="3"/>
  <c r="I64" i="3"/>
  <c r="I57" i="3"/>
  <c r="I52" i="3"/>
  <c r="I71" i="3"/>
  <c r="I56" i="3"/>
  <c r="I49" i="3"/>
  <c r="I62" i="3"/>
  <c r="I61" i="3"/>
  <c r="I68" i="3"/>
  <c r="I67" i="3"/>
  <c r="I55" i="3"/>
  <c r="I51" i="3"/>
  <c r="I66" i="3"/>
  <c r="I48" i="3"/>
  <c r="I58" i="3"/>
  <c r="I70" i="3"/>
  <c r="N92" i="38" l="1"/>
  <c r="M92" i="38"/>
  <c r="M118" i="38"/>
  <c r="M120" i="38" s="1"/>
  <c r="G21" i="3" s="1"/>
  <c r="K92" i="38"/>
  <c r="K118" i="38"/>
  <c r="K120" i="38" s="1"/>
  <c r="N95" i="38" l="1"/>
  <c r="F21" i="3"/>
  <c r="N120" i="38"/>
  <c r="O93" i="38" l="1"/>
  <c r="N108" i="38"/>
  <c r="O92" i="38"/>
  <c r="H21" i="3"/>
  <c r="O106" i="38" l="1"/>
  <c r="O101" i="38"/>
  <c r="N118" i="38"/>
  <c r="O95" i="38"/>
  <c r="H20" i="3"/>
  <c r="H95" i="3" s="1"/>
  <c r="I47" i="3" l="1"/>
  <c r="D24" i="106"/>
  <c r="H24" i="106" s="1"/>
  <c r="H134" i="106" s="1"/>
  <c r="I21" i="3"/>
  <c r="O88" i="38"/>
  <c r="O80" i="38"/>
  <c r="O29" i="38"/>
  <c r="O66" i="38"/>
  <c r="O116" i="38"/>
  <c r="O108" i="38"/>
  <c r="I22" i="3"/>
  <c r="F136" i="106" l="1"/>
  <c r="G136" i="106" s="1"/>
  <c r="H136" i="106" s="1"/>
  <c r="D134" i="106"/>
  <c r="I26" i="3"/>
  <c r="O153" i="59"/>
  <c r="I38" i="3"/>
  <c r="O144" i="114"/>
  <c r="O144" i="79"/>
  <c r="O53" i="119"/>
  <c r="I29" i="3"/>
  <c r="O31" i="124"/>
  <c r="O148" i="110"/>
  <c r="O21" i="77"/>
  <c r="O41" i="108"/>
  <c r="O21" i="120"/>
  <c r="O31" i="126"/>
  <c r="O101" i="64"/>
  <c r="O57" i="50"/>
  <c r="O45" i="10"/>
  <c r="O31" i="122"/>
  <c r="O86" i="118"/>
  <c r="O31" i="97"/>
  <c r="O59" i="111"/>
  <c r="O31" i="99"/>
  <c r="O120" i="123"/>
  <c r="O104" i="11"/>
  <c r="O22" i="66"/>
  <c r="I14" i="3"/>
  <c r="I84" i="3"/>
  <c r="O86" i="84"/>
  <c r="O153" i="107"/>
  <c r="O120" i="104"/>
  <c r="O159" i="113"/>
  <c r="O153" i="87"/>
  <c r="O31" i="35"/>
  <c r="I32" i="3"/>
  <c r="O31" i="103"/>
  <c r="O120" i="100"/>
  <c r="I11" i="3"/>
  <c r="O31" i="101"/>
  <c r="I41" i="3"/>
  <c r="O68" i="116"/>
  <c r="I12" i="3"/>
  <c r="I74" i="3"/>
  <c r="O41" i="58"/>
  <c r="O168" i="61"/>
  <c r="O138" i="49"/>
  <c r="O266" i="115"/>
  <c r="O116" i="65"/>
  <c r="O120" i="121"/>
  <c r="I10" i="3"/>
  <c r="O57" i="112"/>
  <c r="O59" i="54"/>
  <c r="O192" i="9"/>
  <c r="O29" i="52"/>
  <c r="O57" i="78"/>
  <c r="O178" i="53"/>
  <c r="O66" i="117"/>
  <c r="O53" i="85"/>
  <c r="O120" i="102"/>
  <c r="O95" i="51"/>
  <c r="O120" i="98"/>
  <c r="O50" i="8"/>
  <c r="O63" i="56"/>
  <c r="O120" i="96"/>
  <c r="O35" i="1"/>
  <c r="O66" i="83"/>
  <c r="I23" i="3"/>
  <c r="I44" i="3"/>
  <c r="O41" i="94"/>
  <c r="O159" i="80"/>
  <c r="O162" i="57"/>
  <c r="O120" i="125"/>
  <c r="I35" i="3"/>
  <c r="O266" i="81"/>
  <c r="O204" i="63"/>
  <c r="O68" i="82"/>
  <c r="I17" i="3"/>
  <c r="K40" i="43"/>
  <c r="O62" i="76"/>
  <c r="O21" i="86"/>
  <c r="O148" i="55"/>
  <c r="O31" i="105"/>
  <c r="O33" i="62"/>
  <c r="O41" i="95"/>
  <c r="O19" i="41"/>
  <c r="O120" i="38"/>
  <c r="I20" i="3"/>
  <c r="X24" i="106" l="1"/>
  <c r="X134" i="106" s="1"/>
  <c r="I136" i="106"/>
  <c r="J136" i="106" s="1"/>
  <c r="I95" i="3"/>
  <c r="L10" i="3"/>
  <c r="K136" i="106" l="1"/>
  <c r="L136" i="106" s="1"/>
  <c r="M136" i="106" s="1"/>
  <c r="N136" i="106" s="1"/>
  <c r="O136" i="106" s="1"/>
  <c r="P136" i="106" s="1"/>
  <c r="Q136" i="106" s="1"/>
  <c r="R136" i="106" s="1"/>
  <c r="S136" i="106" s="1"/>
  <c r="T136" i="106" s="1"/>
  <c r="U136" i="106" s="1"/>
  <c r="V136" i="106" s="1"/>
  <c r="W136" i="106" s="1"/>
  <c r="X136" i="106" s="1"/>
  <c r="T135" i="106" l="1"/>
  <c r="W135" i="106"/>
  <c r="S135" i="106"/>
  <c r="V135" i="106"/>
  <c r="R135" i="106"/>
  <c r="Q135" i="106"/>
  <c r="U135" i="106"/>
  <c r="I135" i="106"/>
  <c r="H135" i="106"/>
  <c r="G135" i="106"/>
  <c r="J135" i="106"/>
  <c r="N135" i="106"/>
  <c r="M135" i="106"/>
  <c r="P135" i="106"/>
  <c r="O135" i="106"/>
  <c r="L135" i="106"/>
  <c r="F135" i="106"/>
  <c r="K135" i="106"/>
  <c r="F137" i="106" l="1"/>
  <c r="G137" i="106" s="1"/>
  <c r="H137" i="106" s="1"/>
  <c r="I137" i="106" s="1"/>
  <c r="J137" i="106" s="1"/>
  <c r="K137" i="106" s="1"/>
  <c r="L137" i="106" s="1"/>
  <c r="M137" i="106" s="1"/>
  <c r="N137" i="106" s="1"/>
  <c r="O137" i="106" s="1"/>
  <c r="P137" i="106" s="1"/>
  <c r="Q137" i="106" s="1"/>
  <c r="R137" i="106" s="1"/>
  <c r="S137" i="106" s="1"/>
  <c r="T137" i="106" s="1"/>
  <c r="U137" i="106" s="1"/>
  <c r="V137" i="106" s="1"/>
  <c r="W137" i="106" s="1"/>
  <c r="X137" i="106" s="1"/>
  <c r="X135" i="106"/>
</calcChain>
</file>

<file path=xl/sharedStrings.xml><?xml version="1.0" encoding="utf-8"?>
<sst xmlns="http://schemas.openxmlformats.org/spreadsheetml/2006/main" count="8920" uniqueCount="1439">
  <si>
    <t>Mun./Loc.:</t>
  </si>
  <si>
    <t>Data:</t>
  </si>
  <si>
    <t>Obra:</t>
  </si>
  <si>
    <t>Nº Área:</t>
  </si>
  <si>
    <t>Área Resp.:</t>
  </si>
  <si>
    <t>Nº USAQ:</t>
  </si>
  <si>
    <t>Nº U.C.:</t>
  </si>
  <si>
    <t>Recurso:</t>
  </si>
  <si>
    <t>Ud. Const.:</t>
  </si>
  <si>
    <t>Referência:</t>
  </si>
  <si>
    <t>Descrição</t>
  </si>
  <si>
    <t>Ud</t>
  </si>
  <si>
    <t>Qtde.</t>
  </si>
  <si>
    <t>Unitário</t>
  </si>
  <si>
    <t>Total (R$)</t>
  </si>
  <si>
    <t>%</t>
  </si>
  <si>
    <t>SERVIÇOS TÉCNICOS</t>
  </si>
  <si>
    <t>m</t>
  </si>
  <si>
    <t>Total do Bloco</t>
  </si>
  <si>
    <t>CADASTRO DE OBRAS</t>
  </si>
  <si>
    <t>Total do Módulo</t>
  </si>
  <si>
    <t>ATERRO/REATERRO EM VALAS E CAVAS</t>
  </si>
  <si>
    <t>ESCORAMENTO</t>
  </si>
  <si>
    <t>ESCORAMENTO DE MADEIRA</t>
  </si>
  <si>
    <t>ud</t>
  </si>
  <si>
    <t>TUBO DE QUEDA (TQ)</t>
  </si>
  <si>
    <t>EMBASAMENTO</t>
  </si>
  <si>
    <t>PAVIMENTAÇÃO</t>
  </si>
  <si>
    <t>Piso de concreto desempenado</t>
  </si>
  <si>
    <t>MATERIAL DE PVC - ESGOTO</t>
  </si>
  <si>
    <t>TOTAL DA UNIDADE</t>
  </si>
  <si>
    <t>m²</t>
  </si>
  <si>
    <t>m³</t>
  </si>
  <si>
    <t>RETIRADA DE PAVIMENTOS, GUIAS E SARJETAS</t>
  </si>
  <si>
    <t>CURVA PVC</t>
  </si>
  <si>
    <t>TE PVC</t>
  </si>
  <si>
    <t>TUBO PVC</t>
  </si>
  <si>
    <t>U.C. : 01</t>
  </si>
  <si>
    <t>U.C. : 02</t>
  </si>
  <si>
    <t>SISTEMA DE ORÇAMENTO DE OBRAS</t>
  </si>
  <si>
    <t>ADMINISTRAÇÃO LOCAL DA OBRA</t>
  </si>
  <si>
    <t>PLACA DE OBRA</t>
  </si>
  <si>
    <t>ABASTECIMENTO DE ENERGIA ELÉTRICA</t>
  </si>
  <si>
    <t>ABASTECIMENTO DE ÁGUA</t>
  </si>
  <si>
    <t>Entrada provisória de água</t>
  </si>
  <si>
    <t>CANTEIRO DE OBRAS</t>
  </si>
  <si>
    <t>01</t>
  </si>
  <si>
    <t>CONSTRUÇÃO DO CANTEIRO</t>
  </si>
  <si>
    <t>02</t>
  </si>
  <si>
    <t>03</t>
  </si>
  <si>
    <t>0101</t>
  </si>
  <si>
    <t>010101</t>
  </si>
  <si>
    <t>Escritório</t>
  </si>
  <si>
    <t>Refeitório</t>
  </si>
  <si>
    <t>Barracão fechado para materiais</t>
  </si>
  <si>
    <t>Barracão aberto</t>
  </si>
  <si>
    <t>Sanitário isolado</t>
  </si>
  <si>
    <t>Chuveiro isolado</t>
  </si>
  <si>
    <t>010103</t>
  </si>
  <si>
    <t>010104</t>
  </si>
  <si>
    <t>010105</t>
  </si>
  <si>
    <t>010106</t>
  </si>
  <si>
    <t>010107</t>
  </si>
  <si>
    <t>0102</t>
  </si>
  <si>
    <t>0103</t>
  </si>
  <si>
    <t>010201</t>
  </si>
  <si>
    <t>Entrada provisória de energia trifásica 70A</t>
  </si>
  <si>
    <t>010301</t>
  </si>
  <si>
    <t>0105</t>
  </si>
  <si>
    <t>Em chapa preta</t>
  </si>
  <si>
    <t>010501</t>
  </si>
  <si>
    <t>MATERIAL DE CONCRETO</t>
  </si>
  <si>
    <t>TAMPA / COPO DE CONCRETO</t>
  </si>
  <si>
    <t>Tampa/copo de concreto DN 150</t>
  </si>
  <si>
    <t>TAMPÃO FD</t>
  </si>
  <si>
    <t>MATERIAL DE FERRO DÚCTIL - ESGOTO</t>
  </si>
  <si>
    <t>Curva PVC 90º JE/JEI PB coletor de esgoto DN 150</t>
  </si>
  <si>
    <t>Te PVC JE/JEI BBB coletor de esgoto DN 150</t>
  </si>
  <si>
    <t>Tubo PVC JEI coletor de esgoto parede maciça NBR 7362-2 DN 150</t>
  </si>
  <si>
    <t>0201</t>
  </si>
  <si>
    <t>TOPOGRAFIA E GEODÉSIA - SERVIÇOS</t>
  </si>
  <si>
    <t>Cadastro linear de esgoto - CAD</t>
  </si>
  <si>
    <t>0207</t>
  </si>
  <si>
    <t>020702</t>
  </si>
  <si>
    <t>0305</t>
  </si>
  <si>
    <t>030501</t>
  </si>
  <si>
    <t>SERVIÇOS PRELIMINARES</t>
  </si>
  <si>
    <t>SINALIZAÇÃO DE SEGURANÇA</t>
  </si>
  <si>
    <t>Fita plástica</t>
  </si>
  <si>
    <t>0306</t>
  </si>
  <si>
    <t>030601</t>
  </si>
  <si>
    <t>030602</t>
  </si>
  <si>
    <t>SINALIZAÇÃO DE TRÂNSITO</t>
  </si>
  <si>
    <t>04</t>
  </si>
  <si>
    <t>0401</t>
  </si>
  <si>
    <t>040109</t>
  </si>
  <si>
    <t>MOVIMENTO DE SOLOS</t>
  </si>
  <si>
    <t>ESCAVAÇÃO MANUAL DE VALAS</t>
  </si>
  <si>
    <t>0402</t>
  </si>
  <si>
    <t>040201</t>
  </si>
  <si>
    <t>ESCAVAÇÃO MECÂNICA DE VALAS EM QUALQUER TIPO DE SOLO, EXCETO ROCHA</t>
  </si>
  <si>
    <t>0413</t>
  </si>
  <si>
    <t>041301</t>
  </si>
  <si>
    <t>041302</t>
  </si>
  <si>
    <t>Manual</t>
  </si>
  <si>
    <t>Mecânico</t>
  </si>
  <si>
    <t>0414</t>
  </si>
  <si>
    <t>041401</t>
  </si>
  <si>
    <t>041402</t>
  </si>
  <si>
    <t>COMPACTAÇÃO EM VALAS</t>
  </si>
  <si>
    <t>0418</t>
  </si>
  <si>
    <t>041801</t>
  </si>
  <si>
    <t>CARGA E DESCARGA DE SOLOS</t>
  </si>
  <si>
    <t>Qualquer tipo de solo exceto rocha</t>
  </si>
  <si>
    <t>0419</t>
  </si>
  <si>
    <t>041901</t>
  </si>
  <si>
    <t>Qualquer tipo de solo exceto rocha, em rodovia ou rua</t>
  </si>
  <si>
    <t>05</t>
  </si>
  <si>
    <t>0501</t>
  </si>
  <si>
    <t>050101</t>
  </si>
  <si>
    <t>Pontalete</t>
  </si>
  <si>
    <t>ESGOTAMENTO</t>
  </si>
  <si>
    <t>ESGOTAMENTO COM BOMBAS</t>
  </si>
  <si>
    <t>h</t>
  </si>
  <si>
    <t>06</t>
  </si>
  <si>
    <t>0601</t>
  </si>
  <si>
    <t>060101</t>
  </si>
  <si>
    <t>09</t>
  </si>
  <si>
    <t>0902</t>
  </si>
  <si>
    <t>090202</t>
  </si>
  <si>
    <t>ASSENTAMENTOS</t>
  </si>
  <si>
    <t>TUBULAÇÃO DE PVC JE / JEI PARA ESGOTO</t>
  </si>
  <si>
    <t>DN 150</t>
  </si>
  <si>
    <t>0913</t>
  </si>
  <si>
    <t>091302</t>
  </si>
  <si>
    <t>TERMINAL DE LIMPEZA (TL)</t>
  </si>
  <si>
    <t>PVC JE DN 150</t>
  </si>
  <si>
    <t>0914</t>
  </si>
  <si>
    <t>091402</t>
  </si>
  <si>
    <t>0917</t>
  </si>
  <si>
    <t>091701</t>
  </si>
  <si>
    <t>091702</t>
  </si>
  <si>
    <t>POÇO DE VISITA TIPO C - DN 800</t>
  </si>
  <si>
    <t>Com profundidade até 1,00 m</t>
  </si>
  <si>
    <t>Acréscimo para prof. Superior a 1,00 m</t>
  </si>
  <si>
    <t>0927</t>
  </si>
  <si>
    <t>092702</t>
  </si>
  <si>
    <t>Areia</t>
  </si>
  <si>
    <t>10</t>
  </si>
  <si>
    <t>1001</t>
  </si>
  <si>
    <t>100110</t>
  </si>
  <si>
    <t>100114</t>
  </si>
  <si>
    <t>100115</t>
  </si>
  <si>
    <t>100121</t>
  </si>
  <si>
    <t>100123</t>
  </si>
  <si>
    <t>Grama</t>
  </si>
  <si>
    <t>Anti-pó</t>
  </si>
  <si>
    <t>Guia-sarjeta de concreto pré-moldada</t>
  </si>
  <si>
    <t>Corte de pavimento com disco</t>
  </si>
  <si>
    <t>1004</t>
  </si>
  <si>
    <t>100408</t>
  </si>
  <si>
    <t>100411</t>
  </si>
  <si>
    <t xml:space="preserve">RECOMPOSIÇÃO DE PAVIMENTOS, GUIAS E SARJETAS COM </t>
  </si>
  <si>
    <t>REAPROVEITAMENTO PARCIAL DO MATERIAL</t>
  </si>
  <si>
    <t>1005</t>
  </si>
  <si>
    <t>100501</t>
  </si>
  <si>
    <t>100505</t>
  </si>
  <si>
    <t>REAPROVEITAMENTO DO MATERIAL</t>
  </si>
  <si>
    <t>Concreto betuminoso usinado a quente (CBUQ)</t>
  </si>
  <si>
    <t>16</t>
  </si>
  <si>
    <t>1620</t>
  </si>
  <si>
    <t>162004</t>
  </si>
  <si>
    <t>SERVIÇOS DIVERSOS</t>
  </si>
  <si>
    <t>LIMPEZA DE OBRA</t>
  </si>
  <si>
    <t>Lavagem de rede de esgoto</t>
  </si>
  <si>
    <t>Te Red PVC JE/JEI BBB coletor de esgoto DN 150 100</t>
  </si>
  <si>
    <t>TIL PVC</t>
  </si>
  <si>
    <t>Til de Ligação predial  PVC JE/JEI BBB DN 100</t>
  </si>
  <si>
    <t>Curva PVC 90º JE/JEI PB coletor de esgoto DN 100</t>
  </si>
  <si>
    <t>Tubo PVC JEI coletor de esgoto parede maciça NBR 7362-2 DN 100</t>
  </si>
  <si>
    <t>m³xkm</t>
  </si>
  <si>
    <t>090201</t>
  </si>
  <si>
    <t>DN 100</t>
  </si>
  <si>
    <t>0912</t>
  </si>
  <si>
    <t>091201</t>
  </si>
  <si>
    <t>TUBO DE INSPEÇÃO E LIMPEZA (TIL) PARA LIGAÇÃO PREDIAL</t>
  </si>
  <si>
    <t>PVC JE DN 100 X 100</t>
  </si>
  <si>
    <t>162001</t>
  </si>
  <si>
    <t>Obra linear - raspagem e varição</t>
  </si>
  <si>
    <t>Moto bomba</t>
  </si>
  <si>
    <t>U.C. : 03</t>
  </si>
  <si>
    <t>U.C. : 04</t>
  </si>
  <si>
    <t>U.C. : 05</t>
  </si>
  <si>
    <t>Relatório Por U.C.</t>
  </si>
  <si>
    <t>BDI Aplicado</t>
  </si>
  <si>
    <t>Serviços</t>
  </si>
  <si>
    <t>Mat/Equip:</t>
  </si>
  <si>
    <t>REDE COLETORA DE ESGOTOS</t>
  </si>
  <si>
    <t>SISTEMA DE ESGOTAMENTO SANITARIO - SES</t>
  </si>
  <si>
    <t>REDE COLETORA - MATERIAIS</t>
  </si>
  <si>
    <t>REDE COLETORA - SERVIÇOS</t>
  </si>
  <si>
    <t>LIGAÇÕES PREDIAIS - MATERIAIS</t>
  </si>
  <si>
    <t>LIGAÇÕES PREDIAIS  - SERVIÇOS</t>
  </si>
  <si>
    <t>EMISSARIO - MATERIAIS</t>
  </si>
  <si>
    <t>EMISSARIO- SERVIÇOS</t>
  </si>
  <si>
    <t>Tubo PVC JEI coletor de esgoto parede maciça NBR 7362-2 DN 200</t>
  </si>
  <si>
    <t>DN 200</t>
  </si>
  <si>
    <t>090203</t>
  </si>
  <si>
    <t>FUNASA</t>
  </si>
  <si>
    <t>020137</t>
  </si>
  <si>
    <t>Locação e nivelamento para assentamento de tubulação de esgoto</t>
  </si>
  <si>
    <t>(Ordem de serviço para execução - OSE)</t>
  </si>
  <si>
    <t>Mão de Obra</t>
  </si>
  <si>
    <t>Materiais</t>
  </si>
  <si>
    <t>030504</t>
  </si>
  <si>
    <t>Tapume em tela plástica</t>
  </si>
  <si>
    <t>Placa de advertência 1,00 x 1,00m</t>
  </si>
  <si>
    <t>1610</t>
  </si>
  <si>
    <t>SERVIÇO EM FOSSA</t>
  </si>
  <si>
    <t>161001</t>
  </si>
  <si>
    <t>161002</t>
  </si>
  <si>
    <t>Esgotamento</t>
  </si>
  <si>
    <t>Travessia</t>
  </si>
  <si>
    <t>Obra linear - raspagem e varrição</t>
  </si>
  <si>
    <t>050102</t>
  </si>
  <si>
    <t>Descontínuo</t>
  </si>
  <si>
    <t>Placa de advertência 1,00 x 2,00m</t>
  </si>
  <si>
    <t>Profundidade 0 m &lt; h ≤ 2 m</t>
  </si>
  <si>
    <t xml:space="preserve">Em terra compacta, prof. 0 m &lt; h ≤ 1 m </t>
  </si>
  <si>
    <t xml:space="preserve">Profundidade 0 m &lt; h ≤ 2 m </t>
  </si>
  <si>
    <t>INTERCEPTOR - MATERIAIS</t>
  </si>
  <si>
    <t>INTERCEPTOR - SERVIÇOS</t>
  </si>
  <si>
    <t>040202</t>
  </si>
  <si>
    <t>Setor de compras</t>
  </si>
  <si>
    <t>Setor de produção</t>
  </si>
  <si>
    <t>Serviços gerais</t>
  </si>
  <si>
    <t>Locação de Veículos e Equipamentos</t>
  </si>
  <si>
    <t>mês</t>
  </si>
  <si>
    <t>DESPESAS GERAIS DA OBRA</t>
  </si>
  <si>
    <t>Consumos / despesas diversas</t>
  </si>
  <si>
    <t>Água / esgoto</t>
  </si>
  <si>
    <t>100107</t>
  </si>
  <si>
    <t>Lajota sextavada de concreto</t>
  </si>
  <si>
    <t>100109</t>
  </si>
  <si>
    <t>1003</t>
  </si>
  <si>
    <t>REAPROVEITAMENTO TOTAL DO MATERIAL</t>
  </si>
  <si>
    <t>100301</t>
  </si>
  <si>
    <t>Bloco de concreto tipo Paver</t>
  </si>
  <si>
    <t>100307</t>
  </si>
  <si>
    <t>Valor Unitário</t>
  </si>
  <si>
    <t>Coef.</t>
  </si>
  <si>
    <t>Limpeza / higiene</t>
  </si>
  <si>
    <t>Conta de telefone</t>
  </si>
  <si>
    <t>Vale refeição</t>
  </si>
  <si>
    <t>Vale transporte</t>
  </si>
  <si>
    <t>Combustíveis / óleo</t>
  </si>
  <si>
    <t>Veículo leve</t>
  </si>
  <si>
    <t>TOTAL MENSAL</t>
  </si>
  <si>
    <t>A.L.O. MENSAL COM BDI</t>
  </si>
  <si>
    <t>PERÍODO DE EXECUÇÃO</t>
  </si>
  <si>
    <t>Tampa de concreto para PV ou caixa de inspeção, dimensões 600 X 600 X 50 mm</t>
  </si>
  <si>
    <t>040110</t>
  </si>
  <si>
    <t>Serv Terc:</t>
  </si>
  <si>
    <t xml:space="preserve">RECOMPOSIÇÃO DE PAVIMENTOS, GUIAS E SARJETAS SEM </t>
  </si>
  <si>
    <t>Profundidade 0 m &lt; h ≤ 4 m</t>
  </si>
  <si>
    <t>TOTAL DA UNIDADE COM BDI</t>
  </si>
  <si>
    <t>20</t>
  </si>
  <si>
    <t>2001</t>
  </si>
  <si>
    <t>22</t>
  </si>
  <si>
    <t>2233</t>
  </si>
  <si>
    <t>25</t>
  </si>
  <si>
    <t>2503</t>
  </si>
  <si>
    <t>250331</t>
  </si>
  <si>
    <t>2509</t>
  </si>
  <si>
    <t>250903</t>
  </si>
  <si>
    <t>2511</t>
  </si>
  <si>
    <t>251103</t>
  </si>
  <si>
    <t>251104</t>
  </si>
  <si>
    <t>250330</t>
  </si>
  <si>
    <t>2010</t>
  </si>
  <si>
    <t>TAMPÃO PARA POÇO DE VISITA</t>
  </si>
  <si>
    <t>TOTAL GERAL COM BDI:</t>
  </si>
  <si>
    <t>13255 *</t>
  </si>
  <si>
    <t>6251 *</t>
  </si>
  <si>
    <t>223302</t>
  </si>
  <si>
    <t>Tampão Classe 125 FD para poço de visita padrão Sanepar</t>
  </si>
  <si>
    <t>020141</t>
  </si>
  <si>
    <t>020142</t>
  </si>
  <si>
    <t>Locação da obra sem auxílio de equipamento topográfico</t>
  </si>
  <si>
    <t>0304</t>
  </si>
  <si>
    <t>030403</t>
  </si>
  <si>
    <t>0406</t>
  </si>
  <si>
    <t>ESCAVAÇÃO MANUAL, NÃO EM VALAS, EM QUALQUER TIPO DE SOLO, EXCETO ROCHA</t>
  </si>
  <si>
    <t>040601</t>
  </si>
  <si>
    <t>040602</t>
  </si>
  <si>
    <t>040701</t>
  </si>
  <si>
    <t>040702</t>
  </si>
  <si>
    <t>0412</t>
  </si>
  <si>
    <t>CONFORMAÇÃO DE TALUDES</t>
  </si>
  <si>
    <t>041201</t>
  </si>
  <si>
    <t>Conformação de taludes</t>
  </si>
  <si>
    <t>0415</t>
  </si>
  <si>
    <t>041503</t>
  </si>
  <si>
    <t>Com controle do GC - 100% PN</t>
  </si>
  <si>
    <t>0503</t>
  </si>
  <si>
    <t>ESCORAMENTO MISTO</t>
  </si>
  <si>
    <t>050301</t>
  </si>
  <si>
    <t>Tipo hamburguês</t>
  </si>
  <si>
    <t>08</t>
  </si>
  <si>
    <t>FUNDAÇÕES E ESTRUTURAS</t>
  </si>
  <si>
    <t>0801</t>
  </si>
  <si>
    <t>ESTACA MOLDADA "IN LOCO"</t>
  </si>
  <si>
    <t>080103</t>
  </si>
  <si>
    <t>Perfuração manual Ø 25 cm</t>
  </si>
  <si>
    <t>0809</t>
  </si>
  <si>
    <t>FÔRMA PARA VIGA, PILAR E PAREDE</t>
  </si>
  <si>
    <t>080916</t>
  </si>
  <si>
    <t>Plana em chapa plastificada e= 18 mm</t>
  </si>
  <si>
    <t>0810</t>
  </si>
  <si>
    <t>081004</t>
  </si>
  <si>
    <t>De madeira</t>
  </si>
  <si>
    <t>0819</t>
  </si>
  <si>
    <t>ARMADURA</t>
  </si>
  <si>
    <t>081901</t>
  </si>
  <si>
    <t>Em aço CA-50</t>
  </si>
  <si>
    <t>kg</t>
  </si>
  <si>
    <t>081902</t>
  </si>
  <si>
    <t>Em aço CA-60</t>
  </si>
  <si>
    <t>0821</t>
  </si>
  <si>
    <t>CONCRETO CONVENCIONAL</t>
  </si>
  <si>
    <t>082101</t>
  </si>
  <si>
    <t>Não estrutural</t>
  </si>
  <si>
    <t>0822</t>
  </si>
  <si>
    <t>CONCRETO USINADO</t>
  </si>
  <si>
    <t>082217</t>
  </si>
  <si>
    <t>0823</t>
  </si>
  <si>
    <t>BOMBEAMENTO DE CONCRETO</t>
  </si>
  <si>
    <t>082301</t>
  </si>
  <si>
    <t>Bombeamento de concreto usinado</t>
  </si>
  <si>
    <t>0827</t>
  </si>
  <si>
    <t>CURA DO CONCRETO</t>
  </si>
  <si>
    <t>082701</t>
  </si>
  <si>
    <t>Lâmina de água</t>
  </si>
  <si>
    <t>082702</t>
  </si>
  <si>
    <t>0830</t>
  </si>
  <si>
    <t>PROTEÇÃO E IMPERMEABILIZAÇÃO DAS ESTRUTURAS DE CONCRETO</t>
  </si>
  <si>
    <t>083004</t>
  </si>
  <si>
    <t>Impermeabilização com manta asfáltica</t>
  </si>
  <si>
    <t>0831</t>
  </si>
  <si>
    <t>083102</t>
  </si>
  <si>
    <t>Para forro, vão entre 4,01 e 5,50 metros</t>
  </si>
  <si>
    <t>Pedrisco</t>
  </si>
  <si>
    <t>092705</t>
  </si>
  <si>
    <t>Brita</t>
  </si>
  <si>
    <t>100213</t>
  </si>
  <si>
    <t>Revestimento com paralelepípedo</t>
  </si>
  <si>
    <t>100225</t>
  </si>
  <si>
    <t>100228</t>
  </si>
  <si>
    <t>110103</t>
  </si>
  <si>
    <t>110104</t>
  </si>
  <si>
    <t>Alvenaria de tijolo furado 1 vez</t>
  </si>
  <si>
    <t>ARMAÇÃO PARA COBERTURA</t>
  </si>
  <si>
    <t>110201</t>
  </si>
  <si>
    <t>Estrutura de madeira para cobertura com telhas de fibrocimento, PVC ou fibra-de-vidro</t>
  </si>
  <si>
    <t>COBERTURA</t>
  </si>
  <si>
    <t>110404</t>
  </si>
  <si>
    <t>Telha de fibrocimento ondulada - e= 8 mm</t>
  </si>
  <si>
    <t>110410</t>
  </si>
  <si>
    <t>Cumeeira de fibrocimento para telha ondulada</t>
  </si>
  <si>
    <t>ESQUADRIA DE MADEIRA</t>
  </si>
  <si>
    <t>Porta de 1 folha lisa de 0,60 x 2,10 m</t>
  </si>
  <si>
    <t>ESQUADRIA DE FERRO OU AÇO</t>
  </si>
  <si>
    <t>110601</t>
  </si>
  <si>
    <t>Porta pré-fabricada em chapa estruturada de 0,80 x 2,10 m</t>
  </si>
  <si>
    <t>110702</t>
  </si>
  <si>
    <t>Janela basculante linha 20 em alumínio anodizado</t>
  </si>
  <si>
    <t>VIDRO</t>
  </si>
  <si>
    <t>REVESTIMENTO E TRATAMENTO DE SUPERFÍCIE</t>
  </si>
  <si>
    <t>PISO, SOLEIRA E DEGRAU</t>
  </si>
  <si>
    <t>120102</t>
  </si>
  <si>
    <t>Contrapiso em concreto não estrutural</t>
  </si>
  <si>
    <t>120108</t>
  </si>
  <si>
    <t>Piso cerâmico PEI-5</t>
  </si>
  <si>
    <t>RODAPÉ</t>
  </si>
  <si>
    <t>120203</t>
  </si>
  <si>
    <t>Cerâmico</t>
  </si>
  <si>
    <t>PAREDE, TETO E BEIRAL</t>
  </si>
  <si>
    <t>120301</t>
  </si>
  <si>
    <t>Chapisco fino, traço 1:3 em parede</t>
  </si>
  <si>
    <t>120302</t>
  </si>
  <si>
    <t>Chapisco fino, traço 1:3 em teto e beiral</t>
  </si>
  <si>
    <t>120310</t>
  </si>
  <si>
    <t>Emboço, traço 1:3 em teto e beiral</t>
  </si>
  <si>
    <t>120311</t>
  </si>
  <si>
    <t>Emboço, traço 1:3 com impermeabilizante em parede</t>
  </si>
  <si>
    <t>120313</t>
  </si>
  <si>
    <t>Reboco (calfino) em parede</t>
  </si>
  <si>
    <t>120314</t>
  </si>
  <si>
    <t>Reboco (calfino) em teto e beiral</t>
  </si>
  <si>
    <t>120315</t>
  </si>
  <si>
    <t>Azulejo</t>
  </si>
  <si>
    <t>120414</t>
  </si>
  <si>
    <t>Fundo epóxi</t>
  </si>
  <si>
    <t>120417</t>
  </si>
  <si>
    <t>Látex PVA</t>
  </si>
  <si>
    <t>120603</t>
  </si>
  <si>
    <t>13</t>
  </si>
  <si>
    <t>INSTALAÇÕES PREDIAIS</t>
  </si>
  <si>
    <t>1301</t>
  </si>
  <si>
    <t>ÁGUA</t>
  </si>
  <si>
    <t>1303</t>
  </si>
  <si>
    <t>APARELHO E ACESSÓRIO HIDROSANITÁRIO</t>
  </si>
  <si>
    <t>130305</t>
  </si>
  <si>
    <t>Chuveiro elétrico plástico</t>
  </si>
  <si>
    <t>130306</t>
  </si>
  <si>
    <t>Lavatório de louça completo com coluna</t>
  </si>
  <si>
    <t>130316</t>
  </si>
  <si>
    <t>Cuba inox para laboratório</t>
  </si>
  <si>
    <t>130320</t>
  </si>
  <si>
    <t>Torneira metálica para jardim</t>
  </si>
  <si>
    <t>130321</t>
  </si>
  <si>
    <t>Torneira cromada para lavatório</t>
  </si>
  <si>
    <t>130323</t>
  </si>
  <si>
    <t>Torneira cromada para pia</t>
  </si>
  <si>
    <t>1305</t>
  </si>
  <si>
    <t>INSTALAÇÃO ELÉTRICA</t>
  </si>
  <si>
    <t>14</t>
  </si>
  <si>
    <t>INSTALAÇÕES DE PRODUÇÃO</t>
  </si>
  <si>
    <t>INSTALAÇÃO DE VÁLVULA OU REGISTRO</t>
  </si>
  <si>
    <t>140404</t>
  </si>
  <si>
    <t>Junta elástica DN 100</t>
  </si>
  <si>
    <t>140417</t>
  </si>
  <si>
    <t>Junta flangeada DN 100</t>
  </si>
  <si>
    <t>INSTALAÇÃO DE APARELHO DE MEDIÇÃO E INSTRUMENTAÇÃO</t>
  </si>
  <si>
    <t>140704</t>
  </si>
  <si>
    <t>INSTALAÇÃO DE COMPORTA SEM MECANISMO DE MANOBRA</t>
  </si>
  <si>
    <t>141001</t>
  </si>
  <si>
    <t>141002</t>
  </si>
  <si>
    <t>141003</t>
  </si>
  <si>
    <t>De alumínio</t>
  </si>
  <si>
    <t>INSTALAÇÃO DE COMPORTA COM MECANISMO DE MANOBRA</t>
  </si>
  <si>
    <t>141102</t>
  </si>
  <si>
    <t>Embutida de fibra de vidro</t>
  </si>
  <si>
    <t>CORTINA DEFLETORA DE ESCUMA</t>
  </si>
  <si>
    <t>INSTALAÇÃO DE SISTEMA DE GRADEAMENTO</t>
  </si>
  <si>
    <t>142201</t>
  </si>
  <si>
    <t>Grade de limpeza manual</t>
  </si>
  <si>
    <t>MONTAGEM DE TUBULAÇÃO</t>
  </si>
  <si>
    <t>15</t>
  </si>
  <si>
    <t>URBANIZAÇÃO</t>
  </si>
  <si>
    <t>150101</t>
  </si>
  <si>
    <t>Cerca de arame farpado com 14 fios</t>
  </si>
  <si>
    <t>150106</t>
  </si>
  <si>
    <t>PAISAGISMO</t>
  </si>
  <si>
    <t>150201</t>
  </si>
  <si>
    <t>Plantio de grama em leiva</t>
  </si>
  <si>
    <t>150203</t>
  </si>
  <si>
    <t>Plantio de árvore - altura até 1,00 m</t>
  </si>
  <si>
    <t>1503</t>
  </si>
  <si>
    <t>DRENAGEM</t>
  </si>
  <si>
    <t>150305</t>
  </si>
  <si>
    <t>Galeria em tubo de concreto simples DN   300</t>
  </si>
  <si>
    <t>150327</t>
  </si>
  <si>
    <t>Dreno em tubo PVC corrugado-perfurado DN 100</t>
  </si>
  <si>
    <t>150333</t>
  </si>
  <si>
    <t>Manta geotêxtil - Resistência a Tração =   9 KN/m</t>
  </si>
  <si>
    <t>TAMPA</t>
  </si>
  <si>
    <t>160701</t>
  </si>
  <si>
    <t>Tampa fixa em fibra de vidro</t>
  </si>
  <si>
    <t>1608</t>
  </si>
  <si>
    <t>GRELHA</t>
  </si>
  <si>
    <t>160801</t>
  </si>
  <si>
    <t>Grelha em fibra de vidro</t>
  </si>
  <si>
    <t>CAIXA DE ALVENARIA</t>
  </si>
  <si>
    <t>161101</t>
  </si>
  <si>
    <t>Tampa em concreto</t>
  </si>
  <si>
    <t>161106</t>
  </si>
  <si>
    <t>Parede de tijolos de 1/2 vez 0,80 m x 0,80 m</t>
  </si>
  <si>
    <t>161115</t>
  </si>
  <si>
    <t>Fundo em concreto não estrutural</t>
  </si>
  <si>
    <t>162003</t>
  </si>
  <si>
    <t>Obra localizada</t>
  </si>
  <si>
    <t>ARRUELA BORRACHA P/ FLANGES FD + PARAFUSOS C/ PORCAS E ARRUELAS (ABF + PFP)</t>
  </si>
  <si>
    <t>cj</t>
  </si>
  <si>
    <t>210303</t>
  </si>
  <si>
    <t>ABF + PPF  DN  80/100 - PN-10</t>
  </si>
  <si>
    <t>CURVA FD COM BOLSAS</t>
  </si>
  <si>
    <t>TOCO DE TUBO FD PONTA/FLANGE</t>
  </si>
  <si>
    <t>24</t>
  </si>
  <si>
    <t>MATERIAL DE PVC - ÁGUA</t>
  </si>
  <si>
    <t>240536</t>
  </si>
  <si>
    <t>240545</t>
  </si>
  <si>
    <t>2410</t>
  </si>
  <si>
    <t>241077</t>
  </si>
  <si>
    <t>Te PVC JS   20 mm</t>
  </si>
  <si>
    <t>241079</t>
  </si>
  <si>
    <t>Te PVC JS   32 mm (26042)</t>
  </si>
  <si>
    <t>2411</t>
  </si>
  <si>
    <t>241144</t>
  </si>
  <si>
    <t>241145</t>
  </si>
  <si>
    <t>Tubo PVC JS NBR 5648   DE 25 mm (27472)</t>
  </si>
  <si>
    <t>241146</t>
  </si>
  <si>
    <t>Tubo PVC JS NBR 5648   DE 32 mm (27499)</t>
  </si>
  <si>
    <t>Curva PVC 90º JE/JEI PB  coletor de esgoto DN 100 (281832)</t>
  </si>
  <si>
    <t>250920</t>
  </si>
  <si>
    <t>251001</t>
  </si>
  <si>
    <t>251101</t>
  </si>
  <si>
    <t>REGISTROS E VÁLVULAS CONF. ESPECIFICAÇÃO - ÁGUA / ESGOTO</t>
  </si>
  <si>
    <t>REGISTRO DE GAVETA C.CURTO C.EMB. FF E CABEÇOTE</t>
  </si>
  <si>
    <t>REGISTRO DE GAVETA P/ PVC BB JE E CABEÇOTE</t>
  </si>
  <si>
    <t>4240</t>
  </si>
  <si>
    <t>Tubo de PVC soldável, barra de 6m, fab. TIGRE ou similar, bitola 25mm</t>
  </si>
  <si>
    <t>BDI - Bonificação e Despesas Indiretas - SERVIÇOS</t>
  </si>
  <si>
    <t>COM DESONERAÇÃO</t>
  </si>
  <si>
    <t>Informe a base de cálculo do ISSQN.</t>
  </si>
  <si>
    <t>Alíquota do município</t>
  </si>
  <si>
    <t>Ocorrência da DESONERAÇÃO da folha de pagamento. Lei 12844/2013.</t>
  </si>
  <si>
    <t>Item Componente do BDI</t>
  </si>
  <si>
    <t>Valores Propostos</t>
  </si>
  <si>
    <t>BDI - COM Desoneração da folha de pagamento</t>
  </si>
  <si>
    <r>
      <t xml:space="preserve">Planilha elaborada conforme equação para cálculo do percentual do BDI recomendada pelo </t>
    </r>
    <r>
      <rPr>
        <b/>
        <u/>
        <sz val="12"/>
        <color theme="1"/>
        <rFont val="Calibri"/>
        <family val="2"/>
      </rPr>
      <t>Acórdão 2622/2013 - TCU</t>
    </r>
    <r>
      <rPr>
        <sz val="12"/>
        <color theme="1"/>
        <rFont val="Calibri"/>
        <family val="2"/>
      </rPr>
      <t>, representada pela fórmula abaixo, levando em consideração o valor do ISSQN local.</t>
    </r>
  </si>
  <si>
    <t>BDI - COM Desoneração = [(1+AC+S+G+R)X(1+DF)X(1+L)/(1-I1-I2-I3)]-1</t>
  </si>
  <si>
    <t>OBS.:</t>
  </si>
  <si>
    <t>BDI - Bonificação e Despesas Indiretas - MATERIAIS</t>
  </si>
  <si>
    <r>
      <t xml:space="preserve">Planilha elaborada conforme equação para cálculo do percentual do BDI recomendada pelo </t>
    </r>
    <r>
      <rPr>
        <b/>
        <u/>
        <sz val="12"/>
        <color theme="1"/>
        <rFont val="Calibri"/>
        <family val="2"/>
      </rPr>
      <t>Acórdão 2622/2013 - TCU</t>
    </r>
    <r>
      <rPr>
        <sz val="12"/>
        <color theme="1"/>
        <rFont val="Calibri"/>
        <family val="2"/>
      </rPr>
      <t>, representada pela fórmula abaixo.</t>
    </r>
  </si>
  <si>
    <t>Administração Central</t>
  </si>
  <si>
    <t>Seguro e Garantia</t>
  </si>
  <si>
    <t>Risco</t>
  </si>
  <si>
    <t>Despesas Financeiras</t>
  </si>
  <si>
    <t>Lucro</t>
  </si>
  <si>
    <t>I1: PIS(0,65%) e COFINS(3,00%)</t>
  </si>
  <si>
    <t>I2: ISSQN (conforme legislação municipal)</t>
  </si>
  <si>
    <t>I3: Cont.Prev s/Rec.Bruta (Lei 12844/13 - Desoneração)</t>
  </si>
  <si>
    <r>
      <rPr>
        <sz val="10"/>
        <rFont val="Times New Roman"/>
        <family val="1"/>
      </rPr>
      <t>Total do Bloco</t>
    </r>
  </si>
  <si>
    <t>OBRAS ELÉTRICAS / MECÂNICAS / ELETROMECÂNICAS / AUTOMAÇÃO</t>
  </si>
  <si>
    <t>MATERIAIS ÁGUA, ESGOTO E CONEXÕES</t>
  </si>
  <si>
    <t>83659 *</t>
  </si>
  <si>
    <t>Boca de lobo</t>
  </si>
  <si>
    <t>83690 *</t>
  </si>
  <si>
    <t>Dissipador de energia</t>
  </si>
  <si>
    <t xml:space="preserve">0406
</t>
  </si>
  <si>
    <t xml:space="preserve">Profundidade 0 m &lt; h ≤ 1 m </t>
  </si>
  <si>
    <t xml:space="preserve">Profundidade 1 m &lt; h ≤ 2 m </t>
  </si>
  <si>
    <t xml:space="preserve">0407
</t>
  </si>
  <si>
    <t>Calha Parshall 3" a 9"</t>
  </si>
  <si>
    <t>**</t>
  </si>
  <si>
    <t>86</t>
  </si>
  <si>
    <t>NÃO MOS</t>
  </si>
  <si>
    <t>860110</t>
  </si>
  <si>
    <t>Argamassa de cimento e areia traço 1:2</t>
  </si>
  <si>
    <r>
      <rPr>
        <sz val="10"/>
        <rFont val="Times New Roman"/>
        <family val="1"/>
      </rPr>
      <t>COMPORTA</t>
    </r>
  </si>
  <si>
    <t>Comporta vertedoura em fibra de vidro acionamento manual atavés de volante e guias de alumínio</t>
  </si>
  <si>
    <t>Comporta de superfície em chapa PP</t>
  </si>
  <si>
    <t>73866/4 *</t>
  </si>
  <si>
    <t>Estrutura para cobertura em arco, em alumínio anodizado, vão de 20m</t>
  </si>
  <si>
    <t>TÊ PVC</t>
  </si>
  <si>
    <t>OUTROS MATERIAIS</t>
  </si>
  <si>
    <t>OUTROS</t>
  </si>
  <si>
    <t xml:space="preserve">Profundidade 0 m &lt; h ≤ 4 m </t>
  </si>
  <si>
    <t>74033/1 *</t>
  </si>
  <si>
    <t>Impermeabilização de superfície com geomembrana (manta termoplástica lisa) tipo PEAD, e=2mm</t>
  </si>
  <si>
    <t>83656 *</t>
  </si>
  <si>
    <t>Colchão drenante c/ 30cm pedra britada N.3/filtro transição manta geotextil 100% polipropileno ou poliéster incl. Forn/coloc. Mat</t>
  </si>
  <si>
    <t>MATERIAL DE PVC ÁGUA</t>
  </si>
  <si>
    <t>Curva de PVC 45°, soldável 25mm, para água fria predial</t>
  </si>
  <si>
    <t>Curva de PVC 90° soldável, DN25mm, fab. TIGRE ou similar</t>
  </si>
  <si>
    <t>30</t>
  </si>
  <si>
    <t>Comporta de superfície em madeira plástica</t>
  </si>
  <si>
    <t>022301</t>
  </si>
  <si>
    <t>Areia grossa</t>
  </si>
  <si>
    <t>022308</t>
  </si>
  <si>
    <t>022315</t>
  </si>
  <si>
    <t>Brita 1</t>
  </si>
  <si>
    <t>LAJE PRÉ FABRICADA</t>
  </si>
  <si>
    <t>ESQUADRIA DE ALUMÍNIO</t>
  </si>
  <si>
    <t>Reservatório metálico 5m³</t>
  </si>
  <si>
    <t>Tubo PVC JS NBR 5648   DE 20 mm (27472)</t>
  </si>
  <si>
    <t>CONSTRUÇÃO EM GERAL</t>
  </si>
  <si>
    <t>020742</t>
  </si>
  <si>
    <t>Válvula em metal cromado para lavatório, 1"</t>
  </si>
  <si>
    <t>HIDRÁULICOS - PVC / PEAD</t>
  </si>
  <si>
    <t>3868 *</t>
  </si>
  <si>
    <t>Luva de redução de PVC, soldável, curta, com 25x20 mm, para água fria</t>
  </si>
  <si>
    <t>6016 *</t>
  </si>
  <si>
    <t>Registro de gaveta, 3/4"</t>
  </si>
  <si>
    <t>6017 *</t>
  </si>
  <si>
    <t>Registro de gaveta, 1 1/4"</t>
  </si>
  <si>
    <t>3515 *</t>
  </si>
  <si>
    <t>Joelho PVC, soldável, com bucha de latão, 20mm x 1/2", para água fria predial</t>
  </si>
  <si>
    <t>021949</t>
  </si>
  <si>
    <t>Tubo PVC, PBV série R, DN 40 mm</t>
  </si>
  <si>
    <t>021968</t>
  </si>
  <si>
    <t>Tubo PVC, PBV série R, DN 50 mm</t>
  </si>
  <si>
    <t>021959</t>
  </si>
  <si>
    <t>Tubo PVC, PBV série R, DN 100 mm</t>
  </si>
  <si>
    <t>20148 *</t>
  </si>
  <si>
    <t>Joelho PVC, série R, 45 graus, DN 40mm, para esgoto predial</t>
  </si>
  <si>
    <t>20154 *</t>
  </si>
  <si>
    <t>Joelho PVC, série R, 90 graus, DN 40mm, para esgoto predial</t>
  </si>
  <si>
    <t>20157 *</t>
  </si>
  <si>
    <t>Joelho PVC, série R, 90 graus, DN 100mm, para esgoto predial</t>
  </si>
  <si>
    <t>10908 *</t>
  </si>
  <si>
    <t>Junção de redução invertida, 100 x 50 mm, série normal para esgoto predial</t>
  </si>
  <si>
    <t>5103 *</t>
  </si>
  <si>
    <t>Caixa sifonada PVC, 100 x 100 x 50mm, com grelha redonda branca</t>
  </si>
  <si>
    <t>7097 *</t>
  </si>
  <si>
    <t>Tê sanitário, PVC, DN 50 x 50 mm, série normal, para esgoto predial</t>
  </si>
  <si>
    <t>VEDAÇÃO E PROTEÇÃO DE ÁREAS</t>
  </si>
  <si>
    <t xml:space="preserve">Portão para veículos </t>
  </si>
  <si>
    <t>ESTAÇÃO DE TRATAMENTO DE ESGOTO - ETE</t>
  </si>
  <si>
    <t>INTERLIGAÇÕES - SERVIÇOS</t>
  </si>
  <si>
    <t>INTERLIGAÇÕES - MATERIAIS</t>
  </si>
  <si>
    <t>DRENAGEM  - SERVIÇOS</t>
  </si>
  <si>
    <t>DRENAGEM - MATERIAIS</t>
  </si>
  <si>
    <t>DESARENADOR - SERVIÇOS</t>
  </si>
  <si>
    <t>DESARENADOR - MATERIAIS</t>
  </si>
  <si>
    <t>CAIXAS - SERVIÇOS</t>
  </si>
  <si>
    <t>CAIXAS - MATERIAIS</t>
  </si>
  <si>
    <t>LABORATÓRIO - SERVIÇOS</t>
  </si>
  <si>
    <t>LABORATÓRIO - MATERIAIS</t>
  </si>
  <si>
    <t>URBANIZAÇÃO - SERVIÇOS</t>
  </si>
  <si>
    <t>URBANIZAÇÃO - MATERIAIS</t>
  </si>
  <si>
    <t>valor proposto</t>
  </si>
  <si>
    <t>&lt;=4%</t>
  </si>
  <si>
    <t>&lt;=5%</t>
  </si>
  <si>
    <t>R$</t>
  </si>
  <si>
    <t>0807</t>
  </si>
  <si>
    <t>CORTE E ARRASAMENTO DE ESTACA</t>
  </si>
  <si>
    <t>080701</t>
  </si>
  <si>
    <t>De concreto armado</t>
  </si>
  <si>
    <t>fck = 40,0 MPa - slump 12</t>
  </si>
  <si>
    <t>082221</t>
  </si>
  <si>
    <t>1436</t>
  </si>
  <si>
    <t>73866/4</t>
  </si>
  <si>
    <t>74033/1</t>
  </si>
  <si>
    <t>De fibra de vidro</t>
  </si>
  <si>
    <t>Locação da obra com auxílio de equipamento topográfico</t>
  </si>
  <si>
    <t>fck = 25,0 MPa - slump 12</t>
  </si>
  <si>
    <t>082209</t>
  </si>
  <si>
    <t>FÔRMA PARA FUNDAÇÃO E BALDRAME</t>
  </si>
  <si>
    <t>Plana em chapa resinada e= 12 mm</t>
  </si>
  <si>
    <r>
      <t xml:space="preserve">Em terra compacta, prof. 0 m &lt; h </t>
    </r>
    <r>
      <rPr>
        <sz val="10.1"/>
        <rFont val="Calibri"/>
        <family val="2"/>
      </rPr>
      <t>≤</t>
    </r>
    <r>
      <rPr>
        <sz val="10.1"/>
        <rFont val="Times New Roman"/>
        <family val="1"/>
      </rPr>
      <t xml:space="preserve"> 1 m </t>
    </r>
  </si>
  <si>
    <r>
      <t xml:space="preserve">Em terra compacta, prof. 1 m &lt; h </t>
    </r>
    <r>
      <rPr>
        <sz val="10.1"/>
        <rFont val="Calibri"/>
        <family val="2"/>
      </rPr>
      <t>≤</t>
    </r>
    <r>
      <rPr>
        <sz val="10.1"/>
        <rFont val="Times New Roman"/>
        <family val="1"/>
      </rPr>
      <t xml:space="preserve"> 2 m </t>
    </r>
  </si>
  <si>
    <r>
      <t xml:space="preserve">Em terra compacta, prof. 0 m &lt; h </t>
    </r>
    <r>
      <rPr>
        <sz val="10.1"/>
        <rFont val="Calibri"/>
        <family val="2"/>
      </rPr>
      <t>≤</t>
    </r>
    <r>
      <rPr>
        <sz val="10.1"/>
        <rFont val="Times New Roman"/>
        <family val="1"/>
      </rPr>
      <t xml:space="preserve"> 2 m </t>
    </r>
  </si>
  <si>
    <r>
      <rPr>
        <sz val="10"/>
        <rFont val="Times New Roman"/>
        <family val="1"/>
      </rPr>
      <t>ESCAVAÇÃO MANUAL, NÃO EM VALAS, EM QUALQUER TIPO DE SOLO, EXCETO ROCHA
Profundidade 0 m &lt; h &lt;= 1 m</t>
    </r>
  </si>
  <si>
    <r>
      <rPr>
        <sz val="10"/>
        <rFont val="Times New Roman"/>
        <family val="1"/>
      </rPr>
      <t>ESCAVAÇÃO MECÂNICA, NÃO EM VALAS, EM QUALQUER TIPO DE SOLO, EXCETO ROCHA
Profundidade 0 m &lt; h &lt;= 2 m</t>
    </r>
  </si>
  <si>
    <t>Gotejamento contínuo</t>
  </si>
  <si>
    <t>IMPERMEABILIZAÇÃO</t>
  </si>
  <si>
    <t>Emulsão de asfalto (hidroasfalto)</t>
  </si>
  <si>
    <t>FECHAMENTO</t>
  </si>
  <si>
    <t>PAREDE</t>
  </si>
  <si>
    <t>Alvenaria de tijolo furado 1/2 vez</t>
  </si>
  <si>
    <t>PINTURA</t>
  </si>
  <si>
    <t>Caçamba tipo Brooks 4m³</t>
  </si>
  <si>
    <t>** Orçado com fornecedores</t>
  </si>
  <si>
    <t>Dreno francês - brita</t>
  </si>
  <si>
    <t>150330</t>
  </si>
  <si>
    <t>Vaso sanitario sifonado convencional com  louça branca - fornecimento e instalação. af_10/2016</t>
  </si>
  <si>
    <t>95469 *</t>
  </si>
  <si>
    <t>130310</t>
  </si>
  <si>
    <t>Papeleira de metal</t>
  </si>
  <si>
    <t>86929 *</t>
  </si>
  <si>
    <t>143621</t>
  </si>
  <si>
    <t>Tubo e conexão FD JF DN 100</t>
  </si>
  <si>
    <t>fck = 35,0 MPa - slump 12</t>
  </si>
  <si>
    <t>100215</t>
  </si>
  <si>
    <t>Revestimento com pedrisco</t>
  </si>
  <si>
    <t>PREPARO DO TERRENO</t>
  </si>
  <si>
    <t>Raspagem de camada vegetal</t>
  </si>
  <si>
    <t>COMPACTAÇÃO NÃO EM VALAS</t>
  </si>
  <si>
    <t>EXECUÇÃO DE PAVIMENTOS, GUIAS E SARJETAS</t>
  </si>
  <si>
    <t>Revestimento com piso de concreto desempenado</t>
  </si>
  <si>
    <t>MATERIAL DE FERRO DÚCTIL- ÁGUA</t>
  </si>
  <si>
    <t>EXTREMIDADE FD COM ABA DE VEDAÇÃO</t>
  </si>
  <si>
    <t>GRADE DE LIMPEZA MANUAL</t>
  </si>
  <si>
    <t>COMPORTA</t>
  </si>
  <si>
    <t>fck = 35 Mpa</t>
  </si>
  <si>
    <t>082106</t>
  </si>
  <si>
    <t>m2</t>
  </si>
  <si>
    <t>0808</t>
  </si>
  <si>
    <t>080801</t>
  </si>
  <si>
    <t>FÔRMA PARA LAJE</t>
  </si>
  <si>
    <t>Chapa resinada e= 12 mm</t>
  </si>
  <si>
    <t>***</t>
  </si>
  <si>
    <t>Instalações elétricas conforme projeto executivo</t>
  </si>
  <si>
    <t>080906</t>
  </si>
  <si>
    <t>Tanque de mármore sintético suspenso 22L, incluso sifão flexível em PVC, válvula plástica e torneira de metal cromadopadrão popular</t>
  </si>
  <si>
    <t>021922</t>
  </si>
  <si>
    <t>Joelho 90 PVC JS 25 mm</t>
  </si>
  <si>
    <t>021918</t>
  </si>
  <si>
    <t>Joelho 90 PVC JS 32 mm</t>
  </si>
  <si>
    <t>021967</t>
  </si>
  <si>
    <t>Joelho 90 PVC JS 40 mm</t>
  </si>
  <si>
    <t>Te PVC JS   25 mm (26034)</t>
  </si>
  <si>
    <t>241078</t>
  </si>
  <si>
    <t>Joelho 90 PVC JS 20 mm</t>
  </si>
  <si>
    <t>3542 *</t>
  </si>
  <si>
    <t>Luva de redução de PVC, soldável, curta, com 32x25 mm, para água fria</t>
  </si>
  <si>
    <t>3869 *</t>
  </si>
  <si>
    <t>Registro de pressão bronze macho/fêmea 3/4"</t>
  </si>
  <si>
    <t>021307</t>
  </si>
  <si>
    <t>Tubo de descarga de PVC  DN 40</t>
  </si>
  <si>
    <t>HIDRAULICOS - BRONZE</t>
  </si>
  <si>
    <t>6148 *</t>
  </si>
  <si>
    <t>Sifão plástico flexível para lavatório 1 x 1.1/2"</t>
  </si>
  <si>
    <t>77 *</t>
  </si>
  <si>
    <t>Adaptador pvc para sifao metalico, soldavel, com anel borracha (je), 40 mm x 1 1/2"</t>
  </si>
  <si>
    <t>020718</t>
  </si>
  <si>
    <t>Granito cinza e=2,00 cm</t>
  </si>
  <si>
    <t>90877 *</t>
  </si>
  <si>
    <t>Estaca escavada mecanicamente, sem fluido estabilizante, com 25 cm de diâmetro, até 9 m de comprimento, concreto lançado por caminhão betoneira</t>
  </si>
  <si>
    <t>LIGAÇÕES PREDIAIS</t>
  </si>
  <si>
    <t>INTERCEPTOR</t>
  </si>
  <si>
    <t>EMISSÁRIO</t>
  </si>
  <si>
    <t>CURVA FD FF</t>
  </si>
  <si>
    <t>TE FD FF PN-10</t>
  </si>
  <si>
    <t>2240</t>
  </si>
  <si>
    <t>Te FD FFF PN-10 DN100x100 linha esgoto (286299)</t>
  </si>
  <si>
    <t>224005</t>
  </si>
  <si>
    <t>2280</t>
  </si>
  <si>
    <t>TOCO DE TUBO FD FLANGE/FLANGE</t>
  </si>
  <si>
    <t>Toco de tubo FD flange/flange PN-10/16 DN 100 comp = 0,25 m</t>
  </si>
  <si>
    <t>228019</t>
  </si>
  <si>
    <t>2281</t>
  </si>
  <si>
    <t>Toco de tubo FD ponta/flange PN-10/16 DN 100 comp = 2,50 m</t>
  </si>
  <si>
    <t>228124</t>
  </si>
  <si>
    <t>Registro de gaveta FD chato cunha emborrachada BB JE para PVC/PBA e cabeçote DN100</t>
  </si>
  <si>
    <t>Calha Parshall 3"</t>
  </si>
  <si>
    <t>Emboço, traço 1:3 em parede</t>
  </si>
  <si>
    <t>120309</t>
  </si>
  <si>
    <t>Em alumínio e= 2,5mm, h= 0,20 m</t>
  </si>
  <si>
    <t>141801</t>
  </si>
  <si>
    <t>100201</t>
  </si>
  <si>
    <t>Regularização do subleito</t>
  </si>
  <si>
    <t>100205</t>
  </si>
  <si>
    <t>Base em brita graduada</t>
  </si>
  <si>
    <t>Os valores e percentagens devem ser atualizados conforme legislação vigente</t>
  </si>
  <si>
    <t>TRANSPORTE DE SOLOS</t>
  </si>
  <si>
    <t>RECOMPOSIÇÃO DE PAVIMENTOS, GUIAS E SARJETAS SEM</t>
  </si>
  <si>
    <t>U.C. : 06</t>
  </si>
  <si>
    <t>U.C. : 07</t>
  </si>
  <si>
    <t>U.C. : 08</t>
  </si>
  <si>
    <t>Engenheiro civil de obra sênior com encargos complementares</t>
  </si>
  <si>
    <t>Engenheiro civil de obra junior com encargos complementares</t>
  </si>
  <si>
    <t>Mestre de obras com encargos complementares</t>
  </si>
  <si>
    <t>Energia eletrica comercial, baixa tensao, relativa ao consumo de ate 100 kwh</t>
  </si>
  <si>
    <t>KW/h</t>
  </si>
  <si>
    <t>Vigia noturno, hora efetivamente trabalhada de 22 h as 5 h</t>
  </si>
  <si>
    <t>ACESSO ETE</t>
  </si>
  <si>
    <t>Perfil u / canaleta de aluminio, de abas iguais, 1/2" (1,27 x 1,27 cm)</t>
  </si>
  <si>
    <t>11552 *</t>
  </si>
  <si>
    <t>020121</t>
  </si>
  <si>
    <t xml:space="preserve">Locação de linha
</t>
  </si>
  <si>
    <t>Km</t>
  </si>
  <si>
    <t>041501</t>
  </si>
  <si>
    <t>Sem controle do GC</t>
  </si>
  <si>
    <t>Almoxarife</t>
  </si>
  <si>
    <t>INSTALAÇÕES ELÉTRICAS</t>
  </si>
  <si>
    <t>12613 *</t>
  </si>
  <si>
    <t>253 *</t>
  </si>
  <si>
    <t>41776 *</t>
  </si>
  <si>
    <t>2706 *</t>
  </si>
  <si>
    <t>2708 *</t>
  </si>
  <si>
    <t>4069 *</t>
  </si>
  <si>
    <t>14250 *</t>
  </si>
  <si>
    <t>40861 *</t>
  </si>
  <si>
    <t>40862 *</t>
  </si>
  <si>
    <t>4221 *</t>
  </si>
  <si>
    <t>l</t>
  </si>
  <si>
    <t>030177</t>
  </si>
  <si>
    <t>LAGOAS ANAERÓBIAS 1 E 2  - SERVIÇOS</t>
  </si>
  <si>
    <t>LAGOAS ANAERÓBIAS 1 E 2 - MATERIAIS</t>
  </si>
  <si>
    <t>Balcão para laboratório (fórmica)</t>
  </si>
  <si>
    <t>130319</t>
  </si>
  <si>
    <t>* Valor SINAPI Junho/2018 - Desonerado</t>
  </si>
  <si>
    <t>**Orçado com fornecedores</t>
  </si>
  <si>
    <t>** Orçamento com fornecedores</t>
  </si>
  <si>
    <t>*** Projeto executivo</t>
  </si>
  <si>
    <t>OBS.:
* Valor SINAPI Junho/2018 - Desonerado
** Orçado com fornecedores
*** Projeto executivo</t>
  </si>
  <si>
    <t>0202</t>
  </si>
  <si>
    <t>TOPOGRAFIA E GEODÉSIA - ESTADIA DA EQUIPE</t>
  </si>
  <si>
    <t>Locação e nivelamento para assentamento de tubulação de esgoto (Ordem de serviço para execução - OSE)</t>
  </si>
  <si>
    <t>020237</t>
  </si>
  <si>
    <t>0203</t>
  </si>
  <si>
    <t>020301</t>
  </si>
  <si>
    <t>TOPOGRAFIA E GEODÉSIA - TRANSPORTE DA EQUIPE</t>
  </si>
  <si>
    <t>Deslocamento interurbano de equipe topográfica / equipe de serviços técnicos especializados</t>
  </si>
  <si>
    <t>Locação de linha</t>
  </si>
  <si>
    <t>020221</t>
  </si>
  <si>
    <t>020241</t>
  </si>
  <si>
    <t>090204</t>
  </si>
  <si>
    <t>DN 250</t>
  </si>
  <si>
    <t>251105</t>
  </si>
  <si>
    <t>Tubo PVC JEI coletor de esgoto parede maciça NBR 7362-2 DN 250</t>
  </si>
  <si>
    <t>Grade de limpeza manual fixa espaçamento médio ou grosso, incluso rastelo de alumínio</t>
  </si>
  <si>
    <t>100214</t>
  </si>
  <si>
    <t>Revestimento com pedra irregular</t>
  </si>
  <si>
    <t>150302</t>
  </si>
  <si>
    <t>Calha de concreto pré-moldada simples DN 300</t>
  </si>
  <si>
    <t>TRANSPOTE DE SOLOS</t>
  </si>
  <si>
    <t>0907</t>
  </si>
  <si>
    <t>TUBULAÇÃO DE FERRO DUCTIL JE / JE2GS / JTI</t>
  </si>
  <si>
    <t>090702</t>
  </si>
  <si>
    <t>130102</t>
  </si>
  <si>
    <t>Entrada de água em PVC diam. 25 mm</t>
  </si>
  <si>
    <t>1403</t>
  </si>
  <si>
    <t>INSTALAÇÃO DE EQUIPAMENTOS EM CANALIZAÇÕES</t>
  </si>
  <si>
    <t>140304</t>
  </si>
  <si>
    <t>Válvula de retenção de portinhola simples até DN 100</t>
  </si>
  <si>
    <t>1404</t>
  </si>
  <si>
    <t>0407</t>
  </si>
  <si>
    <t>ESCAVAÇÃO MECÂNICA, NÃO EM VALAS, EM QUALQUER TIPO DE SOLO, EXCETO ROCHA</t>
  </si>
  <si>
    <t>90808 *</t>
  </si>
  <si>
    <t>90808</t>
  </si>
  <si>
    <t>080806</t>
  </si>
  <si>
    <t>Chapa plastificada e= 18 mm</t>
  </si>
  <si>
    <t>082703</t>
  </si>
  <si>
    <t>Cura química</t>
  </si>
  <si>
    <t>MATERIAL DE FERRO DÚCTIL - ÁGUA</t>
  </si>
  <si>
    <t>CAP FD</t>
  </si>
  <si>
    <t>210403</t>
  </si>
  <si>
    <t>CURVA FD 90° COM FLANGES E PÉ</t>
  </si>
  <si>
    <t>JUNTA DE DESMONTAGEM TRAVADA</t>
  </si>
  <si>
    <t>CURVA FD JE/JE2GS</t>
  </si>
  <si>
    <t>JUNÇÃO FD FF</t>
  </si>
  <si>
    <t>REDUÇÃO COM FLANGES FD</t>
  </si>
  <si>
    <t>223023</t>
  </si>
  <si>
    <t>Redução FD FF PN-10 DN 100x80 linha esgoto</t>
  </si>
  <si>
    <t>2290</t>
  </si>
  <si>
    <t>TUBO FD JE2GS</t>
  </si>
  <si>
    <t>229002</t>
  </si>
  <si>
    <t>Tubo FD PB JE2GS ESGOTO classe K9 DN100 linha esgoto NBR 15420 - Barra de 6,00m (281476)</t>
  </si>
  <si>
    <t>2405</t>
  </si>
  <si>
    <t>3524 *</t>
  </si>
  <si>
    <t>Joelho PVC, soldável, com bucha de latão, 25mm x 3/4", para água fria predial</t>
  </si>
  <si>
    <t>VÁLVULA DE RETENÇÃO</t>
  </si>
  <si>
    <t>MATERIAIS ÁGUA, ESGOTO E CONEXÕES - FORNECIMENTO</t>
  </si>
  <si>
    <t>1401</t>
  </si>
  <si>
    <t>INSTALAÇÃO DE CONJUNTO MOTOBOMBA</t>
  </si>
  <si>
    <t>1407</t>
  </si>
  <si>
    <t>140701</t>
  </si>
  <si>
    <t>Medidor de vazão até DN 150</t>
  </si>
  <si>
    <t>INSTALAÇÃO DE GUINDASTE GIRATÓRIO</t>
  </si>
  <si>
    <t>141301</t>
  </si>
  <si>
    <t>Até 500 kgf</t>
  </si>
  <si>
    <t>1605</t>
  </si>
  <si>
    <t>ESCADA</t>
  </si>
  <si>
    <t>160501</t>
  </si>
  <si>
    <t>Escada interna em aço galvanizado</t>
  </si>
  <si>
    <t>1606</t>
  </si>
  <si>
    <t>GUARDA CORPO</t>
  </si>
  <si>
    <t>160602</t>
  </si>
  <si>
    <t>Guarda corpo em fibra de vidro</t>
  </si>
  <si>
    <t>1607</t>
  </si>
  <si>
    <t>160702</t>
  </si>
  <si>
    <t>Tampa articulada em fibra de vidro</t>
  </si>
  <si>
    <t>Guindaste giratório capacidade até 500kgf</t>
  </si>
  <si>
    <t>42</t>
  </si>
  <si>
    <t>OBRAS ELÉTRICAS - FORNECIMENTO DE INSUMOS</t>
  </si>
  <si>
    <t>4236</t>
  </si>
  <si>
    <t>QUADRO DE DISJUNTORES E DE DISTRIBUIÇÃO E BOTOEIRAS</t>
  </si>
  <si>
    <t>423609</t>
  </si>
  <si>
    <t>Quadro de distribuição de sobrepor norma DIN, em chapa de aço galvanizado, com porta, para disjuntores, sem barramento, fab. OLIPE ou similar,  4 a 8 disjuntores</t>
  </si>
  <si>
    <t>0904</t>
  </si>
  <si>
    <t>TUBULAÇÃO DE PEAD</t>
  </si>
  <si>
    <t>26</t>
  </si>
  <si>
    <t>MATERIAL DE POLIETILENO</t>
  </si>
  <si>
    <t>2681</t>
  </si>
  <si>
    <t>TUBO POLIETILENO (PEAD) PE-100</t>
  </si>
  <si>
    <t>ESTRUTURA</t>
  </si>
  <si>
    <t>EQUIPAMENTOS - SERVIÇOS</t>
  </si>
  <si>
    <t>EQUIPAMENTOS - MATERIAIS</t>
  </si>
  <si>
    <t>LINHA DE RECALQUE - SERVIÇOS</t>
  </si>
  <si>
    <t>LINHA DE RECALQUE - MATERIAIS</t>
  </si>
  <si>
    <t>U.C. : 09</t>
  </si>
  <si>
    <t>228141</t>
  </si>
  <si>
    <t>Toco de tubo FD ponta/flange PN-10/16 DN 150 comp = 4,50 m</t>
  </si>
  <si>
    <t>LAGOA FACULTATIVA 1 - SERVIÇOS</t>
  </si>
  <si>
    <t>LAGOA FACULTATIVA 2 - SERVIÇOS</t>
  </si>
  <si>
    <t>U.C. : 10</t>
  </si>
  <si>
    <t>228357</t>
  </si>
  <si>
    <t>150317</t>
  </si>
  <si>
    <t>CAIXA DE CAPTAÇÃO PRÉ-MOLDADA</t>
  </si>
  <si>
    <t>Calha de Concreto Pre Moldada Simples DN 300</t>
  </si>
  <si>
    <t>150303</t>
  </si>
  <si>
    <t>Calha de Concreto Pre Moldada Simples DN 400</t>
  </si>
  <si>
    <t>150304</t>
  </si>
  <si>
    <t>Calha de Concreto Pre Moldada Simples DN 500</t>
  </si>
  <si>
    <t>un</t>
  </si>
  <si>
    <t>Geomembrana Texturizada PEAD</t>
  </si>
  <si>
    <t>Brita 02</t>
  </si>
  <si>
    <t>150104</t>
  </si>
  <si>
    <t>Cerca tipo alambrado</t>
  </si>
  <si>
    <t>140416</t>
  </si>
  <si>
    <t>Junta flangeada DN 80</t>
  </si>
  <si>
    <t>143602</t>
  </si>
  <si>
    <t>Tubo e conexão FD JE/JE2GS DN 80</t>
  </si>
  <si>
    <t>Curva com pe 90o FD FF PN-10 DN80 conforme NBR7675</t>
  </si>
  <si>
    <t>Junta de desmontagem travada axialmente FF PN-10 DN80</t>
  </si>
  <si>
    <t>220735</t>
  </si>
  <si>
    <t>Curva de 45o FD BB JE/JE2GS DN80 linha esgoto (294120)</t>
  </si>
  <si>
    <t>220752</t>
  </si>
  <si>
    <t>Curva de 90o FD BB JE/JE2GS DN80 linha esgoto</t>
  </si>
  <si>
    <t>220948</t>
  </si>
  <si>
    <t>Curva de 45o FD FF PN-10 DN80 linha esgoto (294673)</t>
  </si>
  <si>
    <t>220972</t>
  </si>
  <si>
    <t>Curva de 90o FD FF PN-10 DN80 linha esgoto (294122)</t>
  </si>
  <si>
    <t>228106</t>
  </si>
  <si>
    <t>Toco de tubo FD ponta/flange PN-10/16 DN 80 comp = 0,25 m</t>
  </si>
  <si>
    <t>228107</t>
  </si>
  <si>
    <t>Toco de tubo FD ponta/flange PN-10/16 DN 80 comp = 0,50 m</t>
  </si>
  <si>
    <t>228108</t>
  </si>
  <si>
    <t>Toco de tubo FD ponta/flange PN-10/16 DN 80 comp = 1,00 m</t>
  </si>
  <si>
    <t>Manta Geotêxtil - Resistência a Tração = 9 KN/m</t>
  </si>
  <si>
    <t>Sistema Para Escape de Gases</t>
  </si>
  <si>
    <t>Comporta Embutida de Fibra de Vidro</t>
  </si>
  <si>
    <t>Grades A e B de Saída</t>
  </si>
  <si>
    <t>Placas Amortecedoura</t>
  </si>
  <si>
    <t>BAGS - SERVIÇOS</t>
  </si>
  <si>
    <t>BAGS - MATERIAIS</t>
  </si>
  <si>
    <t>Toco de tubo FD ponta/flange PN-10/16 DN 200 comp = 5,80 m</t>
  </si>
  <si>
    <t>150306</t>
  </si>
  <si>
    <t>Galeria em tubo de concreto simples DN   400</t>
  </si>
  <si>
    <t>150307</t>
  </si>
  <si>
    <t>Galeria em tubo de concreto simples DN   500</t>
  </si>
  <si>
    <t>143623</t>
  </si>
  <si>
    <t>Tubo e conexão FD JF DN 200</t>
  </si>
  <si>
    <t>424040</t>
  </si>
  <si>
    <t>Tê de PVC soldável, para água fria, fab. TIGRE ou similar, bitola 25mm</t>
  </si>
  <si>
    <t>424010</t>
  </si>
  <si>
    <t>Cotovelo de PVC soldável, DN25mm, fab. TIGRE ou similar (21040)</t>
  </si>
  <si>
    <t>38025 *</t>
  </si>
  <si>
    <t>Curva de transposição PVC soldável 25mm</t>
  </si>
  <si>
    <t>Joelho PVC soldável com bucha de latão, 90 graus, 25mm x 3/4"</t>
  </si>
  <si>
    <t>220755</t>
  </si>
  <si>
    <t>Curva de 90o FD BB JE/JE2GS DN200 linha esgoto</t>
  </si>
  <si>
    <t>218122</t>
  </si>
  <si>
    <t>Toco de tubo FD ponta/flange PN-10/16 DN 100 comp = 1,50 m</t>
  </si>
  <si>
    <t>218120</t>
  </si>
  <si>
    <t>Toco de tubo FD ponta/flange PN-10/16 DN 100 comp = 0,50 m</t>
  </si>
  <si>
    <t>218123</t>
  </si>
  <si>
    <t>Registro de gaveta FD corpo curto cunha emborrachada FF PN-10 e cabeçote DN100 - NBR14968</t>
  </si>
  <si>
    <t>Grade de limpeza manual fixa espaçamento médio ou fino, incluso rastelo de alumínio</t>
  </si>
  <si>
    <t>TUBULAÇÃO DE PVC JE/JEI PARA ESGOTO</t>
  </si>
  <si>
    <t>Diam. 200 mm</t>
  </si>
  <si>
    <t>222401</t>
  </si>
  <si>
    <t>Junção FD 45° FFF PN-10 DN80x80 linha esgoto (286285)</t>
  </si>
  <si>
    <t>2282</t>
  </si>
  <si>
    <t>TOCO DE TUBO FD FLANGE/FLANGE C/ ABA DE VEDAÇÃO</t>
  </si>
  <si>
    <t>228207</t>
  </si>
  <si>
    <t>Toco de tubo FD flange/flange c/ aba de vedação PN-10/16/25 DN 80 comp = 0,50 m</t>
  </si>
  <si>
    <t>2283</t>
  </si>
  <si>
    <t>TOCO DE TUBO FD PONTA/FLANGE C/ ABA DE VEDAÇÃO</t>
  </si>
  <si>
    <t>ASSENTAMENTO</t>
  </si>
  <si>
    <t>LAGOA FACULTATIVA 1 - MATERIAIS</t>
  </si>
  <si>
    <t>LAGOA FACULTATIVA 2 - MATERIAIS</t>
  </si>
  <si>
    <t>228308</t>
  </si>
  <si>
    <t>Toco de tubo FD ponta/flange c/ aba de vedação PN-10/16/25 DN 80 comp = 1,00 m</t>
  </si>
  <si>
    <t>2502</t>
  </si>
  <si>
    <t>CAP PVC</t>
  </si>
  <si>
    <t>250205</t>
  </si>
  <si>
    <t>Cap PVC JE/JEI coletor de esgoto 150</t>
  </si>
  <si>
    <t>250316</t>
  </si>
  <si>
    <t>Curva PVC 45º JE/JEI PB  coletor de esgoto DN 150 (149004)</t>
  </si>
  <si>
    <t>Te PVC JE/JEI BBB coletor de esgoto DN 150 (212610)</t>
  </si>
  <si>
    <t>2904</t>
  </si>
  <si>
    <t>REGISTRO DE GAVETA C.EMB. BB JE E CABEÇOTE</t>
  </si>
  <si>
    <t>290404</t>
  </si>
  <si>
    <t>R. gaveta FD cunha emborrachada BB JE e cabeçote DN150 - NBR14968 (282087)</t>
  </si>
  <si>
    <t>295902</t>
  </si>
  <si>
    <t>Válvula de retenção DN 80</t>
  </si>
  <si>
    <t>Joelho PVC, série R, 90 graus, DN 100mm</t>
  </si>
  <si>
    <t>140418</t>
  </si>
  <si>
    <t>Junta flangeada DN 150</t>
  </si>
  <si>
    <t>Hidrômetro</t>
  </si>
  <si>
    <t>2903</t>
  </si>
  <si>
    <t>REGISTRO DE GAVETA C.CURTO C.EMB. FF E VOLANTE</t>
  </si>
  <si>
    <t>R. gaveta FD  cunha emborrachada FF PN-10 e volante DN80</t>
  </si>
  <si>
    <t>290302</t>
  </si>
  <si>
    <t>1411</t>
  </si>
  <si>
    <t>Vertedor Tompson - Medidor de vazão</t>
  </si>
  <si>
    <t>228208</t>
  </si>
  <si>
    <t>Toco de tubo FD flange/flange c/ aba de vedação PN-10/16/25 DN 80 comp = 1,00 m</t>
  </si>
  <si>
    <t>110503</t>
  </si>
  <si>
    <t>1106</t>
  </si>
  <si>
    <t>110704</t>
  </si>
  <si>
    <t>Porta tipo veneziana, 0,8 m x 2,10 m</t>
  </si>
  <si>
    <t>110803</t>
  </si>
  <si>
    <t>Liso transparente 5mm</t>
  </si>
  <si>
    <t>Joelho PVC, série R, 45 graus, DN 100mm, para esgoto predial</t>
  </si>
  <si>
    <t>Estaca hélice contínua, diâmetro de 40cm, comprimento total até 15 m</t>
  </si>
  <si>
    <t>profundidade média</t>
  </si>
  <si>
    <t>largura média</t>
  </si>
  <si>
    <t>escoramento</t>
  </si>
  <si>
    <t>movimentação de solo 0 a 4</t>
  </si>
  <si>
    <t>comprimento da rede</t>
  </si>
  <si>
    <t>quantidade PV</t>
  </si>
  <si>
    <t>COLETOR 01</t>
  </si>
  <si>
    <t>COLETOR 01 - SERVIÇOS</t>
  </si>
  <si>
    <t>COLETOR 01 - MATERIAIS</t>
  </si>
  <si>
    <t>COLETOR 02</t>
  </si>
  <si>
    <t>COLETOR 03</t>
  </si>
  <si>
    <t>U.C. : 11</t>
  </si>
  <si>
    <t>U.C. : 12</t>
  </si>
  <si>
    <t>150301</t>
  </si>
  <si>
    <t>Calha de concreto pré-moldada simples DN 200</t>
  </si>
  <si>
    <t>Caixa de passagem em alvenaria com tampa de concreto 0,6 x 0,6 x 0,6 m</t>
  </si>
  <si>
    <t>150315</t>
  </si>
  <si>
    <t>11</t>
  </si>
  <si>
    <t>1101</t>
  </si>
  <si>
    <t>Cj submersível 11 CV a 25 CV</t>
  </si>
  <si>
    <t>140123</t>
  </si>
  <si>
    <t>Vertedor Thompson</t>
  </si>
  <si>
    <t>Medidor de vazão eletromagnético DN 80</t>
  </si>
  <si>
    <t>Tubo PEAD PE-100 PN-10 DE 125</t>
  </si>
  <si>
    <t>Curva 90 PEAD por eletrofusão DE 125</t>
  </si>
  <si>
    <t>Colarinho para PEAD DE 125</t>
  </si>
  <si>
    <t>0918</t>
  </si>
  <si>
    <t>POÇO DE VISITA TIPO D - DN 1200</t>
  </si>
  <si>
    <t>091801</t>
  </si>
  <si>
    <t>Com profundidade até 2,00 m</t>
  </si>
  <si>
    <t>211202</t>
  </si>
  <si>
    <t>228018</t>
  </si>
  <si>
    <t>Toco de tubo FD ponta/flange c/ aba de vedação PN-10/16/25 DN 80 comp = 0,50 m</t>
  </si>
  <si>
    <t>Toco de tubo FD ponta/flange c/ aba de vedação PN-10/16/25 DN 80 comp = 2,00 m</t>
  </si>
  <si>
    <t>228307</t>
  </si>
  <si>
    <t>228310</t>
  </si>
  <si>
    <t>Curva PVC 90º JS 25 mm (22152)</t>
  </si>
  <si>
    <t>Te PVC JS 25 mm (26034)</t>
  </si>
  <si>
    <t>2902</t>
  </si>
  <si>
    <t>290202</t>
  </si>
  <si>
    <t xml:space="preserve">Registro de gaveta FD corpo curto cunha emborrachada FF PN-10 e cabeçote DN 80 </t>
  </si>
  <si>
    <t>9841 *</t>
  </si>
  <si>
    <t>12774*</t>
  </si>
  <si>
    <t>20151 *</t>
  </si>
  <si>
    <t>TUBULAÇÃO DE FERRO DUCTIL JE</t>
  </si>
  <si>
    <t>090704</t>
  </si>
  <si>
    <t>150308</t>
  </si>
  <si>
    <t>Galeria em tubo de concreto simples DN   600</t>
  </si>
  <si>
    <t>150312</t>
  </si>
  <si>
    <t>Galeria em tubo de concreto armado DN   800</t>
  </si>
  <si>
    <t>Calha de concreto pré-moldada simples DN 400</t>
  </si>
  <si>
    <t>Calha de concreto pré-moldada simples DN 500</t>
  </si>
  <si>
    <t>Calha de Concreto Pre Moldada Simples DN 200</t>
  </si>
  <si>
    <t>Galeria em Tubo de Concreto Simples DN 300</t>
  </si>
  <si>
    <t>Galeria em Tubo de Concreto Simples DN 400</t>
  </si>
  <si>
    <t>Galeria em Tubo de Concreto Simples DN 500</t>
  </si>
  <si>
    <t>Galeria em Tubo de Concreto Simples DN 600</t>
  </si>
  <si>
    <t>Galeria em Tubo de Concreto Armado DN 800</t>
  </si>
  <si>
    <t>Toco de tubo FD ponta/flange PN-10/16 DN 100 comp = 2,00 m</t>
  </si>
  <si>
    <t>Geomembrana PEAD espessura de 1,00 mm texturizada</t>
  </si>
  <si>
    <t>143603</t>
  </si>
  <si>
    <t>Tubo e conexão FD JE/JE2GS DN 100</t>
  </si>
  <si>
    <t>FLANGE AVULSO FD</t>
  </si>
  <si>
    <t>212502</t>
  </si>
  <si>
    <t>Flange avulso FD PN-10 DN75/80 conforme NBR7675 (5550)</t>
  </si>
  <si>
    <t>212503</t>
  </si>
  <si>
    <t>Flange avulso FD PN-10 DN100 conforme NBR7675</t>
  </si>
  <si>
    <t>2169</t>
  </si>
  <si>
    <t>TE DE REDUÇÃO FD COM FLANGES PN-10</t>
  </si>
  <si>
    <t>216903</t>
  </si>
  <si>
    <t>Te FD FFF PN-10 DN100x75/80 conforme NBR7675 (284106)</t>
  </si>
  <si>
    <t>223301</t>
  </si>
  <si>
    <t>Tampão Classe 50 FD p/ poço de visita padrão Sanepar, incluindo caixilho (270350)</t>
  </si>
  <si>
    <t>224004</t>
  </si>
  <si>
    <t>Te FD FFF PN-10 DN100x80 linha esgoto (294133)</t>
  </si>
  <si>
    <t>228021</t>
  </si>
  <si>
    <t>228012</t>
  </si>
  <si>
    <t>Toco de tubo FD flange/flange PN-10/16 DN 100 comp = 1,00 m</t>
  </si>
  <si>
    <t>228209</t>
  </si>
  <si>
    <t>Toco de tubo FD flange/flange c/ aba de vedação PN-10/16/25 DN 80 comp = 1,50 m</t>
  </si>
  <si>
    <t>2409</t>
  </si>
  <si>
    <t>TAMPÃO PVC / PP</t>
  </si>
  <si>
    <t>240901</t>
  </si>
  <si>
    <t>Tampa plástica para passeio - TPP (275174)</t>
  </si>
  <si>
    <t>090410</t>
  </si>
  <si>
    <t>DE 125 mm</t>
  </si>
  <si>
    <t>268143 **</t>
  </si>
  <si>
    <t>268162 **</t>
  </si>
  <si>
    <t>Tubo PEAD PE-100 PN-12,5 DE 125</t>
  </si>
  <si>
    <t>Sela de derivação DE 125x90</t>
  </si>
  <si>
    <t>Ventosa com flanges DN 80</t>
  </si>
  <si>
    <t>COLETOR 02 - SERVIÇOS</t>
  </si>
  <si>
    <t>COLETOR 02 - MATERIAIS</t>
  </si>
  <si>
    <t>COLETOR 03 - SERVIÇOS</t>
  </si>
  <si>
    <t>COLETOR 03 - MATERIAIS</t>
  </si>
  <si>
    <t>COLETOR 04</t>
  </si>
  <si>
    <t>COLETOR 04 - SERVIÇOS</t>
  </si>
  <si>
    <t>COLETOR 04 - MATERIAIS</t>
  </si>
  <si>
    <t>ACUM %</t>
  </si>
  <si>
    <t>ACUM R$</t>
  </si>
  <si>
    <t>TOTAIS</t>
  </si>
  <si>
    <t>EEE - INSTALAÇÕES ELÉTRICAS</t>
  </si>
  <si>
    <t>EEE - LINHA DE RECALQUE</t>
  </si>
  <si>
    <t>EEE - EQUIPAMENTOS</t>
  </si>
  <si>
    <t>EEE - INTERLIGAÇÕES</t>
  </si>
  <si>
    <t>EEE - ESTRUTURA</t>
  </si>
  <si>
    <t>EEE - URBANIZAÇÃO</t>
  </si>
  <si>
    <t>ETE - INSTALAÇÕES ELÉTRICAS</t>
  </si>
  <si>
    <t>ETE - LABORATÓRIO</t>
  </si>
  <si>
    <t>ETE - CAIXAS</t>
  </si>
  <si>
    <t>ETE - LAGOA FACULTATIVA 02</t>
  </si>
  <si>
    <t>ETE - LAGOA FACULTATIVA 01</t>
  </si>
  <si>
    <t>ETE - LAGOA ANAERÓBIA</t>
  </si>
  <si>
    <t>ETE - BAGS</t>
  </si>
  <si>
    <t>ETE - DESARENADOR</t>
  </si>
  <si>
    <t>ETE - DRENAGEM</t>
  </si>
  <si>
    <t>ETE - INTERLIGAÇÕES</t>
  </si>
  <si>
    <t>ETE - URBANIZAÇÃO</t>
  </si>
  <si>
    <t>ETE - ACESSO</t>
  </si>
  <si>
    <t>TOTAIS ACUMULADOS</t>
  </si>
  <si>
    <t>Meses</t>
  </si>
  <si>
    <t>UNIDADES CONSTRUTIVAS</t>
  </si>
  <si>
    <t/>
  </si>
  <si>
    <t>DATA:           22/04/2019</t>
  </si>
  <si>
    <t>SISTEMA DE ESGOTAMENTO SANITÁRIO - SES</t>
  </si>
  <si>
    <t>OBRA</t>
  </si>
  <si>
    <t>CONTRATO/OS:</t>
  </si>
  <si>
    <t>MUNICÍPIO:</t>
  </si>
  <si>
    <t>CRONOGRAMA FINANCEIRO</t>
  </si>
  <si>
    <t>Jun18 MOS4aEd v00</t>
  </si>
  <si>
    <t>Tubo de concreto DN 300</t>
  </si>
  <si>
    <t>Tubo de concreto DN 400</t>
  </si>
  <si>
    <t>Entrada de água em PVC diam. 32 mm</t>
  </si>
  <si>
    <t>130103</t>
  </si>
  <si>
    <t>140305</t>
  </si>
  <si>
    <t>Válvula de retenção de portinhola simples DN 150 a DN 300</t>
  </si>
  <si>
    <t>140419</t>
  </si>
  <si>
    <t>Junta flangeada DN 200</t>
  </si>
  <si>
    <t>Tubo e conexão FD JF DN 80</t>
  </si>
  <si>
    <t>143620</t>
  </si>
  <si>
    <t>Tubo e conexão FD JF DN 150</t>
  </si>
  <si>
    <t>143622</t>
  </si>
  <si>
    <t>143604</t>
  </si>
  <si>
    <t>Tubo e conexão FD JE/JE2GS DN 150</t>
  </si>
  <si>
    <t>143605</t>
  </si>
  <si>
    <t>Tubo e conexão FD JE/JE2GS DN 200</t>
  </si>
  <si>
    <t>Tubo e conexão FD JF DN 50</t>
  </si>
  <si>
    <t>143619</t>
  </si>
  <si>
    <t>Cap FD com bolsa JE2GS DN100 conforme norma NBR7675 (248)</t>
  </si>
  <si>
    <t>210402</t>
  </si>
  <si>
    <t>Cap FD com bolsa JE2GS DN75/80 conforme norma NBR7675 (221)</t>
  </si>
  <si>
    <t>211203</t>
  </si>
  <si>
    <t>Curva com pe 90o FD FF PN-10 DN100 conforme NBR7675</t>
  </si>
  <si>
    <t>211204</t>
  </si>
  <si>
    <t>Curva com pe 90o FD FF PN-10 DN150 conforme NBR7675</t>
  </si>
  <si>
    <t>210304</t>
  </si>
  <si>
    <t>ABF + PPF  DN  150 - PN-10</t>
  </si>
  <si>
    <t>210305</t>
  </si>
  <si>
    <t>ABF + PPF  DN  200 - PN-10</t>
  </si>
  <si>
    <t>ABF + PPF  DN   50 - PN-10</t>
  </si>
  <si>
    <t>210301</t>
  </si>
  <si>
    <t>210302</t>
  </si>
  <si>
    <t>ABF + PPF  DN   75 - PN-10</t>
  </si>
  <si>
    <t>EXTREMIDADE FD FLANGE / PONTA</t>
  </si>
  <si>
    <t>211601</t>
  </si>
  <si>
    <t>Extremidade FD FP PN-10 DN50 conforme NBR7675</t>
  </si>
  <si>
    <t>211602</t>
  </si>
  <si>
    <t>211603</t>
  </si>
  <si>
    <t>211604</t>
  </si>
  <si>
    <t>Extremidade FD FP PN-10 DN75/80 conforme NBR7675</t>
  </si>
  <si>
    <t>Extremidade FD FP PN-10 DN100 conforme NBR7675</t>
  </si>
  <si>
    <t>Extremidade FD FP PN-10 DN150 conforme NBR7675</t>
  </si>
  <si>
    <t>211605</t>
  </si>
  <si>
    <t>Extremidade FD FP PN-10 DN200 conforme NBR7675</t>
  </si>
  <si>
    <t>212504</t>
  </si>
  <si>
    <t>Flange avulso FD PN-10 DN150 conforme NBR7675</t>
  </si>
  <si>
    <t>212505</t>
  </si>
  <si>
    <t>Flange avulso FD PN-10 DN200 conforme NBR7675 (5983)</t>
  </si>
  <si>
    <t>Junta de desmontagem travada axialmente FF PN-10 DN150</t>
  </si>
  <si>
    <t>220736</t>
  </si>
  <si>
    <t>220737</t>
  </si>
  <si>
    <t>Curva de 45o FD BB JE/JE2GS DN100 linha esgoto</t>
  </si>
  <si>
    <t>Curva de 45o FD BB JE/JE2GS DN150 linha esgoto (294121)</t>
  </si>
  <si>
    <t>220753</t>
  </si>
  <si>
    <t>220754</t>
  </si>
  <si>
    <t>Curva de 90o FD BB JE/JE2GS DN100 linha esgoto (286307)</t>
  </si>
  <si>
    <t>Curva de 90o FD BB JE/JE2GS DN150 linha esgoto</t>
  </si>
  <si>
    <t>Curva de 90o FD BB JE/JE2GS DN200 linha esgoto (277410)</t>
  </si>
  <si>
    <t>220950</t>
  </si>
  <si>
    <t>Curva de 45o FD FF PN-10 DN150 linha esgoto (292996)</t>
  </si>
  <si>
    <t>220949</t>
  </si>
  <si>
    <t>Curva de 45o FD FF PN-10 DN100 linha esgoto</t>
  </si>
  <si>
    <t>220973</t>
  </si>
  <si>
    <t>Curva de 90o FD FF PN-10 DN100 linha esgoto (286301)</t>
  </si>
  <si>
    <t>220974</t>
  </si>
  <si>
    <t>Curva de 90o FD FF PN-10 DN150 linha esgoto (292998)</t>
  </si>
  <si>
    <t>222405</t>
  </si>
  <si>
    <t>Junção FD 45° FFF PN-10 DN150x150 linha esgoto (293004)</t>
  </si>
  <si>
    <t>224009</t>
  </si>
  <si>
    <t>Te FD FFF PN-10 DN150x150 linha esgoto (293006)</t>
  </si>
  <si>
    <t>224014</t>
  </si>
  <si>
    <t>Te FD FFF PN-10 DN200x200 linha esgoto (293007)</t>
  </si>
  <si>
    <t>224002</t>
  </si>
  <si>
    <t>Te FD FFF PN-10 DN80x80 linha esgoto (294133)</t>
  </si>
  <si>
    <t>228006</t>
  </si>
  <si>
    <t>228007</t>
  </si>
  <si>
    <t>228008</t>
  </si>
  <si>
    <t>228009</t>
  </si>
  <si>
    <t>Toco de tubo FD flange/flange PN-10/16/25 DN 80 comp = 0,25 m</t>
  </si>
  <si>
    <t>Toco de tubo FD flange/flange PN-10/16/25 DN 80 comp = 0,50 m</t>
  </si>
  <si>
    <t>Toco de tubo FD flange/flange PN-10/16/25 DN 80 comp = 1,00 m</t>
  </si>
  <si>
    <t>Toco de tubo FD flange/flange PN-10/16/25 DN 80 comp = 1,50 m</t>
  </si>
  <si>
    <t>228010</t>
  </si>
  <si>
    <t>228011</t>
  </si>
  <si>
    <t>Toco de tubo FD flange/flange PN-10/16/25 DN 80 comp = 2,00 m</t>
  </si>
  <si>
    <t>Toco de tubo FD flange/flange PN-10/16/25 DN 80 comp = 2,50 m</t>
  </si>
  <si>
    <t>Toco de tubo FD flange/flange PN-10/16/25 DN 80 comp = 3,00 m</t>
  </si>
  <si>
    <t>228013</t>
  </si>
  <si>
    <t>228015</t>
  </si>
  <si>
    <t>Toco de tubo FD flange/flange PN-10/16/25 DN 80 comp = 3,50 m</t>
  </si>
  <si>
    <t>Toco de tubo FD flange/flange PN-10/16/25 DN 80 comp = 4,50 m</t>
  </si>
  <si>
    <t>Toco de tubo FD flange/flange PN-10/16/25 DN 80 comp = 5,80 m</t>
  </si>
  <si>
    <t>228032</t>
  </si>
  <si>
    <t>228033</t>
  </si>
  <si>
    <t>228034</t>
  </si>
  <si>
    <t>228035</t>
  </si>
  <si>
    <t>228036</t>
  </si>
  <si>
    <t>Toco de tubo FD flange/flange PN-10/16 DN 150 comp = 0,25 m</t>
  </si>
  <si>
    <t>Toco de tubo FD flange/flange PN-10/16 DN 150 comp = 0,50 m</t>
  </si>
  <si>
    <t>Toco de tubo FD flange/flange PN-10/16 DN 150 comp = 1,00 m</t>
  </si>
  <si>
    <t>Toco de tubo FD flange/flange PN-10/16 DN 150 comp = 1,50 m</t>
  </si>
  <si>
    <t>Toco de tubo FD flange/flange PN-10/16 DN 150 comp = 2,00 m</t>
  </si>
  <si>
    <t>228123</t>
  </si>
  <si>
    <t>228133</t>
  </si>
  <si>
    <t>228134</t>
  </si>
  <si>
    <t>228135</t>
  </si>
  <si>
    <t>Toco de tubo FD ponta/flange PN-10/16 DN 150 comp = 0,50 m</t>
  </si>
  <si>
    <t>Toco de tubo FD ponta/flange PN-10/16 DN 150 comp = 1,00 m</t>
  </si>
  <si>
    <t>Toco de tubo FD ponta/flange PN-10/16 DN 150 comp = 1,50 m</t>
  </si>
  <si>
    <t>228146</t>
  </si>
  <si>
    <t>Toco de tubo FD ponta/flange PN-10/16 DN 200 comp = 0,50 m</t>
  </si>
  <si>
    <t>228148</t>
  </si>
  <si>
    <t>Toco de tubo FD ponta/flange PN-10/16 DN 200 comp = 1,50 m</t>
  </si>
  <si>
    <t>228309</t>
  </si>
  <si>
    <t>Toco de tubo FD ponta/flange c/ aba de vedação PN-10/16/25 DN 80 comp = 1,50 m</t>
  </si>
  <si>
    <t>228234</t>
  </si>
  <si>
    <t>Toco de tubo FD flange/flange c/ aba de vedação PN-10/16 DN 150 comp = 1,00 m</t>
  </si>
  <si>
    <t>228210</t>
  </si>
  <si>
    <t>Toco de tubo FD flange/flange c/ aba de vedação PN-10/16/25 DN 80 comp = 2,00 m</t>
  </si>
  <si>
    <t>Toco de tubo FD flange/flange c/ aba de vedação PN-10/16/25 DN 80 comp = 3,00 m</t>
  </si>
  <si>
    <t>228212</t>
  </si>
  <si>
    <t>228211</t>
  </si>
  <si>
    <t>Toco de tubo FD flange/flange c/ aba de vedação PN-10/16/25 DN 80 comp = 2,50 m</t>
  </si>
  <si>
    <t>228321</t>
  </si>
  <si>
    <t>228322</t>
  </si>
  <si>
    <t>Toco de tubo FD ponta/flange c/ aba de vedação PN-10/16 DN 100 comp = 1,00 m</t>
  </si>
  <si>
    <t>Toco de tubo FD ponta/flange c/ aba de vedação PN-10/16 DN 100 comp = 1,50 m</t>
  </si>
  <si>
    <t>228333</t>
  </si>
  <si>
    <t>Toco de tubo FD ponta/flange c/ aba de vedação PN-10/16 DN 150 comp = 0,50 m</t>
  </si>
  <si>
    <t>228347</t>
  </si>
  <si>
    <t>Toco de tubo FD ponta/flange c/ aba de vedação PN-10/16 DN 200 comp = 1,00 m</t>
  </si>
  <si>
    <t>240546</t>
  </si>
  <si>
    <t>Curva PVC 90º JS   32 mm (22160)</t>
  </si>
  <si>
    <t>3532 *</t>
  </si>
  <si>
    <t>Joelho PVC, soldável, com bucha de latão, 32mm x 3/4", para água fria predial</t>
  </si>
  <si>
    <t>Curva PVC 90º JE/JEI PB  coletor de esgoto DN 150 (115150)</t>
  </si>
  <si>
    <t>Registro de gaveta FD corpo curto cunha emborrachada FF PN-10 e cabeçote DN150</t>
  </si>
  <si>
    <t>290204</t>
  </si>
  <si>
    <t>290405</t>
  </si>
  <si>
    <t>R. de gaveta FD cunha emborrachada BB JE e cabeçote DN200 - NBR14968 (280518)</t>
  </si>
  <si>
    <t>Válvula de retenção DN 150</t>
  </si>
  <si>
    <t>295904</t>
  </si>
  <si>
    <t>9840 *</t>
  </si>
  <si>
    <t>Tubo PVC, PBV série R, DN 150 mm</t>
  </si>
  <si>
    <t>20152 *</t>
  </si>
  <si>
    <t>Joelho PVC, série R, 45 graus, DN 150mm</t>
  </si>
  <si>
    <t>9839 *</t>
  </si>
  <si>
    <t>Tubo PVC, PBV série R, DN 75 mm</t>
  </si>
  <si>
    <t>Tirante 16 mm 0,7 metros</t>
  </si>
  <si>
    <t>Chave "T"</t>
  </si>
  <si>
    <t>Tirante 20 mm 0,9 metros</t>
  </si>
  <si>
    <t>140122</t>
  </si>
  <si>
    <t>Cj submersível até 10 CV</t>
  </si>
  <si>
    <t>Calha Parshall -   3" a   9"</t>
  </si>
  <si>
    <t>Comporta de superfície em em fibra de vidro acionamento manual atavés de volante e guias de alumínio</t>
  </si>
  <si>
    <t>Comporta placa manual - Stop Log</t>
  </si>
  <si>
    <t>Calha Parshall 2"</t>
  </si>
  <si>
    <t>Calha Parshall 1"</t>
  </si>
  <si>
    <t>Medidor de vazão eletromagnético DN 150</t>
  </si>
  <si>
    <t>Bomba submersível Sulzer Piranha PE45/2W-C - Esperança Nova</t>
  </si>
  <si>
    <t>Bomba submersível Sulzer Piranha S D - Iracema do Oeste</t>
  </si>
  <si>
    <t>Bomba submersível Xylem NP 3127 SH3~ 247 - Mercedes</t>
  </si>
  <si>
    <t>Bomba submersível  Flygt MP 3069 HT 3~ 258 - Mercedes</t>
  </si>
  <si>
    <t xml:space="preserve">Bomba submersível Sulzer XFP101G CB1 - Missal
</t>
  </si>
  <si>
    <t>Bomba submersível Flygt NP 3171 SH 3~275 - Diamante do Oeste</t>
  </si>
  <si>
    <t>Bomba submersível Xylem NP 3127 SH3~ 247 - São José das Palmeiras</t>
  </si>
  <si>
    <t>DE 63 mm</t>
  </si>
  <si>
    <t>DE 75 mm</t>
  </si>
  <si>
    <t>DE 90 mm</t>
  </si>
  <si>
    <t>DE 110 mm</t>
  </si>
  <si>
    <t>DE 180 mm</t>
  </si>
  <si>
    <t>090406</t>
  </si>
  <si>
    <t>090407</t>
  </si>
  <si>
    <t>090408</t>
  </si>
  <si>
    <t>090409</t>
  </si>
  <si>
    <t>090413</t>
  </si>
  <si>
    <t>Tubo PEAD PE-100 PN-10 DE 63</t>
  </si>
  <si>
    <t>Tubo PEAD PE-100 PN-10 DE 75</t>
  </si>
  <si>
    <t>Tubo PEAD PE-100 PN-10 DE 90</t>
  </si>
  <si>
    <t>Tubo PEAD PE-100 PN-10 DE 110</t>
  </si>
  <si>
    <t>268139 **</t>
  </si>
  <si>
    <t>268140 **</t>
  </si>
  <si>
    <t>268141 **</t>
  </si>
  <si>
    <t>268142 **</t>
  </si>
  <si>
    <t>Tubo PEAD PE-100 PN-12,5 DE 180</t>
  </si>
  <si>
    <t>268165 **</t>
  </si>
  <si>
    <t>Curva 45 PEAD por eletrofusão DE 125</t>
  </si>
  <si>
    <t>Curva 45 PEAD por eletrofusão DE 63</t>
  </si>
  <si>
    <t>Curva 45 PEAD por eletrofusão DE 75</t>
  </si>
  <si>
    <t>Curva 45 PEAD por eletrofusão DE 90</t>
  </si>
  <si>
    <t>Curva 45 PEAD por eletrofusão DE 110</t>
  </si>
  <si>
    <t>Curva 90 PEAD por eletrofusão DE 63</t>
  </si>
  <si>
    <t>Curva 90 PEAD por eletrofusão DE 75</t>
  </si>
  <si>
    <t>Curva 90 PEAD por eletrofusão DE 90</t>
  </si>
  <si>
    <t>Curva 90 PEAD por eletrofusão DE 110</t>
  </si>
  <si>
    <t>Colarinho para PEAD DE 63</t>
  </si>
  <si>
    <t>Colarinho para PEAD DE 75</t>
  </si>
  <si>
    <t>Colarinho para PEAD DE 90</t>
  </si>
  <si>
    <t>Colarinho para PEAD DE 110</t>
  </si>
  <si>
    <t>Luva de eletrofusão DE 125</t>
  </si>
  <si>
    <t>Luva de eletrofusão DE 90</t>
  </si>
  <si>
    <t>Sela de derivação DE 110x90</t>
  </si>
  <si>
    <t>Luva de eletrofusão DE 110</t>
  </si>
  <si>
    <t>Luva de eletrofusão DE 63</t>
  </si>
  <si>
    <t>Curva 90 PEAD por eletrofusão DE 180</t>
  </si>
  <si>
    <t>Colarinho para PEAD DE 180</t>
  </si>
  <si>
    <t>Luva de eletrofusão DE 180</t>
  </si>
  <si>
    <t>Proposta (001-00044938) PAM Saint Gobain (item 3)</t>
  </si>
  <si>
    <t>Proposta (001-00044938) PAM Saint Gobain (Item 2)</t>
  </si>
  <si>
    <t>Proposta (001-00044938) PAM Saint Gobain (Item 2) só foi passado proposta da DN150</t>
  </si>
  <si>
    <t>Proposta (001-00044938) PAM Saint Gobain (item 4)</t>
  </si>
  <si>
    <t>Proposta (001-00044938) PAM Saint Gobain (item 5)</t>
  </si>
  <si>
    <t>Proposta (001-00044938) PAM Saint Gobain (item 6)</t>
  </si>
  <si>
    <t>Proposta (001-00044938) PAM Saint Gobain (item 7)</t>
  </si>
  <si>
    <t>Proposta (001-00044938) PAM Saint Gobain (item 8)</t>
  </si>
  <si>
    <t>Proposta (31268559) Bermad (item 2)</t>
  </si>
  <si>
    <t>Proposta (31268559) Bermad (item 3)</t>
  </si>
  <si>
    <t>Proposta (001-00044938) PAM Saint Gobain (item 9)  +  Proposta (31268559) Bermad (item 1)</t>
  </si>
  <si>
    <t>Proposta (0027p) Ciasey (item 3)</t>
  </si>
  <si>
    <t>Proposta (0027p) Ciasey (item 1)</t>
  </si>
  <si>
    <t>Proposta (0027p) Ciasey (item 2)</t>
  </si>
  <si>
    <t>Proposta (201811754) SanecomFibra</t>
  </si>
  <si>
    <t>Proposta (0027p) Ciasey (item 5)   +  Proposta (J2 174272 Ver 00 KF) Conaut (Item 1)</t>
  </si>
  <si>
    <t>Proposta nº 2504 - PSO Representações (Item 1)</t>
  </si>
  <si>
    <t>Bomba submersível Famac FBS RSA 65 5 184  (Serranópolis do Iguaçu EEE01)</t>
  </si>
  <si>
    <t>Bomba submersível Famac FBS RSA 50 5 162  (Serranópolis do Iguaçu EEE02)</t>
  </si>
  <si>
    <t>Bomba submersível Sulzer ABS Piranha PE100/2-E  (Ibiaci)</t>
  </si>
  <si>
    <t>Proposta nº 2504 - PSO Representações (Item 2)</t>
  </si>
  <si>
    <t>Proposta nº 2504 - PSO Representações (Item 3)</t>
  </si>
  <si>
    <t>Proposta nº52457 - Sulzer (Item 1)</t>
  </si>
  <si>
    <t>Proposta Aflon</t>
  </si>
  <si>
    <t>Proposta Aflon + Proposta FGS Brasil</t>
  </si>
  <si>
    <t>Profundidade 0 m &lt; h &lt;= 2 m</t>
  </si>
  <si>
    <t>090205</t>
  </si>
  <si>
    <t>090206</t>
  </si>
  <si>
    <t>DN 300</t>
  </si>
  <si>
    <t>DN 400</t>
  </si>
  <si>
    <t>090705</t>
  </si>
  <si>
    <t>090706</t>
  </si>
  <si>
    <t>090707</t>
  </si>
  <si>
    <t>090708</t>
  </si>
  <si>
    <t>DN 350</t>
  </si>
  <si>
    <t>228383</t>
  </si>
  <si>
    <t>228396</t>
  </si>
  <si>
    <t>Toco de tubo FD ponta/flange PN-10/16 DN 300 comp = 5,80 m</t>
  </si>
  <si>
    <t>Toco de tubo FD ponta/flange PN-10/16 DN 400 comp = 5,80 m</t>
  </si>
  <si>
    <t>251106</t>
  </si>
  <si>
    <t>251108</t>
  </si>
  <si>
    <t>Tubo PVC JEI coletor de esgoto parede maciça NBR 7362-2 DN 300</t>
  </si>
  <si>
    <t>Tubo PVC JEI coletor de esgoto parede maciça NBR 7362-2 DN 400</t>
  </si>
  <si>
    <t>Cruzeta PVC JS 25mm</t>
  </si>
  <si>
    <t>240436</t>
  </si>
  <si>
    <t>Curva PVC 45° JS 25 mm</t>
  </si>
  <si>
    <t>Curva PVC 90° JS 25 mm</t>
  </si>
  <si>
    <t>Manta Geotêxtil - Resistência a Tração  = 9 KN/m</t>
  </si>
  <si>
    <t>IMPERMEABILIZAÇÃO DAS ESTRUTURAS DE CONCRETO</t>
  </si>
  <si>
    <t>LAGOA FACULTATIVA 3 - SERVIÇOS</t>
  </si>
  <si>
    <t>LAGOA FACULTATIVA 3 - MATERIAIS</t>
  </si>
  <si>
    <t>BIOFILTRO SUBMERSO - SERVIÇOS</t>
  </si>
  <si>
    <t>BIOFILTRO SUBMERSO - MATERIAIS</t>
  </si>
  <si>
    <t>Diam. 100 mm</t>
  </si>
  <si>
    <t>Brita 3</t>
  </si>
  <si>
    <t>Cap PVC JE/JEI coletor de esgoto DN 100</t>
  </si>
  <si>
    <t>Curva PVC 90° JE/JEI coletor de esgoto DN 100</t>
  </si>
  <si>
    <t>250501</t>
  </si>
  <si>
    <t>Luva de correr PVC JE/JEI coletor de esgoto DN 100</t>
  </si>
  <si>
    <t>250901</t>
  </si>
  <si>
    <t>Te PVC JE/JEI BBB coletor de esgoto DN 100</t>
  </si>
  <si>
    <t>LONAS</t>
  </si>
  <si>
    <t>Lona preta PVC 3 ilhos</t>
  </si>
  <si>
    <t>Barra roscada aço inox AISI 304 - M20</t>
  </si>
  <si>
    <t>Arruela lisa din 125 aço inox AISI 304 M20</t>
  </si>
  <si>
    <t>Porca sextavada aço inox AISI 304- M20- DIN934</t>
  </si>
  <si>
    <t>DISTRIBUIDOR DE VAZÃO</t>
  </si>
  <si>
    <t>Placa de alumínio , e= 20 mm</t>
  </si>
  <si>
    <t>Barra roscada aço inox AISI 304 - M10</t>
  </si>
  <si>
    <t>Arruela lisa din 127 aço inox AISI 304 M10</t>
  </si>
  <si>
    <t>Porca sextavada aço inox AISI 304- M10- DIN934</t>
  </si>
  <si>
    <t>160904</t>
  </si>
  <si>
    <t>Proposta (0029p) Ciasey (item 1)   +  Proposta (J2 174272 Ver 00 KF) Conaut (Item 3)</t>
  </si>
  <si>
    <t>Bomba submersível Sulzer ABS Piranha PE35/2W-C (Ramilândia - EEE01)</t>
  </si>
  <si>
    <t>Bomba submersível Sulzer EJ 40B/BX (Ramilândia - EEE02)</t>
  </si>
  <si>
    <t>Bomba submersível Famac FBS RSA 65 5 192 (Cafezal do Sul)</t>
  </si>
  <si>
    <t>Bomba submersível Sulzer Piranha PE125/2-E  (Ouro Verde do Oeste - EEE-01)</t>
  </si>
  <si>
    <t>Bomba submersível Sulzer Piranha PE 100/2-E (Ouro Verde do Oeste - EEE-02)</t>
  </si>
  <si>
    <t>Bomba submersível Sulzer ABS Piranha 08 W (Alto Paraíso)</t>
  </si>
  <si>
    <t xml:space="preserve">Bomba submersível Sulzer XFP101G CB1 - Mariluz
</t>
  </si>
  <si>
    <t>Proposta nº 52457 - Sulzer</t>
  </si>
  <si>
    <t>OK</t>
  </si>
  <si>
    <t>ESTAÇÃO ELEVATÓRIA DE ESGOTO - EEE02</t>
  </si>
  <si>
    <t>ESTAÇÃO ELEVATÓRIA DE ESGOTO - EEE01</t>
  </si>
  <si>
    <t>U.C. : 14</t>
  </si>
  <si>
    <t>ESCAVAÇÃO MECÂNICA, NÃO EM VALAS, EM QUALQUER TIPO DE SOLO,</t>
  </si>
  <si>
    <t>EXCETO ROCHA</t>
  </si>
  <si>
    <t xml:space="preserve">ESCAVAÇÃO MECÂNICA, NÃO EM VALAS, EM QUALQUER TIPO DE SOLO, </t>
  </si>
  <si>
    <t>COLETOR 05</t>
  </si>
  <si>
    <t>COLETOR 06</t>
  </si>
  <si>
    <t>COLETOR 07</t>
  </si>
  <si>
    <t>COLETOR 07 - SERVIÇOS</t>
  </si>
  <si>
    <t>COLETOR 07 - MATERIAIS</t>
  </si>
  <si>
    <t>COLETOR 06 - MATERIAIS</t>
  </si>
  <si>
    <t>COLETOR 06 - SERVIÇOS</t>
  </si>
  <si>
    <t>COLETOR 05 - MATERIAIS</t>
  </si>
  <si>
    <t>COLETOR 05 - SERVIÇOS</t>
  </si>
  <si>
    <t>extensão rede</t>
  </si>
  <si>
    <t>escavação</t>
  </si>
  <si>
    <t>TL / TQ / PV</t>
  </si>
  <si>
    <t>pavimentação</t>
  </si>
  <si>
    <t>número ligações</t>
  </si>
  <si>
    <t>pavimentação ligações</t>
  </si>
  <si>
    <t>deslocamento</t>
  </si>
  <si>
    <t>Geocomposto drenante DGC 900/130</t>
  </si>
  <si>
    <t>ETE - LAGOA FACULTATIVA 03</t>
  </si>
  <si>
    <t>DATA</t>
  </si>
  <si>
    <t>fck = 40 Mpa</t>
  </si>
  <si>
    <t>SÃO JOSÉ DAS PALMEIRAS</t>
  </si>
  <si>
    <t>BAGs Desague de Lodo - Geoforma Ecobulk dim - 8,0 m x 40,0 m</t>
  </si>
  <si>
    <t>U.C. :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</si>
</sst>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d\/m\/yyyy"/>
    <numFmt numFmtId="166" formatCode="#,##0.00_);\-#,##0.00"/>
    <numFmt numFmtId="167" formatCode="0.00%_);\-0.00%"/>
    <numFmt numFmtId="168" formatCode="&quot;R$ &quot;#,##0.00"/>
    <numFmt numFmtId="169" formatCode="_-[$R$-416]\ * #,##0.00_-;\-[$R$-416]\ * #,##0.00_-;_-[$R$-416]\ * &quot;-&quot;??_-;_-@_-"/>
    <numFmt numFmtId="170" formatCode="#,##0.00_ ;\-#,##0.00\ "/>
    <numFmt numFmtId="171" formatCode="0.00000"/>
    <numFmt numFmtId="172" formatCode="_(* #,##0.00_);_(* \(#,##0.00\);_(* &quot;-&quot;??_);_(@_)"/>
    <numFmt numFmtId="173" formatCode="0000"/>
    <numFmt numFmtId="174" formatCode="000000"/>
    <numFmt numFmtId="175" formatCode="0%_);\-0%"/>
    <numFmt numFmtId="176" formatCode="#,##0.0000"/>
    <numFmt numFmtId="177" formatCode="&quot;R$&quot;\ #,##0.00"/>
  </numFmts>
  <fonts count="104" x14ac:knownFonts="1">
    <font>
      <sz val="10"/>
      <color indexed="8"/>
      <name val="MS Sans Serif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color indexed="8"/>
      <name val="Times New Roman"/>
      <family val="1"/>
    </font>
    <font>
      <sz val="10.1"/>
      <color indexed="8"/>
      <name val="Times New Roman"/>
      <family val="1"/>
    </font>
    <font>
      <sz val="10.1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0.1"/>
      <color indexed="8"/>
      <name val="Times New Roman"/>
      <family val="1"/>
    </font>
    <font>
      <sz val="10.1"/>
      <color indexed="8"/>
      <name val="Times New Roman"/>
      <family val="1"/>
    </font>
    <font>
      <sz val="10.1"/>
      <color indexed="8"/>
      <name val="Times New Roman"/>
      <family val="1"/>
    </font>
    <font>
      <b/>
      <sz val="10.1"/>
      <color indexed="8"/>
      <name val="Times New Roman"/>
      <family val="1"/>
    </font>
    <font>
      <b/>
      <sz val="10.1"/>
      <color indexed="8"/>
      <name val="Times New Roman"/>
      <family val="1"/>
    </font>
    <font>
      <sz val="7.9"/>
      <color indexed="8"/>
      <name val="Times New Roman"/>
      <family val="1"/>
    </font>
    <font>
      <b/>
      <sz val="10.1"/>
      <color indexed="8"/>
      <name val="Times New Roman"/>
      <family val="1"/>
    </font>
    <font>
      <b/>
      <sz val="10"/>
      <color indexed="8"/>
      <name val="MS Sans Serif"/>
      <family val="2"/>
    </font>
    <font>
      <sz val="10.1"/>
      <name val="Times New Roman"/>
      <family val="1"/>
    </font>
    <font>
      <sz val="10"/>
      <name val="MS Sans Serif"/>
      <family val="2"/>
    </font>
    <font>
      <b/>
      <sz val="10.1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MS Sans Serif"/>
      <family val="2"/>
    </font>
    <font>
      <b/>
      <sz val="12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Arial"/>
      <family val="2"/>
    </font>
    <font>
      <sz val="10"/>
      <color rgb="FFFF0000"/>
      <name val="MS Sans Serif"/>
      <family val="2"/>
    </font>
    <font>
      <sz val="10"/>
      <name val="MS Sans Serif"/>
      <family val="2"/>
    </font>
    <font>
      <sz val="10"/>
      <name val="MS Sans Serif"/>
      <family val="2"/>
    </font>
    <font>
      <sz val="10"/>
      <color rgb="FFFF0000"/>
      <name val="MS Sans Serif"/>
      <family val="2"/>
    </font>
    <font>
      <b/>
      <sz val="10"/>
      <color indexed="8"/>
      <name val="MS Sans Serif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rgb="FF00B050"/>
      <name val="Times New Roman"/>
      <family val="1"/>
    </font>
    <font>
      <sz val="10"/>
      <color rgb="FF00B050"/>
      <name val="MS Sans Serif"/>
      <family val="2"/>
    </font>
    <font>
      <sz val="10.1"/>
      <color rgb="FF00B050"/>
      <name val="Times New Roman"/>
      <family val="1"/>
    </font>
    <font>
      <sz val="10"/>
      <color indexed="8"/>
      <name val="MS Sans Serif"/>
      <family val="2"/>
    </font>
    <font>
      <sz val="9.1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0"/>
      <color rgb="FFFF0000"/>
      <name val="MS Sans Serif"/>
      <family val="2"/>
    </font>
    <font>
      <b/>
      <sz val="10"/>
      <name val="MS Sans Serif"/>
      <family val="2"/>
    </font>
    <font>
      <b/>
      <sz val="10"/>
      <name val="MS Sans Serif"/>
      <family val="2"/>
    </font>
    <font>
      <b/>
      <sz val="11"/>
      <name val="Times New Roman"/>
      <family val="1"/>
    </font>
    <font>
      <sz val="11"/>
      <color theme="1"/>
      <name val="Calibri"/>
      <family val="2"/>
    </font>
    <font>
      <b/>
      <sz val="14"/>
      <color theme="1"/>
      <name val="Calibri"/>
      <family val="2"/>
    </font>
    <font>
      <b/>
      <sz val="16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4"/>
      <color theme="1"/>
      <name val="Calibri"/>
      <family val="2"/>
    </font>
    <font>
      <b/>
      <u/>
      <sz val="12"/>
      <color theme="1"/>
      <name val="Calibri"/>
      <family val="2"/>
    </font>
    <font>
      <b/>
      <sz val="14"/>
      <color theme="1"/>
      <name val="Arial Narrow"/>
      <family val="2"/>
    </font>
    <font>
      <b/>
      <sz val="12"/>
      <name val="Calibri"/>
      <family val="2"/>
    </font>
    <font>
      <sz val="14"/>
      <name val="Calibri"/>
      <family val="2"/>
    </font>
    <font>
      <sz val="12"/>
      <name val="Arial"/>
      <family val="2"/>
    </font>
    <font>
      <b/>
      <i/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2"/>
    </font>
    <font>
      <sz val="10"/>
      <color rgb="FF000000"/>
      <name val="Times New Roman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2"/>
    </font>
    <font>
      <sz val="7.9"/>
      <name val="Times New Roman"/>
      <family val="1"/>
    </font>
    <font>
      <b/>
      <sz val="10"/>
      <name val="Times New Roman"/>
      <family val="2"/>
    </font>
    <font>
      <sz val="10"/>
      <color rgb="FFFF0000"/>
      <name val="Times New Roman"/>
      <family val="2"/>
    </font>
    <font>
      <b/>
      <sz val="10"/>
      <color rgb="FFFF0000"/>
      <name val="MS Sans Serif"/>
      <family val="2"/>
    </font>
    <font>
      <b/>
      <sz val="10"/>
      <color rgb="FF000000"/>
      <name val="Times New Roman"/>
      <family val="1"/>
    </font>
    <font>
      <sz val="11"/>
      <name val="Times New Roman"/>
      <family val="1"/>
    </font>
    <font>
      <sz val="11"/>
      <name val="MS Sans Serif"/>
      <family val="2"/>
    </font>
    <font>
      <sz val="10"/>
      <name val="Arial"/>
      <family val="2"/>
    </font>
    <font>
      <sz val="10.1"/>
      <name val="Calibri"/>
      <family val="2"/>
    </font>
    <font>
      <b/>
      <sz val="11"/>
      <name val="MS Sans Serif"/>
      <family val="2"/>
    </font>
    <font>
      <sz val="11"/>
      <name val="Calibri"/>
      <family val="2"/>
      <scheme val="minor"/>
    </font>
    <font>
      <sz val="10"/>
      <color indexed="8"/>
      <name val="Arial"/>
      <family val="2"/>
    </font>
    <font>
      <b/>
      <sz val="11"/>
      <color indexed="8"/>
      <name val="Times New Roman"/>
      <family val="1"/>
    </font>
    <font>
      <b/>
      <sz val="11"/>
      <color indexed="8"/>
      <name val="MS Sans Serif"/>
      <family val="2"/>
    </font>
    <font>
      <sz val="10"/>
      <color rgb="FF002060"/>
      <name val="MS Sans Serif"/>
      <family val="2"/>
    </font>
    <font>
      <sz val="9"/>
      <name val="MS Sans Serif"/>
      <family val="2"/>
    </font>
    <font>
      <sz val="10"/>
      <color theme="9" tint="0.79998168889431442"/>
      <name val="MS Sans Serif"/>
      <family val="2"/>
    </font>
    <font>
      <sz val="11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"/>
      <name val="Times New Roman"/>
      <family val="1"/>
    </font>
    <font>
      <sz val="10"/>
      <name val="MS Sans Serif"/>
    </font>
    <font>
      <sz val="11"/>
      <color rgb="FFC00000"/>
      <name val="Times New Roman"/>
      <family val="1"/>
    </font>
    <font>
      <sz val="11"/>
      <color rgb="FFFF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5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99">
    <xf numFmtId="0" fontId="0" fillId="0" borderId="0"/>
    <xf numFmtId="9" fontId="25" fillId="0" borderId="0" applyFont="0" applyFill="0" applyBorder="0" applyAlignment="0" applyProtection="0"/>
    <xf numFmtId="0" fontId="25" fillId="0" borderId="0"/>
    <xf numFmtId="0" fontId="28" fillId="0" borderId="0"/>
    <xf numFmtId="44" fontId="25" fillId="0" borderId="0" applyFont="0" applyFill="0" applyBorder="0" applyAlignment="0" applyProtection="0"/>
    <xf numFmtId="170" fontId="28" fillId="0" borderId="0" applyFont="0" applyFill="0" applyBorder="0" applyAlignment="0" applyProtection="0"/>
    <xf numFmtId="44" fontId="39" fillId="0" borderId="0" applyFont="0" applyFill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41" fillId="8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9" borderId="0" applyNumberFormat="0" applyBorder="0" applyAlignment="0" applyProtection="0"/>
    <xf numFmtId="0" fontId="41" fillId="12" borderId="0" applyNumberFormat="0" applyBorder="0" applyAlignment="0" applyProtection="0"/>
    <xf numFmtId="0" fontId="41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7" borderId="0" applyNumberFormat="0" applyBorder="0" applyAlignment="0" applyProtection="0"/>
    <xf numFmtId="0" fontId="42" fillId="18" borderId="0" applyNumberFormat="0" applyBorder="0" applyAlignment="0" applyProtection="0"/>
    <xf numFmtId="0" fontId="42" fillId="19" borderId="0" applyNumberFormat="0" applyBorder="0" applyAlignment="0" applyProtection="0"/>
    <xf numFmtId="0" fontId="43" fillId="8" borderId="0" applyNumberFormat="0" applyBorder="0" applyAlignment="0" applyProtection="0"/>
    <xf numFmtId="0" fontId="44" fillId="20" borderId="9" applyNumberFormat="0" applyAlignment="0" applyProtection="0"/>
    <xf numFmtId="0" fontId="45" fillId="21" borderId="10" applyNumberFormat="0" applyAlignment="0" applyProtection="0"/>
    <xf numFmtId="0" fontId="46" fillId="0" borderId="11" applyNumberFormat="0" applyFill="0" applyAlignment="0" applyProtection="0"/>
    <xf numFmtId="0" fontId="42" fillId="22" borderId="0" applyNumberFormat="0" applyBorder="0" applyAlignment="0" applyProtection="0"/>
    <xf numFmtId="0" fontId="42" fillId="23" borderId="0" applyNumberFormat="0" applyBorder="0" applyAlignment="0" applyProtection="0"/>
    <xf numFmtId="0" fontId="42" fillId="24" borderId="0" applyNumberFormat="0" applyBorder="0" applyAlignment="0" applyProtection="0"/>
    <xf numFmtId="0" fontId="42" fillId="17" borderId="0" applyNumberFormat="0" applyBorder="0" applyAlignment="0" applyProtection="0"/>
    <xf numFmtId="0" fontId="42" fillId="18" borderId="0" applyNumberFormat="0" applyBorder="0" applyAlignment="0" applyProtection="0"/>
    <xf numFmtId="0" fontId="42" fillId="25" borderId="0" applyNumberFormat="0" applyBorder="0" applyAlignment="0" applyProtection="0"/>
    <xf numFmtId="0" fontId="47" fillId="11" borderId="9" applyNumberFormat="0" applyAlignment="0" applyProtection="0"/>
    <xf numFmtId="0" fontId="48" fillId="7" borderId="0" applyNumberFormat="0" applyBorder="0" applyAlignment="0" applyProtection="0"/>
    <xf numFmtId="0" fontId="49" fillId="26" borderId="0" applyNumberFormat="0" applyBorder="0" applyAlignment="0" applyProtection="0"/>
    <xf numFmtId="0" fontId="28" fillId="27" borderId="12" applyNumberFormat="0" applyFont="0" applyAlignment="0" applyProtection="0"/>
    <xf numFmtId="0" fontId="50" fillId="20" borderId="13" applyNumberFormat="0" applyAlignment="0" applyProtection="0"/>
    <xf numFmtId="43" fontId="40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4" fillId="0" borderId="14" applyNumberFormat="0" applyFill="0" applyAlignment="0" applyProtection="0"/>
    <xf numFmtId="0" fontId="55" fillId="0" borderId="15" applyNumberFormat="0" applyFill="0" applyAlignment="0" applyProtection="0"/>
    <xf numFmtId="0" fontId="56" fillId="0" borderId="16" applyNumberFormat="0" applyFill="0" applyAlignment="0" applyProtection="0"/>
    <xf numFmtId="0" fontId="56" fillId="0" borderId="0" applyNumberFormat="0" applyFill="0" applyBorder="0" applyAlignment="0" applyProtection="0"/>
    <xf numFmtId="0" fontId="57" fillId="0" borderId="17" applyNumberFormat="0" applyFill="0" applyAlignment="0" applyProtection="0"/>
    <xf numFmtId="172" fontId="40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0" fontId="62" fillId="0" borderId="0"/>
    <xf numFmtId="0" fontId="86" fillId="0" borderId="0"/>
    <xf numFmtId="0" fontId="48" fillId="7" borderId="0" applyNumberFormat="0" applyBorder="0" applyAlignment="0" applyProtection="0"/>
    <xf numFmtId="0" fontId="49" fillId="26" borderId="0" applyNumberFormat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5" fillId="0" borderId="0"/>
    <xf numFmtId="44" fontId="39" fillId="0" borderId="0" applyFont="0" applyFill="0" applyBorder="0" applyAlignment="0" applyProtection="0"/>
    <xf numFmtId="0" fontId="28" fillId="27" borderId="12" applyNumberFormat="0" applyFont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28" fillId="0" borderId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43" fontId="40" fillId="0" borderId="0" applyFont="0" applyFill="0" applyBorder="0" applyAlignment="0" applyProtection="0"/>
    <xf numFmtId="164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43" fontId="40" fillId="0" borderId="0" applyFont="0" applyFill="0" applyBorder="0" applyAlignment="0" applyProtection="0"/>
    <xf numFmtId="164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3" fontId="100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5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4" fontId="25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</cellStyleXfs>
  <cellXfs count="844">
    <xf numFmtId="0" fontId="0" fillId="0" borderId="0" xfId="0"/>
    <xf numFmtId="0" fontId="13" fillId="0" borderId="0" xfId="0" applyFont="1" applyAlignment="1">
      <alignment vertical="center"/>
    </xf>
    <xf numFmtId="0" fontId="0" fillId="0" borderId="1" xfId="0" applyBorder="1"/>
    <xf numFmtId="0" fontId="0" fillId="0" borderId="4" xfId="0" applyBorder="1"/>
    <xf numFmtId="0" fontId="16" fillId="2" borderId="0" xfId="0" applyFont="1" applyFill="1" applyAlignment="1">
      <alignment horizontal="left" vertical="center"/>
    </xf>
    <xf numFmtId="0" fontId="0" fillId="2" borderId="0" xfId="0" applyFill="1"/>
    <xf numFmtId="166" fontId="17" fillId="2" borderId="0" xfId="0" applyNumberFormat="1" applyFont="1" applyFill="1" applyAlignment="1">
      <alignment horizontal="right" vertical="center"/>
    </xf>
    <xf numFmtId="0" fontId="10" fillId="0" borderId="0" xfId="0" applyFont="1" applyAlignment="1">
      <alignment vertical="center"/>
    </xf>
    <xf numFmtId="49" fontId="10" fillId="0" borderId="0" xfId="0" applyNumberFormat="1" applyFont="1" applyAlignment="1">
      <alignment horizontal="left" vertical="center"/>
    </xf>
    <xf numFmtId="0" fontId="24" fillId="0" borderId="0" xfId="0" applyFont="1"/>
    <xf numFmtId="168" fontId="24" fillId="0" borderId="0" xfId="0" applyNumberFormat="1" applyFont="1" applyAlignment="1">
      <alignment horizontal="right"/>
    </xf>
    <xf numFmtId="0" fontId="18" fillId="0" borderId="0" xfId="0" applyFont="1" applyAlignment="1">
      <alignment horizontal="centerContinuous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66" fontId="14" fillId="0" borderId="0" xfId="0" applyNumberFormat="1" applyFont="1" applyAlignment="1">
      <alignment horizontal="center" vertical="center"/>
    </xf>
    <xf numFmtId="166" fontId="21" fillId="0" borderId="0" xfId="0" applyNumberFormat="1" applyFont="1" applyAlignment="1">
      <alignment horizontal="center" vertical="center"/>
    </xf>
    <xf numFmtId="0" fontId="10" fillId="0" borderId="0" xfId="0" quotePrefix="1" applyFont="1" applyAlignment="1">
      <alignment horizontal="center"/>
    </xf>
    <xf numFmtId="0" fontId="0" fillId="0" borderId="4" xfId="0" applyBorder="1" applyAlignment="1">
      <alignment horizontal="center"/>
    </xf>
    <xf numFmtId="167" fontId="15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2" fillId="0" borderId="4" xfId="0" applyFont="1" applyBorder="1" applyAlignment="1">
      <alignment horizontal="center"/>
    </xf>
    <xf numFmtId="168" fontId="24" fillId="0" borderId="0" xfId="0" applyNumberFormat="1" applyFont="1"/>
    <xf numFmtId="0" fontId="10" fillId="0" borderId="0" xfId="0" applyFont="1" applyAlignment="1">
      <alignment horizontal="left" vertical="center"/>
    </xf>
    <xf numFmtId="1" fontId="11" fillId="0" borderId="0" xfId="0" applyNumberFormat="1" applyFont="1" applyAlignment="1">
      <alignment horizontal="left" vertical="center"/>
    </xf>
    <xf numFmtId="49" fontId="10" fillId="0" borderId="0" xfId="0" applyNumberFormat="1" applyFont="1" applyAlignment="1">
      <alignment vertical="center"/>
    </xf>
    <xf numFmtId="167" fontId="21" fillId="0" borderId="0" xfId="0" applyNumberFormat="1" applyFont="1" applyAlignment="1">
      <alignment horizontal="center" vertical="center"/>
    </xf>
    <xf numFmtId="0" fontId="29" fillId="0" borderId="4" xfId="0" applyFont="1" applyBorder="1" applyAlignment="1">
      <alignment horizontal="center"/>
    </xf>
    <xf numFmtId="0" fontId="29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10" fontId="23" fillId="3" borderId="0" xfId="0" applyNumberFormat="1" applyFont="1" applyFill="1" applyAlignment="1">
      <alignment horizontal="center" vertical="center"/>
    </xf>
    <xf numFmtId="0" fontId="13" fillId="0" borderId="4" xfId="0" applyFont="1" applyBorder="1" applyAlignment="1">
      <alignment horizontal="left" vertical="center"/>
    </xf>
    <xf numFmtId="0" fontId="20" fillId="0" borderId="4" xfId="0" applyFont="1" applyBorder="1"/>
    <xf numFmtId="0" fontId="13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7" fillId="0" borderId="0" xfId="0" applyFont="1"/>
    <xf numFmtId="0" fontId="27" fillId="0" borderId="3" xfId="0" applyFont="1" applyBorder="1"/>
    <xf numFmtId="0" fontId="27" fillId="0" borderId="6" xfId="0" applyFont="1" applyBorder="1" applyAlignment="1">
      <alignment horizontal="left" vertical="center"/>
    </xf>
    <xf numFmtId="0" fontId="27" fillId="0" borderId="0" xfId="0" applyFont="1" applyAlignment="1">
      <alignment vertical="center"/>
    </xf>
    <xf numFmtId="165" fontId="27" fillId="0" borderId="0" xfId="0" applyNumberFormat="1" applyFont="1" applyAlignment="1">
      <alignment vertical="center"/>
    </xf>
    <xf numFmtId="0" fontId="27" fillId="0" borderId="3" xfId="0" applyFont="1" applyBorder="1" applyAlignment="1">
      <alignment horizontal="left" vertical="center"/>
    </xf>
    <xf numFmtId="0" fontId="27" fillId="0" borderId="0" xfId="0" applyFont="1" applyAlignment="1">
      <alignment horizontal="right" vertical="center"/>
    </xf>
    <xf numFmtId="0" fontId="26" fillId="0" borderId="1" xfId="0" applyFont="1" applyBorder="1" applyAlignment="1">
      <alignment vertical="center"/>
    </xf>
    <xf numFmtId="0" fontId="26" fillId="0" borderId="8" xfId="0" applyFont="1" applyBorder="1" applyAlignment="1">
      <alignment vertical="center"/>
    </xf>
    <xf numFmtId="0" fontId="27" fillId="0" borderId="7" xfId="0" applyFont="1" applyBorder="1" applyAlignment="1">
      <alignment horizontal="left" vertical="center"/>
    </xf>
    <xf numFmtId="0" fontId="27" fillId="0" borderId="1" xfId="0" applyFont="1" applyBorder="1" applyAlignment="1">
      <alignment vertical="center"/>
    </xf>
    <xf numFmtId="0" fontId="27" fillId="0" borderId="1" xfId="0" applyFont="1" applyBorder="1"/>
    <xf numFmtId="0" fontId="27" fillId="0" borderId="1" xfId="0" applyFont="1" applyBorder="1" applyAlignment="1">
      <alignment horizontal="right" vertical="center"/>
    </xf>
    <xf numFmtId="0" fontId="27" fillId="0" borderId="7" xfId="0" applyFont="1" applyBorder="1"/>
    <xf numFmtId="2" fontId="21" fillId="0" borderId="0" xfId="0" applyNumberFormat="1" applyFont="1" applyAlignment="1">
      <alignment horizontal="center" vertical="center"/>
    </xf>
    <xf numFmtId="0" fontId="19" fillId="0" borderId="4" xfId="0" applyFont="1" applyBorder="1" applyAlignment="1">
      <alignment horizontal="left" vertical="center"/>
    </xf>
    <xf numFmtId="0" fontId="19" fillId="0" borderId="4" xfId="0" applyFont="1" applyBorder="1" applyAlignment="1">
      <alignment horizontal="center" vertical="center"/>
    </xf>
    <xf numFmtId="0" fontId="31" fillId="0" borderId="0" xfId="0" applyFont="1"/>
    <xf numFmtId="0" fontId="31" fillId="0" borderId="0" xfId="0" applyFont="1" applyAlignment="1">
      <alignment horizontal="center"/>
    </xf>
    <xf numFmtId="0" fontId="31" fillId="0" borderId="4" xfId="0" applyFont="1" applyBorder="1" applyAlignment="1">
      <alignment horizontal="center"/>
    </xf>
    <xf numFmtId="0" fontId="0" fillId="5" borderId="0" xfId="0" applyFill="1"/>
    <xf numFmtId="171" fontId="0" fillId="5" borderId="0" xfId="0" applyNumberFormat="1" applyFill="1"/>
    <xf numFmtId="0" fontId="32" fillId="0" borderId="1" xfId="0" applyFont="1" applyBorder="1"/>
    <xf numFmtId="0" fontId="32" fillId="0" borderId="0" xfId="0" applyFont="1"/>
    <xf numFmtId="0" fontId="32" fillId="2" borderId="0" xfId="0" applyFont="1" applyFill="1"/>
    <xf numFmtId="0" fontId="32" fillId="0" borderId="0" xfId="0" applyFont="1" applyAlignment="1">
      <alignment horizontal="center"/>
    </xf>
    <xf numFmtId="0" fontId="32" fillId="0" borderId="4" xfId="0" applyFont="1" applyBorder="1" applyAlignment="1">
      <alignment horizontal="center"/>
    </xf>
    <xf numFmtId="0" fontId="22" fillId="0" borderId="0" xfId="0" applyFont="1"/>
    <xf numFmtId="0" fontId="19" fillId="0" borderId="0" xfId="0" applyFont="1" applyAlignment="1">
      <alignment horizontal="left" vertical="center"/>
    </xf>
    <xf numFmtId="0" fontId="20" fillId="0" borderId="0" xfId="0" applyFont="1"/>
    <xf numFmtId="0" fontId="19" fillId="0" borderId="0" xfId="0" applyFont="1" applyAlignment="1">
      <alignment horizontal="center" vertical="center"/>
    </xf>
    <xf numFmtId="2" fontId="27" fillId="0" borderId="0" xfId="0" applyNumberFormat="1" applyFont="1" applyAlignment="1">
      <alignment vertical="center"/>
    </xf>
    <xf numFmtId="166" fontId="38" fillId="0" borderId="0" xfId="0" applyNumberFormat="1" applyFont="1" applyAlignment="1">
      <alignment horizontal="center" vertical="center"/>
    </xf>
    <xf numFmtId="0" fontId="37" fillId="0" borderId="0" xfId="0" applyFont="1" applyAlignment="1">
      <alignment horizontal="center"/>
    </xf>
    <xf numFmtId="9" fontId="21" fillId="0" borderId="0" xfId="1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166" fontId="24" fillId="2" borderId="0" xfId="0" applyNumberFormat="1" applyFont="1" applyFill="1"/>
    <xf numFmtId="2" fontId="24" fillId="2" borderId="0" xfId="0" applyNumberFormat="1" applyFont="1" applyFill="1"/>
    <xf numFmtId="166" fontId="34" fillId="0" borderId="0" xfId="0" applyNumberFormat="1" applyFont="1" applyAlignment="1">
      <alignment horizontal="center" vertical="center"/>
    </xf>
    <xf numFmtId="166" fontId="27" fillId="0" borderId="0" xfId="0" applyNumberFormat="1" applyFont="1" applyAlignment="1">
      <alignment horizontal="center" vertical="center"/>
    </xf>
    <xf numFmtId="0" fontId="33" fillId="0" borderId="0" xfId="0" applyFont="1"/>
    <xf numFmtId="0" fontId="13" fillId="0" borderId="0" xfId="0" applyFont="1" applyAlignment="1">
      <alignment horizontal="left" vertical="center"/>
    </xf>
    <xf numFmtId="166" fontId="13" fillId="0" borderId="0" xfId="0" applyNumberFormat="1" applyFont="1" applyAlignment="1">
      <alignment horizontal="center" vertical="center"/>
    </xf>
    <xf numFmtId="167" fontId="23" fillId="0" borderId="0" xfId="0" applyNumberFormat="1" applyFont="1" applyAlignment="1">
      <alignment horizontal="center" vertical="center"/>
    </xf>
    <xf numFmtId="0" fontId="60" fillId="0" borderId="4" xfId="0" applyFont="1" applyBorder="1" applyAlignment="1">
      <alignment horizontal="center"/>
    </xf>
    <xf numFmtId="0" fontId="37" fillId="0" borderId="4" xfId="0" applyFont="1" applyBorder="1" applyAlignment="1">
      <alignment horizontal="center"/>
    </xf>
    <xf numFmtId="0" fontId="33" fillId="0" borderId="0" xfId="0" applyFont="1" applyAlignment="1">
      <alignment horizontal="center"/>
    </xf>
    <xf numFmtId="0" fontId="58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166" fontId="23" fillId="0" borderId="0" xfId="0" applyNumberFormat="1" applyFont="1" applyAlignment="1">
      <alignment horizontal="center" vertical="center"/>
    </xf>
    <xf numFmtId="166" fontId="35" fillId="0" borderId="0" xfId="0" applyNumberFormat="1" applyFont="1" applyAlignment="1">
      <alignment horizontal="center" vertical="center"/>
    </xf>
    <xf numFmtId="171" fontId="33" fillId="5" borderId="0" xfId="0" applyNumberFormat="1" applyFont="1" applyFill="1"/>
    <xf numFmtId="0" fontId="33" fillId="5" borderId="0" xfId="0" applyFont="1" applyFill="1"/>
    <xf numFmtId="166" fontId="10" fillId="0" borderId="0" xfId="0" applyNumberFormat="1" applyFont="1" applyAlignment="1">
      <alignment horizontal="center" vertical="center"/>
    </xf>
    <xf numFmtId="0" fontId="21" fillId="0" borderId="0" xfId="0" applyFont="1" applyAlignment="1">
      <alignment vertical="center"/>
    </xf>
    <xf numFmtId="0" fontId="61" fillId="0" borderId="0" xfId="0" applyFont="1" applyAlignment="1">
      <alignment horizontal="center" vertical="center"/>
    </xf>
    <xf numFmtId="0" fontId="61" fillId="0" borderId="0" xfId="0" applyFont="1" applyAlignment="1">
      <alignment horizontal="left" vertical="center"/>
    </xf>
    <xf numFmtId="0" fontId="12" fillId="0" borderId="1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0" fontId="23" fillId="0" borderId="0" xfId="0" applyFont="1" applyAlignment="1">
      <alignment vertical="center"/>
    </xf>
    <xf numFmtId="2" fontId="24" fillId="0" borderId="0" xfId="0" applyNumberFormat="1" applyFont="1"/>
    <xf numFmtId="0" fontId="13" fillId="2" borderId="0" xfId="0" applyFont="1" applyFill="1" applyAlignment="1">
      <alignment horizontal="left" vertical="center"/>
    </xf>
    <xf numFmtId="166" fontId="13" fillId="2" borderId="0" xfId="0" applyNumberFormat="1" applyFont="1" applyFill="1" applyAlignment="1">
      <alignment horizontal="right" vertical="center"/>
    </xf>
    <xf numFmtId="0" fontId="21" fillId="0" borderId="0" xfId="0" applyFont="1" applyAlignment="1">
      <alignment horizontal="center" vertical="center"/>
    </xf>
    <xf numFmtId="49" fontId="21" fillId="0" borderId="0" xfId="0" applyNumberFormat="1" applyFont="1" applyAlignment="1">
      <alignment vertical="center"/>
    </xf>
    <xf numFmtId="166" fontId="36" fillId="0" borderId="0" xfId="0" applyNumberFormat="1" applyFont="1" applyAlignment="1">
      <alignment horizontal="center" vertical="center"/>
    </xf>
    <xf numFmtId="0" fontId="27" fillId="0" borderId="2" xfId="0" applyFont="1" applyBorder="1" applyAlignment="1">
      <alignment horizontal="right"/>
    </xf>
    <xf numFmtId="0" fontId="62" fillId="0" borderId="19" xfId="52" applyBorder="1"/>
    <xf numFmtId="0" fontId="62" fillId="0" borderId="21" xfId="52" applyBorder="1"/>
    <xf numFmtId="0" fontId="62" fillId="0" borderId="0" xfId="52"/>
    <xf numFmtId="0" fontId="62" fillId="0" borderId="22" xfId="52" applyBorder="1"/>
    <xf numFmtId="0" fontId="62" fillId="0" borderId="23" xfId="52" applyBorder="1"/>
    <xf numFmtId="0" fontId="65" fillId="0" borderId="0" xfId="52" applyFont="1"/>
    <xf numFmtId="0" fontId="62" fillId="0" borderId="0" xfId="52" applyAlignment="1">
      <alignment horizontal="justify"/>
    </xf>
    <xf numFmtId="0" fontId="67" fillId="0" borderId="0" xfId="52" applyFont="1" applyAlignment="1">
      <alignment horizontal="justify"/>
    </xf>
    <xf numFmtId="0" fontId="67" fillId="0" borderId="0" xfId="52" applyFont="1"/>
    <xf numFmtId="0" fontId="63" fillId="0" borderId="0" xfId="52" applyFont="1"/>
    <xf numFmtId="0" fontId="62" fillId="0" borderId="0" xfId="52" applyAlignment="1">
      <alignment horizontal="right"/>
    </xf>
    <xf numFmtId="0" fontId="62" fillId="0" borderId="24" xfId="52" applyBorder="1"/>
    <xf numFmtId="0" fontId="62" fillId="0" borderId="25" xfId="52" applyBorder="1"/>
    <xf numFmtId="0" fontId="62" fillId="0" borderId="26" xfId="52" applyBorder="1"/>
    <xf numFmtId="10" fontId="70" fillId="0" borderId="18" xfId="52" applyNumberFormat="1" applyFont="1" applyBorder="1"/>
    <xf numFmtId="0" fontId="71" fillId="0" borderId="18" xfId="52" applyFont="1" applyBorder="1"/>
    <xf numFmtId="10" fontId="71" fillId="0" borderId="18" xfId="52" applyNumberFormat="1" applyFont="1" applyBorder="1"/>
    <xf numFmtId="0" fontId="66" fillId="29" borderId="18" xfId="52" applyFont="1" applyFill="1" applyBorder="1"/>
    <xf numFmtId="10" fontId="63" fillId="29" borderId="18" xfId="52" applyNumberFormat="1" applyFont="1" applyFill="1" applyBorder="1"/>
    <xf numFmtId="0" fontId="66" fillId="29" borderId="18" xfId="52" applyFont="1" applyFill="1" applyBorder="1" applyAlignment="1">
      <alignment horizontal="center" vertical="center"/>
    </xf>
    <xf numFmtId="0" fontId="66" fillId="29" borderId="18" xfId="52" applyFont="1" applyFill="1" applyBorder="1" applyAlignment="1">
      <alignment horizontal="center" vertical="center" wrapText="1"/>
    </xf>
    <xf numFmtId="10" fontId="72" fillId="0" borderId="18" xfId="52" applyNumberFormat="1" applyFont="1" applyBorder="1" applyAlignment="1">
      <alignment horizontal="right" vertical="center"/>
    </xf>
    <xf numFmtId="0" fontId="31" fillId="0" borderId="1" xfId="0" applyFont="1" applyBorder="1"/>
    <xf numFmtId="0" fontId="74" fillId="0" borderId="1" xfId="0" applyFont="1" applyBorder="1" applyAlignment="1">
      <alignment vertical="center"/>
    </xf>
    <xf numFmtId="0" fontId="74" fillId="0" borderId="8" xfId="0" applyFont="1" applyBorder="1" applyAlignment="1">
      <alignment vertical="center"/>
    </xf>
    <xf numFmtId="0" fontId="23" fillId="0" borderId="4" xfId="0" applyFont="1" applyBorder="1" applyAlignment="1">
      <alignment horizontal="left" vertical="center"/>
    </xf>
    <xf numFmtId="0" fontId="59" fillId="0" borderId="4" xfId="0" applyFont="1" applyBorder="1"/>
    <xf numFmtId="0" fontId="23" fillId="0" borderId="4" xfId="0" applyFont="1" applyBorder="1" applyAlignment="1">
      <alignment horizontal="center" vertical="center"/>
    </xf>
    <xf numFmtId="49" fontId="21" fillId="0" borderId="0" xfId="0" applyNumberFormat="1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31" fillId="0" borderId="4" xfId="0" applyFont="1" applyBorder="1"/>
    <xf numFmtId="0" fontId="60" fillId="0" borderId="0" xfId="0" applyFont="1"/>
    <xf numFmtId="0" fontId="23" fillId="0" borderId="0" xfId="0" applyFont="1" applyAlignment="1">
      <alignment horizontal="left" vertical="center"/>
    </xf>
    <xf numFmtId="0" fontId="60" fillId="0" borderId="4" xfId="0" applyFont="1" applyBorder="1"/>
    <xf numFmtId="0" fontId="34" fillId="0" borderId="0" xfId="0" applyFont="1" applyAlignment="1">
      <alignment horizontal="center"/>
    </xf>
    <xf numFmtId="0" fontId="34" fillId="0" borderId="4" xfId="0" applyFont="1" applyBorder="1" applyAlignment="1">
      <alignment horizontal="center"/>
    </xf>
    <xf numFmtId="0" fontId="31" fillId="0" borderId="0" xfId="0" applyFont="1" applyAlignment="1">
      <alignment horizontal="left" vertical="top" wrapText="1"/>
    </xf>
    <xf numFmtId="0" fontId="34" fillId="0" borderId="0" xfId="0" applyFont="1" applyAlignment="1">
      <alignment horizontal="left" vertical="top" wrapText="1"/>
    </xf>
    <xf numFmtId="0" fontId="34" fillId="0" borderId="0" xfId="0" applyFont="1" applyAlignment="1">
      <alignment horizontal="center" vertical="top" wrapText="1"/>
    </xf>
    <xf numFmtId="49" fontId="75" fillId="0" borderId="0" xfId="0" applyNumberFormat="1" applyFont="1" applyAlignment="1">
      <alignment horizontal="left" vertical="top" wrapText="1"/>
    </xf>
    <xf numFmtId="0" fontId="34" fillId="0" borderId="0" xfId="0" applyFont="1" applyAlignment="1">
      <alignment horizontal="left" vertical="top" wrapText="1" indent="2"/>
    </xf>
    <xf numFmtId="0" fontId="34" fillId="0" borderId="0" xfId="0" applyFont="1" applyAlignment="1">
      <alignment vertical="top"/>
    </xf>
    <xf numFmtId="0" fontId="34" fillId="0" borderId="4" xfId="0" applyFont="1" applyBorder="1" applyAlignment="1">
      <alignment vertical="top"/>
    </xf>
    <xf numFmtId="0" fontId="34" fillId="0" borderId="4" xfId="0" applyFont="1" applyBorder="1" applyAlignment="1">
      <alignment horizontal="left" vertical="top" wrapText="1"/>
    </xf>
    <xf numFmtId="49" fontId="23" fillId="0" borderId="0" xfId="0" applyNumberFormat="1" applyFont="1" applyAlignment="1">
      <alignment vertical="center"/>
    </xf>
    <xf numFmtId="0" fontId="31" fillId="2" borderId="0" xfId="0" applyFont="1" applyFill="1"/>
    <xf numFmtId="0" fontId="23" fillId="2" borderId="0" xfId="0" applyFont="1" applyFill="1" applyAlignment="1">
      <alignment horizontal="left" vertical="center"/>
    </xf>
    <xf numFmtId="0" fontId="31" fillId="3" borderId="0" xfId="0" applyFont="1" applyFill="1"/>
    <xf numFmtId="168" fontId="35" fillId="0" borderId="0" xfId="0" applyNumberFormat="1" applyFont="1"/>
    <xf numFmtId="0" fontId="35" fillId="0" borderId="0" xfId="0" applyFont="1"/>
    <xf numFmtId="49" fontId="76" fillId="0" borderId="0" xfId="0" applyNumberFormat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34" fillId="0" borderId="0" xfId="0" applyFont="1" applyAlignment="1">
      <alignment vertical="top" wrapText="1"/>
    </xf>
    <xf numFmtId="0" fontId="0" fillId="0" borderId="4" xfId="0" applyBorder="1" applyAlignment="1">
      <alignment horizontal="left" vertical="top" wrapText="1"/>
    </xf>
    <xf numFmtId="0" fontId="34" fillId="0" borderId="0" xfId="0" applyFont="1" applyAlignment="1">
      <alignment horizontal="left" vertical="top"/>
    </xf>
    <xf numFmtId="49" fontId="31" fillId="0" borderId="0" xfId="0" applyNumberFormat="1" applyFont="1"/>
    <xf numFmtId="49" fontId="60" fillId="0" borderId="0" xfId="0" applyNumberFormat="1" applyFont="1"/>
    <xf numFmtId="0" fontId="3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34" fillId="0" borderId="4" xfId="0" applyFont="1" applyBorder="1" applyAlignment="1">
      <alignment horizontal="left" vertical="top"/>
    </xf>
    <xf numFmtId="0" fontId="31" fillId="0" borderId="4" xfId="0" applyFont="1" applyBorder="1" applyAlignment="1">
      <alignment horizontal="center" vertical="center"/>
    </xf>
    <xf numFmtId="0" fontId="31" fillId="0" borderId="0" xfId="0" applyFont="1" applyAlignment="1">
      <alignment horizontal="center" vertical="top" wrapText="1"/>
    </xf>
    <xf numFmtId="0" fontId="34" fillId="0" borderId="0" xfId="0" applyFont="1" applyAlignment="1">
      <alignment horizontal="center" vertical="center" wrapText="1"/>
    </xf>
    <xf numFmtId="0" fontId="34" fillId="0" borderId="0" xfId="0" applyFont="1" applyAlignment="1">
      <alignment horizontal="left" vertical="center" wrapText="1" indent="2"/>
    </xf>
    <xf numFmtId="0" fontId="35" fillId="0" borderId="0" xfId="0" applyFont="1" applyAlignment="1">
      <alignment horizontal="left" vertical="top"/>
    </xf>
    <xf numFmtId="0" fontId="35" fillId="0" borderId="4" xfId="0" applyFont="1" applyBorder="1" applyAlignment="1">
      <alignment horizontal="left" vertical="top"/>
    </xf>
    <xf numFmtId="0" fontId="35" fillId="0" borderId="4" xfId="0" applyFont="1" applyBorder="1" applyAlignment="1">
      <alignment horizontal="left" vertical="top" wrapText="1"/>
    </xf>
    <xf numFmtId="0" fontId="60" fillId="0" borderId="4" xfId="0" applyFont="1" applyBorder="1" applyAlignment="1">
      <alignment horizontal="center" vertical="center"/>
    </xf>
    <xf numFmtId="1" fontId="76" fillId="0" borderId="0" xfId="0" applyNumberFormat="1" applyFont="1" applyAlignment="1">
      <alignment horizontal="left" vertical="top" wrapText="1"/>
    </xf>
    <xf numFmtId="2" fontId="0" fillId="0" borderId="0" xfId="0" applyNumberFormat="1" applyAlignment="1">
      <alignment horizontal="left" vertical="top" wrapText="1"/>
    </xf>
    <xf numFmtId="9" fontId="34" fillId="0" borderId="0" xfId="1" applyFont="1" applyAlignment="1">
      <alignment horizontal="center" vertical="center"/>
    </xf>
    <xf numFmtId="0" fontId="0" fillId="0" borderId="4" xfId="0" applyBorder="1" applyAlignment="1">
      <alignment horizontal="center" vertical="top" wrapText="1"/>
    </xf>
    <xf numFmtId="0" fontId="31" fillId="0" borderId="4" xfId="0" applyFont="1" applyBorder="1" applyAlignment="1">
      <alignment horizontal="center" vertical="top" wrapText="1"/>
    </xf>
    <xf numFmtId="0" fontId="33" fillId="0" borderId="0" xfId="0" applyFont="1" applyAlignment="1">
      <alignment horizontal="left" vertical="top" wrapText="1"/>
    </xf>
    <xf numFmtId="0" fontId="35" fillId="0" borderId="0" xfId="0" applyFont="1" applyAlignment="1">
      <alignment vertical="top"/>
    </xf>
    <xf numFmtId="0" fontId="35" fillId="0" borderId="4" xfId="0" applyFont="1" applyBorder="1" applyAlignment="1">
      <alignment vertical="top"/>
    </xf>
    <xf numFmtId="0" fontId="33" fillId="0" borderId="4" xfId="0" applyFont="1" applyBorder="1" applyAlignment="1">
      <alignment horizontal="center" vertical="top" wrapText="1"/>
    </xf>
    <xf numFmtId="0" fontId="60" fillId="0" borderId="4" xfId="0" applyFont="1" applyBorder="1" applyAlignment="1">
      <alignment horizontal="center" vertical="top" wrapText="1"/>
    </xf>
    <xf numFmtId="9" fontId="24" fillId="0" borderId="0" xfId="1" applyFont="1" applyAlignment="1">
      <alignment horizontal="center"/>
    </xf>
    <xf numFmtId="0" fontId="34" fillId="0" borderId="4" xfId="0" applyFont="1" applyBorder="1" applyAlignment="1">
      <alignment vertical="top" wrapText="1"/>
    </xf>
    <xf numFmtId="0" fontId="35" fillId="0" borderId="4" xfId="0" applyFont="1" applyBorder="1" applyAlignment="1">
      <alignment vertical="top" wrapText="1"/>
    </xf>
    <xf numFmtId="1" fontId="75" fillId="0" borderId="0" xfId="0" applyNumberFormat="1" applyFont="1" applyAlignment="1">
      <alignment horizontal="left" vertical="top" wrapText="1"/>
    </xf>
    <xf numFmtId="0" fontId="33" fillId="0" borderId="4" xfId="0" applyFont="1" applyBorder="1" applyAlignment="1">
      <alignment horizontal="left" vertical="top" wrapText="1"/>
    </xf>
    <xf numFmtId="0" fontId="79" fillId="0" borderId="0" xfId="0" applyFont="1" applyAlignment="1">
      <alignment horizontal="centerContinuous"/>
    </xf>
    <xf numFmtId="10" fontId="21" fillId="0" borderId="0" xfId="0" applyNumberFormat="1" applyFont="1" applyAlignment="1">
      <alignment horizontal="center" vertical="center"/>
    </xf>
    <xf numFmtId="10" fontId="23" fillId="0" borderId="0" xfId="0" applyNumberFormat="1" applyFont="1" applyAlignment="1">
      <alignment horizontal="center" vertical="center"/>
    </xf>
    <xf numFmtId="10" fontId="22" fillId="0" borderId="0" xfId="0" applyNumberFormat="1" applyFont="1" applyAlignment="1">
      <alignment horizontal="center"/>
    </xf>
    <xf numFmtId="0" fontId="31" fillId="0" borderId="4" xfId="0" applyFont="1" applyBorder="1" applyAlignment="1">
      <alignment horizontal="left" vertical="top" wrapText="1"/>
    </xf>
    <xf numFmtId="4" fontId="75" fillId="0" borderId="0" xfId="0" applyNumberFormat="1" applyFont="1" applyAlignment="1">
      <alignment horizontal="center" vertical="top" wrapText="1"/>
    </xf>
    <xf numFmtId="0" fontId="34" fillId="0" borderId="0" xfId="0" applyFont="1" applyAlignment="1">
      <alignment horizontal="left" vertical="top" wrapText="1" indent="1"/>
    </xf>
    <xf numFmtId="0" fontId="60" fillId="0" borderId="4" xfId="0" applyFont="1" applyBorder="1" applyAlignment="1">
      <alignment horizontal="left" vertical="top" wrapText="1"/>
    </xf>
    <xf numFmtId="10" fontId="75" fillId="0" borderId="0" xfId="1" applyNumberFormat="1" applyFont="1" applyAlignment="1">
      <alignment horizontal="center" vertical="center"/>
    </xf>
    <xf numFmtId="0" fontId="34" fillId="0" borderId="0" xfId="0" applyFont="1" applyAlignment="1">
      <alignment vertical="center" wrapText="1"/>
    </xf>
    <xf numFmtId="49" fontId="31" fillId="0" borderId="1" xfId="0" applyNumberFormat="1" applyFont="1" applyBorder="1"/>
    <xf numFmtId="0" fontId="31" fillId="0" borderId="1" xfId="0" applyFont="1" applyBorder="1" applyAlignment="1">
      <alignment horizontal="center"/>
    </xf>
    <xf numFmtId="49" fontId="74" fillId="0" borderId="0" xfId="0" applyNumberFormat="1" applyFont="1" applyAlignment="1">
      <alignment horizontal="center" vertical="center"/>
    </xf>
    <xf numFmtId="49" fontId="74" fillId="0" borderId="1" xfId="0" applyNumberFormat="1" applyFont="1" applyBorder="1" applyAlignment="1">
      <alignment vertical="center"/>
    </xf>
    <xf numFmtId="49" fontId="23" fillId="0" borderId="4" xfId="0" applyNumberFormat="1" applyFont="1" applyBorder="1" applyAlignment="1">
      <alignment horizontal="left" vertical="center"/>
    </xf>
    <xf numFmtId="2" fontId="31" fillId="0" borderId="0" xfId="0" applyNumberFormat="1" applyFont="1" applyAlignment="1">
      <alignment horizontal="center" vertical="top" wrapText="1"/>
    </xf>
    <xf numFmtId="0" fontId="34" fillId="0" borderId="0" xfId="0" applyFont="1" applyAlignment="1">
      <alignment vertical="center"/>
    </xf>
    <xf numFmtId="9" fontId="34" fillId="0" borderId="0" xfId="1" applyFont="1"/>
    <xf numFmtId="49" fontId="31" fillId="0" borderId="0" xfId="0" applyNumberFormat="1" applyFont="1" applyAlignment="1">
      <alignment horizontal="left" vertical="top" wrapText="1"/>
    </xf>
    <xf numFmtId="49" fontId="60" fillId="0" borderId="0" xfId="0" applyNumberFormat="1" applyFont="1" applyAlignment="1">
      <alignment horizontal="left" vertical="top" wrapText="1"/>
    </xf>
    <xf numFmtId="49" fontId="75" fillId="0" borderId="0" xfId="0" applyNumberFormat="1" applyFont="1" applyAlignment="1">
      <alignment horizontal="left" vertical="center" wrapText="1"/>
    </xf>
    <xf numFmtId="49" fontId="28" fillId="0" borderId="0" xfId="0" applyNumberFormat="1" applyFont="1" applyAlignment="1">
      <alignment horizontal="left" vertical="top" wrapText="1"/>
    </xf>
    <xf numFmtId="49" fontId="31" fillId="2" borderId="0" xfId="0" applyNumberFormat="1" applyFont="1" applyFill="1"/>
    <xf numFmtId="166" fontId="35" fillId="2" borderId="0" xfId="0" applyNumberFormat="1" applyFont="1" applyFill="1"/>
    <xf numFmtId="49" fontId="35" fillId="0" borderId="0" xfId="0" applyNumberFormat="1" applyFont="1"/>
    <xf numFmtId="0" fontId="35" fillId="0" borderId="0" xfId="0" applyFont="1" applyAlignment="1">
      <alignment horizontal="center"/>
    </xf>
    <xf numFmtId="168" fontId="35" fillId="0" borderId="0" xfId="0" applyNumberFormat="1" applyFont="1" applyAlignment="1">
      <alignment horizontal="center"/>
    </xf>
    <xf numFmtId="168" fontId="35" fillId="0" borderId="0" xfId="0" applyNumberFormat="1" applyFont="1" applyAlignment="1">
      <alignment horizontal="right"/>
    </xf>
    <xf numFmtId="0" fontId="79" fillId="0" borderId="0" xfId="0" applyFont="1" applyAlignment="1">
      <alignment horizontal="center"/>
    </xf>
    <xf numFmtId="10" fontId="34" fillId="0" borderId="0" xfId="1" applyNumberFormat="1" applyFont="1" applyAlignment="1">
      <alignment horizontal="center" vertical="center" wrapText="1"/>
    </xf>
    <xf numFmtId="10" fontId="21" fillId="0" borderId="0" xfId="1" applyNumberFormat="1" applyFont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10" fontId="21" fillId="0" borderId="0" xfId="0" applyNumberFormat="1" applyFont="1" applyAlignment="1">
      <alignment horizontal="center"/>
    </xf>
    <xf numFmtId="10" fontId="23" fillId="0" borderId="0" xfId="0" applyNumberFormat="1" applyFont="1" applyAlignment="1">
      <alignment horizontal="center"/>
    </xf>
    <xf numFmtId="10" fontId="31" fillId="0" borderId="0" xfId="0" applyNumberFormat="1" applyFont="1" applyAlignment="1">
      <alignment horizontal="center"/>
    </xf>
    <xf numFmtId="10" fontId="34" fillId="0" borderId="0" xfId="1" applyNumberFormat="1" applyFont="1" applyAlignment="1">
      <alignment horizontal="center" wrapText="1"/>
    </xf>
    <xf numFmtId="4" fontId="75" fillId="0" borderId="0" xfId="0" applyNumberFormat="1" applyFont="1" applyAlignment="1">
      <alignment horizontal="center" wrapText="1"/>
    </xf>
    <xf numFmtId="0" fontId="31" fillId="0" borderId="4" xfId="0" applyFont="1" applyBorder="1" applyAlignment="1">
      <alignment horizontal="center" vertical="center" wrapText="1"/>
    </xf>
    <xf numFmtId="0" fontId="60" fillId="0" borderId="4" xfId="0" applyFont="1" applyBorder="1" applyAlignment="1">
      <alignment horizontal="center" vertical="center" wrapText="1"/>
    </xf>
    <xf numFmtId="4" fontId="80" fillId="0" borderId="0" xfId="0" applyNumberFormat="1" applyFont="1" applyAlignment="1">
      <alignment horizontal="center" wrapText="1"/>
    </xf>
    <xf numFmtId="10" fontId="34" fillId="0" borderId="0" xfId="0" applyNumberFormat="1" applyFont="1" applyAlignment="1">
      <alignment horizontal="center"/>
    </xf>
    <xf numFmtId="10" fontId="34" fillId="0" borderId="0" xfId="0" applyNumberFormat="1" applyFont="1" applyAlignment="1">
      <alignment horizontal="center" wrapText="1"/>
    </xf>
    <xf numFmtId="4" fontId="34" fillId="0" borderId="0" xfId="0" applyNumberFormat="1" applyFont="1" applyAlignment="1">
      <alignment horizontal="center" wrapText="1"/>
    </xf>
    <xf numFmtId="0" fontId="35" fillId="0" borderId="4" xfId="0" applyFont="1" applyBorder="1" applyAlignment="1">
      <alignment horizontal="center"/>
    </xf>
    <xf numFmtId="10" fontId="35" fillId="0" borderId="0" xfId="0" applyNumberFormat="1" applyFont="1" applyAlignment="1">
      <alignment horizontal="center"/>
    </xf>
    <xf numFmtId="0" fontId="31" fillId="2" borderId="0" xfId="0" applyFont="1" applyFill="1" applyAlignment="1">
      <alignment horizontal="center" vertical="center"/>
    </xf>
    <xf numFmtId="2" fontId="0" fillId="0" borderId="0" xfId="0" applyNumberFormat="1"/>
    <xf numFmtId="10" fontId="34" fillId="0" borderId="0" xfId="0" applyNumberFormat="1" applyFont="1" applyAlignment="1">
      <alignment horizontal="center" vertical="top" wrapText="1"/>
    </xf>
    <xf numFmtId="0" fontId="75" fillId="0" borderId="0" xfId="0" applyFont="1" applyAlignment="1">
      <alignment vertical="top"/>
    </xf>
    <xf numFmtId="10" fontId="34" fillId="0" borderId="0" xfId="1" applyNumberFormat="1" applyFont="1" applyAlignment="1">
      <alignment horizontal="center"/>
    </xf>
    <xf numFmtId="10" fontId="35" fillId="0" borderId="0" xfId="1" applyNumberFormat="1" applyFont="1" applyAlignment="1">
      <alignment horizontal="center"/>
    </xf>
    <xf numFmtId="167" fontId="22" fillId="0" borderId="0" xfId="0" applyNumberFormat="1" applyFont="1" applyAlignment="1">
      <alignment horizontal="center"/>
    </xf>
    <xf numFmtId="167" fontId="23" fillId="3" borderId="0" xfId="0" applyNumberFormat="1" applyFont="1" applyFill="1" applyAlignment="1">
      <alignment horizontal="center" vertical="center"/>
    </xf>
    <xf numFmtId="173" fontId="76" fillId="0" borderId="0" xfId="0" applyNumberFormat="1" applyFont="1" applyAlignment="1">
      <alignment horizontal="left" vertical="top" wrapText="1"/>
    </xf>
    <xf numFmtId="174" fontId="76" fillId="0" borderId="0" xfId="0" applyNumberFormat="1" applyFont="1" applyAlignment="1">
      <alignment horizontal="left" vertical="top" wrapText="1"/>
    </xf>
    <xf numFmtId="0" fontId="84" fillId="0" borderId="0" xfId="0" applyFont="1" applyAlignment="1">
      <alignment horizontal="left" vertical="center"/>
    </xf>
    <xf numFmtId="0" fontId="85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1" xfId="0" applyFont="1" applyBorder="1" applyAlignment="1">
      <alignment horizontal="left" vertical="center"/>
    </xf>
    <xf numFmtId="10" fontId="10" fillId="0" borderId="0" xfId="1" applyNumberFormat="1" applyFont="1" applyAlignment="1">
      <alignment horizontal="center" vertical="center"/>
    </xf>
    <xf numFmtId="0" fontId="0" fillId="0" borderId="29" xfId="0" applyBorder="1"/>
    <xf numFmtId="0" fontId="0" fillId="0" borderId="29" xfId="0" applyBorder="1" applyAlignment="1">
      <alignment horizontal="center"/>
    </xf>
    <xf numFmtId="0" fontId="32" fillId="0" borderId="29" xfId="0" applyFont="1" applyBorder="1" applyAlignment="1">
      <alignment horizontal="center"/>
    </xf>
    <xf numFmtId="166" fontId="10" fillId="0" borderId="29" xfId="0" applyNumberFormat="1" applyFont="1" applyBorder="1" applyAlignment="1">
      <alignment horizontal="center" vertical="center"/>
    </xf>
    <xf numFmtId="166" fontId="13" fillId="0" borderId="0" xfId="0" applyNumberFormat="1" applyFont="1" applyAlignment="1">
      <alignment vertical="center"/>
    </xf>
    <xf numFmtId="0" fontId="0" fillId="30" borderId="0" xfId="0" applyFill="1"/>
    <xf numFmtId="0" fontId="13" fillId="30" borderId="0" xfId="0" applyFont="1" applyFill="1" applyAlignment="1">
      <alignment horizontal="center" vertical="center"/>
    </xf>
    <xf numFmtId="49" fontId="34" fillId="0" borderId="0" xfId="0" applyNumberFormat="1" applyFont="1" applyAlignment="1">
      <alignment horizontal="left" vertical="center"/>
    </xf>
    <xf numFmtId="0" fontId="74" fillId="0" borderId="0" xfId="0" applyFont="1" applyAlignment="1">
      <alignment horizontal="center" vertical="center"/>
    </xf>
    <xf numFmtId="0" fontId="34" fillId="0" borderId="0" xfId="0" applyFont="1" applyAlignment="1">
      <alignment horizontal="left" vertical="center" wrapText="1"/>
    </xf>
    <xf numFmtId="49" fontId="34" fillId="0" borderId="0" xfId="0" applyNumberFormat="1" applyFont="1" applyAlignment="1">
      <alignment horizontal="left" vertical="top"/>
    </xf>
    <xf numFmtId="49" fontId="75" fillId="0" borderId="0" xfId="0" applyNumberFormat="1" applyFont="1" applyAlignment="1">
      <alignment horizontal="left" vertical="top"/>
    </xf>
    <xf numFmtId="0" fontId="34" fillId="0" borderId="6" xfId="0" applyFont="1" applyBorder="1" applyAlignment="1">
      <alignment horizontal="left" vertical="center"/>
    </xf>
    <xf numFmtId="0" fontId="34" fillId="0" borderId="0" xfId="0" applyFont="1"/>
    <xf numFmtId="165" fontId="34" fillId="0" borderId="0" xfId="0" applyNumberFormat="1" applyFont="1" applyAlignment="1">
      <alignment vertical="center"/>
    </xf>
    <xf numFmtId="0" fontId="34" fillId="0" borderId="3" xfId="0" applyFont="1" applyBorder="1" applyAlignment="1">
      <alignment horizontal="left" vertical="center"/>
    </xf>
    <xf numFmtId="0" fontId="34" fillId="0" borderId="3" xfId="0" applyFont="1" applyBorder="1"/>
    <xf numFmtId="0" fontId="34" fillId="0" borderId="2" xfId="0" applyFont="1" applyBorder="1"/>
    <xf numFmtId="2" fontId="34" fillId="0" borderId="0" xfId="0" applyNumberFormat="1" applyFont="1" applyAlignment="1">
      <alignment vertical="center"/>
    </xf>
    <xf numFmtId="0" fontId="34" fillId="0" borderId="0" xfId="0" applyFont="1" applyAlignment="1">
      <alignment horizontal="left" vertical="center"/>
    </xf>
    <xf numFmtId="0" fontId="34" fillId="0" borderId="2" xfId="0" applyFont="1" applyBorder="1" applyAlignment="1">
      <alignment horizontal="right"/>
    </xf>
    <xf numFmtId="0" fontId="34" fillId="0" borderId="7" xfId="0" applyFont="1" applyBorder="1" applyAlignment="1">
      <alignment horizontal="left" vertical="center"/>
    </xf>
    <xf numFmtId="0" fontId="34" fillId="0" borderId="1" xfId="0" applyFont="1" applyBorder="1" applyAlignment="1">
      <alignment vertical="center"/>
    </xf>
    <xf numFmtId="0" fontId="34" fillId="0" borderId="1" xfId="0" applyFont="1" applyBorder="1"/>
    <xf numFmtId="0" fontId="34" fillId="0" borderId="8" xfId="0" applyFont="1" applyBorder="1"/>
    <xf numFmtId="0" fontId="34" fillId="0" borderId="1" xfId="0" applyFont="1" applyBorder="1" applyAlignment="1">
      <alignment horizontal="right"/>
    </xf>
    <xf numFmtId="0" fontId="34" fillId="0" borderId="7" xfId="0" applyFont="1" applyBorder="1"/>
    <xf numFmtId="0" fontId="31" fillId="28" borderId="0" xfId="0" applyFont="1" applyFill="1"/>
    <xf numFmtId="1" fontId="21" fillId="0" borderId="0" xfId="0" applyNumberFormat="1" applyFont="1" applyAlignment="1">
      <alignment horizontal="left" vertical="center"/>
    </xf>
    <xf numFmtId="4" fontId="35" fillId="3" borderId="0" xfId="0" applyNumberFormat="1" applyFont="1" applyFill="1"/>
    <xf numFmtId="4" fontId="35" fillId="2" borderId="0" xfId="0" applyNumberFormat="1" applyFont="1" applyFill="1"/>
    <xf numFmtId="166" fontId="23" fillId="2" borderId="0" xfId="0" applyNumberFormat="1" applyFont="1" applyFill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34" fillId="0" borderId="1" xfId="0" applyFont="1" applyBorder="1" applyAlignment="1">
      <alignment horizontal="right" vertical="center"/>
    </xf>
    <xf numFmtId="0" fontId="31" fillId="5" borderId="0" xfId="0" applyFont="1" applyFill="1"/>
    <xf numFmtId="0" fontId="23" fillId="3" borderId="0" xfId="0" applyFont="1" applyFill="1" applyAlignment="1">
      <alignment horizontal="left" vertical="center"/>
    </xf>
    <xf numFmtId="168" fontId="35" fillId="3" borderId="0" xfId="0" applyNumberFormat="1" applyFont="1" applyFill="1"/>
    <xf numFmtId="10" fontId="34" fillId="0" borderId="0" xfId="0" applyNumberFormat="1" applyFont="1"/>
    <xf numFmtId="0" fontId="34" fillId="0" borderId="4" xfId="0" applyFont="1" applyBorder="1"/>
    <xf numFmtId="4" fontId="35" fillId="3" borderId="0" xfId="0" applyNumberFormat="1" applyFont="1" applyFill="1" applyAlignment="1">
      <alignment horizontal="center"/>
    </xf>
    <xf numFmtId="4" fontId="35" fillId="2" borderId="0" xfId="0" applyNumberFormat="1" applyFont="1" applyFill="1" applyAlignment="1">
      <alignment horizontal="center"/>
    </xf>
    <xf numFmtId="4" fontId="34" fillId="0" borderId="0" xfId="0" applyNumberFormat="1" applyFont="1" applyAlignment="1">
      <alignment horizontal="center" vertical="top" wrapText="1"/>
    </xf>
    <xf numFmtId="0" fontId="34" fillId="0" borderId="4" xfId="0" applyFont="1" applyBorder="1" applyAlignment="1">
      <alignment horizontal="center" vertical="top" wrapText="1"/>
    </xf>
    <xf numFmtId="0" fontId="75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49" fontId="31" fillId="3" borderId="0" xfId="0" applyNumberFormat="1" applyFont="1" applyFill="1"/>
    <xf numFmtId="49" fontId="31" fillId="0" borderId="0" xfId="0" applyNumberFormat="1" applyFont="1" applyAlignment="1">
      <alignment horizontal="left" vertical="top"/>
    </xf>
    <xf numFmtId="49" fontId="75" fillId="0" borderId="0" xfId="0" applyNumberFormat="1" applyFont="1" applyAlignment="1">
      <alignment horizontal="left" vertical="center"/>
    </xf>
    <xf numFmtId="4" fontId="75" fillId="0" borderId="0" xfId="0" applyNumberFormat="1" applyFont="1" applyAlignment="1">
      <alignment horizontal="center" vertical="center" wrapText="1"/>
    </xf>
    <xf numFmtId="49" fontId="60" fillId="0" borderId="0" xfId="0" applyNumberFormat="1" applyFont="1" applyAlignment="1">
      <alignment horizontal="left" vertical="top"/>
    </xf>
    <xf numFmtId="4" fontId="80" fillId="0" borderId="0" xfId="0" applyNumberFormat="1" applyFont="1" applyAlignment="1">
      <alignment horizontal="center" vertical="top" wrapText="1"/>
    </xf>
    <xf numFmtId="4" fontId="75" fillId="0" borderId="0" xfId="0" applyNumberFormat="1" applyFont="1" applyAlignment="1">
      <alignment horizontal="right" vertical="top" wrapText="1"/>
    </xf>
    <xf numFmtId="10" fontId="34" fillId="0" borderId="0" xfId="1" applyNumberFormat="1" applyFont="1" applyAlignment="1">
      <alignment horizontal="center" vertical="top" wrapText="1"/>
    </xf>
    <xf numFmtId="174" fontId="34" fillId="0" borderId="0" xfId="0" applyNumberFormat="1" applyFont="1" applyAlignment="1">
      <alignment horizontal="left" vertical="top" wrapText="1"/>
    </xf>
    <xf numFmtId="10" fontId="31" fillId="0" borderId="0" xfId="0" applyNumberFormat="1" applyFont="1" applyAlignment="1">
      <alignment horizontal="center" vertical="top" wrapText="1"/>
    </xf>
    <xf numFmtId="10" fontId="75" fillId="0" borderId="0" xfId="0" applyNumberFormat="1" applyFont="1" applyAlignment="1">
      <alignment horizontal="center" vertical="top" wrapText="1"/>
    </xf>
    <xf numFmtId="10" fontId="75" fillId="0" borderId="0" xfId="0" applyNumberFormat="1" applyFont="1" applyAlignment="1">
      <alignment horizontal="center" vertical="center"/>
    </xf>
    <xf numFmtId="10" fontId="75" fillId="0" borderId="0" xfId="1" applyNumberFormat="1" applyFont="1" applyAlignment="1">
      <alignment horizontal="center" vertical="top" wrapText="1"/>
    </xf>
    <xf numFmtId="2" fontId="31" fillId="0" borderId="0" xfId="0" applyNumberFormat="1" applyFont="1"/>
    <xf numFmtId="2" fontId="31" fillId="0" borderId="1" xfId="0" applyNumberFormat="1" applyFont="1" applyBorder="1"/>
    <xf numFmtId="2" fontId="34" fillId="0" borderId="3" xfId="0" applyNumberFormat="1" applyFont="1" applyBorder="1"/>
    <xf numFmtId="2" fontId="34" fillId="0" borderId="7" xfId="0" applyNumberFormat="1" applyFont="1" applyBorder="1"/>
    <xf numFmtId="2" fontId="23" fillId="0" borderId="4" xfId="0" applyNumberFormat="1" applyFont="1" applyBorder="1" applyAlignment="1">
      <alignment horizontal="center" vertical="center"/>
    </xf>
    <xf numFmtId="4" fontId="21" fillId="0" borderId="0" xfId="0" applyNumberFormat="1" applyFont="1" applyAlignment="1">
      <alignment horizontal="center" vertical="center"/>
    </xf>
    <xf numFmtId="4" fontId="21" fillId="0" borderId="0" xfId="0" quotePrefix="1" applyNumberFormat="1" applyFont="1" applyAlignment="1">
      <alignment horizontal="center"/>
    </xf>
    <xf numFmtId="4" fontId="23" fillId="0" borderId="0" xfId="0" applyNumberFormat="1" applyFont="1" applyAlignment="1">
      <alignment horizontal="center" vertical="center"/>
    </xf>
    <xf numFmtId="4" fontId="31" fillId="0" borderId="0" xfId="0" applyNumberFormat="1" applyFont="1"/>
    <xf numFmtId="4" fontId="35" fillId="0" borderId="0" xfId="0" applyNumberFormat="1" applyFont="1" applyAlignment="1">
      <alignment horizontal="center" vertical="top" wrapText="1"/>
    </xf>
    <xf numFmtId="4" fontId="31" fillId="0" borderId="0" xfId="0" applyNumberFormat="1" applyFont="1" applyAlignment="1">
      <alignment horizontal="center"/>
    </xf>
    <xf numFmtId="4" fontId="34" fillId="0" borderId="0" xfId="0" applyNumberFormat="1" applyFont="1" applyAlignment="1">
      <alignment horizontal="center"/>
    </xf>
    <xf numFmtId="4" fontId="75" fillId="0" borderId="0" xfId="0" applyNumberFormat="1" applyFont="1" applyAlignment="1">
      <alignment horizontal="center" vertical="center"/>
    </xf>
    <xf numFmtId="4" fontId="23" fillId="2" borderId="0" xfId="0" applyNumberFormat="1" applyFont="1" applyFill="1" applyAlignment="1">
      <alignment horizontal="center" vertical="center"/>
    </xf>
    <xf numFmtId="2" fontId="31" fillId="0" borderId="0" xfId="0" applyNumberFormat="1" applyFont="1" applyAlignment="1">
      <alignment horizontal="left" vertical="top" wrapText="1"/>
    </xf>
    <xf numFmtId="0" fontId="60" fillId="0" borderId="0" xfId="0" applyFont="1" applyAlignment="1">
      <alignment horizontal="left" vertical="top" wrapText="1"/>
    </xf>
    <xf numFmtId="1" fontId="75" fillId="0" borderId="0" xfId="0" applyNumberFormat="1" applyFont="1" applyAlignment="1">
      <alignment horizontal="left" vertical="center" wrapText="1"/>
    </xf>
    <xf numFmtId="10" fontId="75" fillId="0" borderId="0" xfId="0" applyNumberFormat="1" applyFont="1" applyAlignment="1">
      <alignment horizontal="center" vertical="center" wrapText="1"/>
    </xf>
    <xf numFmtId="10" fontId="80" fillId="0" borderId="0" xfId="0" applyNumberFormat="1" applyFont="1" applyAlignment="1">
      <alignment horizontal="center" vertical="center"/>
    </xf>
    <xf numFmtId="0" fontId="31" fillId="2" borderId="0" xfId="0" applyFont="1" applyFill="1" applyAlignment="1">
      <alignment horizontal="center"/>
    </xf>
    <xf numFmtId="4" fontId="34" fillId="0" borderId="0" xfId="0" applyNumberFormat="1" applyFont="1" applyAlignment="1">
      <alignment horizontal="center" vertical="center"/>
    </xf>
    <xf numFmtId="4" fontId="22" fillId="0" borderId="0" xfId="0" applyNumberFormat="1" applyFont="1" applyAlignment="1">
      <alignment horizontal="center"/>
    </xf>
    <xf numFmtId="4" fontId="22" fillId="0" borderId="4" xfId="0" applyNumberFormat="1" applyFont="1" applyBorder="1" applyAlignment="1">
      <alignment horizontal="center"/>
    </xf>
    <xf numFmtId="4" fontId="31" fillId="0" borderId="4" xfId="0" applyNumberFormat="1" applyFont="1" applyBorder="1" applyAlignment="1">
      <alignment horizontal="center"/>
    </xf>
    <xf numFmtId="4" fontId="59" fillId="0" borderId="4" xfId="0" applyNumberFormat="1" applyFont="1" applyBorder="1" applyAlignment="1">
      <alignment horizontal="center"/>
    </xf>
    <xf numFmtId="4" fontId="60" fillId="0" borderId="4" xfId="0" applyNumberFormat="1" applyFont="1" applyBorder="1" applyAlignment="1">
      <alignment horizontal="center"/>
    </xf>
    <xf numFmtId="4" fontId="22" fillId="0" borderId="0" xfId="0" applyNumberFormat="1" applyFont="1"/>
    <xf numFmtId="4" fontId="31" fillId="0" borderId="0" xfId="0" applyNumberFormat="1" applyFont="1" applyAlignment="1">
      <alignment horizontal="left" vertical="top" wrapText="1"/>
    </xf>
    <xf numFmtId="4" fontId="34" fillId="0" borderId="0" xfId="1" applyNumberFormat="1" applyFont="1" applyAlignment="1">
      <alignment horizontal="left" vertical="top" wrapText="1"/>
    </xf>
    <xf numFmtId="4" fontId="31" fillId="0" borderId="0" xfId="0" applyNumberFormat="1" applyFont="1" applyAlignment="1">
      <alignment horizontal="center" vertical="center" wrapText="1"/>
    </xf>
    <xf numFmtId="4" fontId="31" fillId="0" borderId="0" xfId="0" applyNumberFormat="1" applyFont="1" applyAlignment="1">
      <alignment horizontal="center" vertical="top" wrapText="1"/>
    </xf>
    <xf numFmtId="4" fontId="31" fillId="0" borderId="4" xfId="0" applyNumberFormat="1" applyFont="1" applyBorder="1" applyAlignment="1">
      <alignment horizontal="center" vertical="center"/>
    </xf>
    <xf numFmtId="4" fontId="31" fillId="0" borderId="4" xfId="0" applyNumberFormat="1" applyFont="1" applyBorder="1" applyAlignment="1">
      <alignment horizontal="center" vertical="top" wrapText="1"/>
    </xf>
    <xf numFmtId="4" fontId="31" fillId="0" borderId="4" xfId="0" applyNumberFormat="1" applyFont="1" applyBorder="1" applyAlignment="1">
      <alignment horizontal="left" vertical="top" wrapText="1"/>
    </xf>
    <xf numFmtId="4" fontId="60" fillId="0" borderId="4" xfId="0" applyNumberFormat="1" applyFont="1" applyBorder="1" applyAlignment="1">
      <alignment horizontal="center" vertical="top" wrapText="1"/>
    </xf>
    <xf numFmtId="4" fontId="60" fillId="0" borderId="4" xfId="0" applyNumberFormat="1" applyFont="1" applyBorder="1" applyAlignment="1">
      <alignment horizontal="left" vertical="top" wrapText="1"/>
    </xf>
    <xf numFmtId="4" fontId="34" fillId="0" borderId="0" xfId="1" applyNumberFormat="1" applyFont="1" applyAlignment="1">
      <alignment horizontal="right" vertical="top" wrapText="1"/>
    </xf>
    <xf numFmtId="4" fontId="34" fillId="0" borderId="0" xfId="1" applyNumberFormat="1" applyFont="1" applyAlignment="1">
      <alignment horizontal="center" vertical="top" wrapText="1"/>
    </xf>
    <xf numFmtId="4" fontId="35" fillId="0" borderId="0" xfId="0" applyNumberFormat="1" applyFont="1" applyAlignment="1">
      <alignment horizontal="center"/>
    </xf>
    <xf numFmtId="4" fontId="31" fillId="3" borderId="0" xfId="0" applyNumberFormat="1" applyFont="1" applyFill="1"/>
    <xf numFmtId="4" fontId="23" fillId="2" borderId="0" xfId="0" applyNumberFormat="1" applyFont="1" applyFill="1" applyAlignment="1">
      <alignment horizontal="right" vertical="center"/>
    </xf>
    <xf numFmtId="4" fontId="23" fillId="3" borderId="0" xfId="0" applyNumberFormat="1" applyFont="1" applyFill="1" applyAlignment="1">
      <alignment horizontal="right" vertical="center"/>
    </xf>
    <xf numFmtId="4" fontId="31" fillId="2" borderId="0" xfId="0" applyNumberFormat="1" applyFont="1" applyFill="1"/>
    <xf numFmtId="4" fontId="34" fillId="0" borderId="0" xfId="0" applyNumberFormat="1" applyFont="1"/>
    <xf numFmtId="4" fontId="34" fillId="0" borderId="4" xfId="0" applyNumberFormat="1" applyFont="1" applyBorder="1"/>
    <xf numFmtId="4" fontId="35" fillId="0" borderId="4" xfId="0" applyNumberFormat="1" applyFont="1" applyBorder="1"/>
    <xf numFmtId="4" fontId="34" fillId="0" borderId="0" xfId="0" applyNumberFormat="1" applyFont="1" applyAlignment="1">
      <alignment horizontal="left" vertical="top" wrapText="1"/>
    </xf>
    <xf numFmtId="4" fontId="31" fillId="3" borderId="0" xfId="0" applyNumberFormat="1" applyFont="1" applyFill="1" applyAlignment="1">
      <alignment horizontal="center"/>
    </xf>
    <xf numFmtId="4" fontId="38" fillId="0" borderId="0" xfId="0" applyNumberFormat="1" applyFont="1" applyAlignment="1">
      <alignment horizontal="center" vertical="center"/>
    </xf>
    <xf numFmtId="4" fontId="77" fillId="0" borderId="0" xfId="0" applyNumberFormat="1" applyFont="1" applyAlignment="1">
      <alignment horizontal="center" vertical="top" wrapText="1"/>
    </xf>
    <xf numFmtId="4" fontId="77" fillId="0" borderId="0" xfId="0" applyNumberFormat="1" applyFont="1" applyAlignment="1">
      <alignment horizontal="right" vertical="top" wrapText="1"/>
    </xf>
    <xf numFmtId="4" fontId="0" fillId="0" borderId="0" xfId="0" applyNumberFormat="1"/>
    <xf numFmtId="4" fontId="27" fillId="0" borderId="0" xfId="0" applyNumberFormat="1" applyFont="1"/>
    <xf numFmtId="4" fontId="27" fillId="0" borderId="4" xfId="0" applyNumberFormat="1" applyFont="1" applyBorder="1"/>
    <xf numFmtId="4" fontId="24" fillId="0" borderId="4" xfId="0" applyNumberFormat="1" applyFont="1" applyBorder="1"/>
    <xf numFmtId="4" fontId="83" fillId="0" borderId="0" xfId="0" applyNumberFormat="1" applyFont="1" applyAlignment="1">
      <alignment horizontal="center" vertical="top" wrapText="1"/>
    </xf>
    <xf numFmtId="4" fontId="0" fillId="2" borderId="0" xfId="0" applyNumberFormat="1" applyFill="1"/>
    <xf numFmtId="4" fontId="24" fillId="2" borderId="0" xfId="0" applyNumberFormat="1" applyFont="1" applyFill="1"/>
    <xf numFmtId="4" fontId="13" fillId="2" borderId="0" xfId="0" applyNumberFormat="1" applyFont="1" applyFill="1" applyAlignment="1">
      <alignment horizontal="center" vertical="center"/>
    </xf>
    <xf numFmtId="4" fontId="34" fillId="0" borderId="4" xfId="0" applyNumberFormat="1" applyFont="1" applyBorder="1" applyAlignment="1">
      <alignment horizontal="center"/>
    </xf>
    <xf numFmtId="4" fontId="35" fillId="0" borderId="4" xfId="0" applyNumberFormat="1" applyFont="1" applyBorder="1" applyAlignment="1">
      <alignment horizontal="center"/>
    </xf>
    <xf numFmtId="4" fontId="34" fillId="0" borderId="4" xfId="0" applyNumberFormat="1" applyFont="1" applyBorder="1" applyAlignment="1">
      <alignment horizontal="center" vertical="top" wrapText="1"/>
    </xf>
    <xf numFmtId="4" fontId="23" fillId="3" borderId="0" xfId="0" applyNumberFormat="1" applyFont="1" applyFill="1" applyAlignment="1">
      <alignment horizontal="center" vertical="center"/>
    </xf>
    <xf numFmtId="4" fontId="23" fillId="0" borderId="0" xfId="0" applyNumberFormat="1" applyFont="1" applyAlignment="1">
      <alignment horizontal="right" vertical="center"/>
    </xf>
    <xf numFmtId="4" fontId="31" fillId="0" borderId="0" xfId="0" applyNumberFormat="1" applyFont="1" applyAlignment="1">
      <alignment vertical="top" wrapText="1"/>
    </xf>
    <xf numFmtId="4" fontId="60" fillId="0" borderId="4" xfId="0" applyNumberFormat="1" applyFont="1" applyBorder="1" applyAlignment="1">
      <alignment horizontal="center" vertical="center"/>
    </xf>
    <xf numFmtId="4" fontId="80" fillId="0" borderId="0" xfId="0" applyNumberFormat="1" applyFont="1" applyAlignment="1">
      <alignment horizontal="center" vertical="center"/>
    </xf>
    <xf numFmtId="4" fontId="35" fillId="0" borderId="0" xfId="0" applyNumberFormat="1" applyFont="1"/>
    <xf numFmtId="4" fontId="60" fillId="0" borderId="0" xfId="0" applyNumberFormat="1" applyFont="1" applyAlignment="1">
      <alignment horizontal="center" vertical="top" wrapText="1"/>
    </xf>
    <xf numFmtId="4" fontId="60" fillId="0" borderId="0" xfId="0" applyNumberFormat="1" applyFont="1" applyAlignment="1">
      <alignment horizontal="left" vertical="top" wrapText="1"/>
    </xf>
    <xf numFmtId="4" fontId="80" fillId="0" borderId="0" xfId="0" applyNumberFormat="1" applyFont="1" applyAlignment="1">
      <alignment horizontal="right" vertical="top" wrapText="1"/>
    </xf>
    <xf numFmtId="4" fontId="21" fillId="0" borderId="0" xfId="0" applyNumberFormat="1" applyFont="1" applyAlignment="1">
      <alignment horizontal="center"/>
    </xf>
    <xf numFmtId="4" fontId="23" fillId="0" borderId="0" xfId="0" applyNumberFormat="1" applyFont="1" applyAlignment="1">
      <alignment horizontal="center"/>
    </xf>
    <xf numFmtId="4" fontId="31" fillId="0" borderId="0" xfId="0" applyNumberFormat="1" applyFont="1" applyAlignment="1">
      <alignment horizontal="center" wrapText="1"/>
    </xf>
    <xf numFmtId="4" fontId="34" fillId="0" borderId="0" xfId="1" applyNumberFormat="1" applyFont="1" applyAlignment="1">
      <alignment horizontal="center" wrapText="1"/>
    </xf>
    <xf numFmtId="4" fontId="31" fillId="0" borderId="4" xfId="0" applyNumberFormat="1" applyFont="1" applyBorder="1" applyAlignment="1">
      <alignment horizontal="center" wrapText="1"/>
    </xf>
    <xf numFmtId="4" fontId="60" fillId="0" borderId="4" xfId="0" applyNumberFormat="1" applyFont="1" applyBorder="1" applyAlignment="1">
      <alignment horizontal="center" wrapText="1"/>
    </xf>
    <xf numFmtId="4" fontId="81" fillId="0" borderId="0" xfId="0" applyNumberFormat="1" applyFont="1" applyAlignment="1">
      <alignment horizontal="right" vertical="top" wrapText="1"/>
    </xf>
    <xf numFmtId="4" fontId="76" fillId="0" borderId="0" xfId="0" applyNumberFormat="1" applyFont="1" applyAlignment="1">
      <alignment horizontal="right" vertical="top" wrapText="1"/>
    </xf>
    <xf numFmtId="4" fontId="76" fillId="0" borderId="0" xfId="0" applyNumberFormat="1" applyFont="1" applyAlignment="1">
      <alignment horizontal="center" vertical="top" wrapText="1"/>
    </xf>
    <xf numFmtId="4" fontId="32" fillId="0" borderId="4" xfId="0" applyNumberFormat="1" applyFont="1" applyBorder="1" applyAlignment="1">
      <alignment horizontal="left" vertical="top" wrapText="1"/>
    </xf>
    <xf numFmtId="4" fontId="0" fillId="0" borderId="4" xfId="0" applyNumberFormat="1" applyBorder="1" applyAlignment="1">
      <alignment horizontal="left" vertical="top" wrapText="1"/>
    </xf>
    <xf numFmtId="4" fontId="32" fillId="0" borderId="0" xfId="0" applyNumberFormat="1" applyFont="1" applyAlignment="1">
      <alignment horizontal="left" vertical="top" wrapText="1"/>
    </xf>
    <xf numFmtId="4" fontId="0" fillId="0" borderId="0" xfId="0" applyNumberFormat="1" applyAlignment="1">
      <alignment horizontal="left" vertical="top" wrapText="1"/>
    </xf>
    <xf numFmtId="4" fontId="34" fillId="0" borderId="0" xfId="1" applyNumberFormat="1" applyFont="1"/>
    <xf numFmtId="4" fontId="0" fillId="0" borderId="0" xfId="0" applyNumberFormat="1" applyAlignment="1">
      <alignment horizontal="center"/>
    </xf>
    <xf numFmtId="4" fontId="82" fillId="0" borderId="4" xfId="0" applyNumberFormat="1" applyFont="1" applyBorder="1" applyAlignment="1">
      <alignment horizontal="left" vertical="top" wrapText="1"/>
    </xf>
    <xf numFmtId="4" fontId="33" fillId="0" borderId="4" xfId="0" applyNumberFormat="1" applyFont="1" applyBorder="1" applyAlignment="1">
      <alignment horizontal="left" vertical="top" wrapText="1"/>
    </xf>
    <xf numFmtId="4" fontId="78" fillId="0" borderId="0" xfId="0" applyNumberFormat="1" applyFont="1" applyAlignment="1">
      <alignment horizontal="center" vertical="top" wrapText="1"/>
    </xf>
    <xf numFmtId="4" fontId="0" fillId="3" borderId="0" xfId="0" applyNumberFormat="1" applyFill="1"/>
    <xf numFmtId="4" fontId="31" fillId="2" borderId="0" xfId="0" applyNumberFormat="1" applyFont="1" applyFill="1" applyAlignment="1">
      <alignment horizontal="center"/>
    </xf>
    <xf numFmtId="165" fontId="35" fillId="0" borderId="0" xfId="0" applyNumberFormat="1" applyFont="1" applyAlignment="1">
      <alignment vertical="center"/>
    </xf>
    <xf numFmtId="0" fontId="34" fillId="0" borderId="1" xfId="0" applyFont="1" applyBorder="1" applyAlignment="1">
      <alignment horizontal="center" vertical="center"/>
    </xf>
    <xf numFmtId="10" fontId="34" fillId="0" borderId="1" xfId="0" applyNumberFormat="1" applyFont="1" applyBorder="1"/>
    <xf numFmtId="0" fontId="21" fillId="0" borderId="4" xfId="0" applyFont="1" applyBorder="1" applyAlignment="1">
      <alignment horizontal="left" vertical="center"/>
    </xf>
    <xf numFmtId="0" fontId="35" fillId="0" borderId="4" xfId="0" applyFont="1" applyBorder="1" applyAlignment="1">
      <alignment horizontal="center" vertical="center"/>
    </xf>
    <xf numFmtId="0" fontId="88" fillId="0" borderId="0" xfId="0" applyFont="1" applyAlignment="1">
      <alignment horizontal="left" vertical="center"/>
    </xf>
    <xf numFmtId="44" fontId="61" fillId="0" borderId="0" xfId="6" applyFont="1" applyAlignment="1">
      <alignment horizontal="left" vertical="center"/>
    </xf>
    <xf numFmtId="169" fontId="61" fillId="0" borderId="0" xfId="0" applyNumberFormat="1" applyFont="1" applyAlignment="1">
      <alignment horizontal="center" vertical="center"/>
    </xf>
    <xf numFmtId="10" fontId="35" fillId="0" borderId="0" xfId="1" applyNumberFormat="1" applyFont="1" applyAlignment="1">
      <alignment horizontal="center" vertical="center"/>
    </xf>
    <xf numFmtId="0" fontId="89" fillId="0" borderId="0" xfId="0" applyFont="1"/>
    <xf numFmtId="10" fontId="60" fillId="0" borderId="0" xfId="0" applyNumberFormat="1" applyFont="1" applyAlignment="1">
      <alignment horizontal="left" vertical="center"/>
    </xf>
    <xf numFmtId="10" fontId="60" fillId="0" borderId="0" xfId="0" applyNumberFormat="1" applyFont="1" applyAlignment="1">
      <alignment horizontal="right" vertical="center"/>
    </xf>
    <xf numFmtId="0" fontId="60" fillId="0" borderId="0" xfId="0" applyFont="1" applyAlignment="1">
      <alignment horizontal="left" vertical="center"/>
    </xf>
    <xf numFmtId="0" fontId="84" fillId="0" borderId="0" xfId="0" applyFont="1" applyAlignment="1">
      <alignment horizontal="center" vertical="center"/>
    </xf>
    <xf numFmtId="44" fontId="84" fillId="0" borderId="0" xfId="6" applyFont="1" applyAlignment="1">
      <alignment horizontal="left" vertical="center"/>
    </xf>
    <xf numFmtId="169" fontId="84" fillId="0" borderId="0" xfId="0" applyNumberFormat="1" applyFont="1" applyAlignment="1">
      <alignment horizontal="center" vertical="center"/>
    </xf>
    <xf numFmtId="10" fontId="34" fillId="0" borderId="0" xfId="1" applyNumberFormat="1" applyFont="1" applyAlignment="1">
      <alignment horizontal="center" vertical="center"/>
    </xf>
    <xf numFmtId="0" fontId="31" fillId="0" borderId="0" xfId="0" applyFont="1" applyAlignment="1">
      <alignment horizontal="left" vertical="center"/>
    </xf>
    <xf numFmtId="169" fontId="31" fillId="0" borderId="0" xfId="0" applyNumberFormat="1" applyFont="1" applyAlignment="1">
      <alignment horizontal="left" vertical="center"/>
    </xf>
    <xf numFmtId="0" fontId="61" fillId="0" borderId="0" xfId="0" applyFont="1"/>
    <xf numFmtId="0" fontId="84" fillId="0" borderId="0" xfId="0" applyFont="1"/>
    <xf numFmtId="44" fontId="84" fillId="0" borderId="0" xfId="6" applyFont="1"/>
    <xf numFmtId="10" fontId="34" fillId="0" borderId="0" xfId="1" applyNumberFormat="1" applyFont="1" applyAlignment="1">
      <alignment horizontal="right"/>
    </xf>
    <xf numFmtId="0" fontId="61" fillId="4" borderId="0" xfId="0" applyFont="1" applyFill="1" applyAlignment="1">
      <alignment horizontal="left" vertical="center"/>
    </xf>
    <xf numFmtId="0" fontId="85" fillId="4" borderId="0" xfId="0" applyFont="1" applyFill="1"/>
    <xf numFmtId="44" fontId="84" fillId="4" borderId="0" xfId="6" applyFont="1" applyFill="1"/>
    <xf numFmtId="169" fontId="61" fillId="4" borderId="0" xfId="0" applyNumberFormat="1" applyFont="1" applyFill="1" applyAlignment="1">
      <alignment horizontal="center" vertical="center"/>
    </xf>
    <xf numFmtId="10" fontId="35" fillId="4" borderId="0" xfId="1" applyNumberFormat="1" applyFont="1" applyFill="1" applyAlignment="1">
      <alignment horizontal="center" vertical="center"/>
    </xf>
    <xf numFmtId="0" fontId="79" fillId="0" borderId="0" xfId="0" applyFont="1" applyAlignment="1">
      <alignment horizontal="left"/>
    </xf>
    <xf numFmtId="169" fontId="31" fillId="0" borderId="0" xfId="0" applyNumberFormat="1" applyFont="1"/>
    <xf numFmtId="9" fontId="75" fillId="0" borderId="0" xfId="1" applyFont="1" applyAlignment="1">
      <alignment horizontal="center" vertical="center"/>
    </xf>
    <xf numFmtId="0" fontId="60" fillId="0" borderId="0" xfId="0" applyFont="1" applyAlignment="1">
      <alignment horizontal="center" vertical="top" wrapText="1"/>
    </xf>
    <xf numFmtId="0" fontId="90" fillId="0" borderId="0" xfId="0" applyFont="1"/>
    <xf numFmtId="0" fontId="34" fillId="0" borderId="1" xfId="0" applyFont="1" applyBorder="1" applyAlignment="1">
      <alignment horizontal="center"/>
    </xf>
    <xf numFmtId="167" fontId="34" fillId="0" borderId="0" xfId="0" applyNumberFormat="1" applyFont="1" applyAlignment="1">
      <alignment horizontal="center" vertical="top" wrapText="1"/>
    </xf>
    <xf numFmtId="167" fontId="35" fillId="0" borderId="0" xfId="0" applyNumberFormat="1" applyFont="1" applyAlignment="1">
      <alignment horizontal="center" vertical="center" wrapText="1"/>
    </xf>
    <xf numFmtId="167" fontId="34" fillId="0" borderId="0" xfId="0" applyNumberFormat="1" applyFont="1" applyAlignment="1">
      <alignment horizontal="center"/>
    </xf>
    <xf numFmtId="167" fontId="31" fillId="0" borderId="0" xfId="0" applyNumberFormat="1" applyFont="1" applyAlignment="1">
      <alignment horizontal="center"/>
    </xf>
    <xf numFmtId="0" fontId="0" fillId="0" borderId="1" xfId="0" applyBorder="1" applyAlignment="1">
      <alignment horizontal="center"/>
    </xf>
    <xf numFmtId="10" fontId="27" fillId="0" borderId="0" xfId="1" applyNumberFormat="1" applyFont="1" applyAlignment="1">
      <alignment horizontal="center"/>
    </xf>
    <xf numFmtId="0" fontId="27" fillId="0" borderId="1" xfId="0" applyFont="1" applyBorder="1" applyAlignment="1">
      <alignment horizontal="center"/>
    </xf>
    <xf numFmtId="10" fontId="27" fillId="0" borderId="0" xfId="0" applyNumberFormat="1" applyFont="1" applyAlignment="1">
      <alignment horizontal="center"/>
    </xf>
    <xf numFmtId="0" fontId="31" fillId="3" borderId="0" xfId="0" applyFont="1" applyFill="1" applyAlignment="1">
      <alignment horizontal="center"/>
    </xf>
    <xf numFmtId="166" fontId="79" fillId="0" borderId="0" xfId="0" applyNumberFormat="1" applyFont="1" applyAlignment="1">
      <alignment horizontal="center"/>
    </xf>
    <xf numFmtId="0" fontId="35" fillId="2" borderId="0" xfId="0" applyFont="1" applyFill="1" applyAlignment="1">
      <alignment horizontal="center"/>
    </xf>
    <xf numFmtId="10" fontId="77" fillId="0" borderId="0" xfId="0" applyNumberFormat="1" applyFont="1" applyAlignment="1">
      <alignment horizontal="center" vertical="top" wrapText="1"/>
    </xf>
    <xf numFmtId="10" fontId="83" fillId="0" borderId="0" xfId="0" applyNumberFormat="1" applyFont="1" applyAlignment="1">
      <alignment horizontal="center" vertical="center" wrapText="1"/>
    </xf>
    <xf numFmtId="175" fontId="23" fillId="0" borderId="0" xfId="0" applyNumberFormat="1" applyFont="1" applyAlignment="1">
      <alignment horizontal="center" vertical="center"/>
    </xf>
    <xf numFmtId="9" fontId="75" fillId="0" borderId="0" xfId="0" applyNumberFormat="1" applyFont="1" applyAlignment="1">
      <alignment horizontal="center" vertical="center"/>
    </xf>
    <xf numFmtId="9" fontId="75" fillId="0" borderId="0" xfId="1" applyFont="1" applyAlignment="1">
      <alignment horizontal="center" vertical="center" wrapText="1"/>
    </xf>
    <xf numFmtId="9" fontId="75" fillId="0" borderId="0" xfId="1" applyFont="1" applyAlignment="1">
      <alignment horizontal="center" vertical="top" wrapText="1"/>
    </xf>
    <xf numFmtId="10" fontId="80" fillId="0" borderId="0" xfId="0" applyNumberFormat="1" applyFont="1" applyAlignment="1">
      <alignment horizontal="center" vertical="top" wrapText="1"/>
    </xf>
    <xf numFmtId="9" fontId="34" fillId="0" borderId="0" xfId="1" applyFont="1" applyAlignment="1">
      <alignment horizontal="center"/>
    </xf>
    <xf numFmtId="9" fontId="35" fillId="0" borderId="0" xfId="1" applyFont="1" applyAlignment="1">
      <alignment horizontal="center"/>
    </xf>
    <xf numFmtId="9" fontId="79" fillId="0" borderId="0" xfId="1" applyFont="1" applyAlignment="1">
      <alignment horizontal="center"/>
    </xf>
    <xf numFmtId="168" fontId="24" fillId="0" borderId="0" xfId="0" applyNumberFormat="1" applyFont="1" applyAlignment="1">
      <alignment horizontal="center"/>
    </xf>
    <xf numFmtId="166" fontId="18" fillId="0" borderId="0" xfId="0" applyNumberFormat="1" applyFont="1" applyAlignment="1">
      <alignment horizontal="center"/>
    </xf>
    <xf numFmtId="4" fontId="31" fillId="30" borderId="0" xfId="0" applyNumberFormat="1" applyFont="1" applyFill="1"/>
    <xf numFmtId="4" fontId="35" fillId="30" borderId="0" xfId="0" applyNumberFormat="1" applyFont="1" applyFill="1"/>
    <xf numFmtId="0" fontId="27" fillId="0" borderId="0" xfId="0" applyFont="1" applyAlignment="1">
      <alignment horizontal="right"/>
    </xf>
    <xf numFmtId="0" fontId="27" fillId="0" borderId="1" xfId="0" quotePrefix="1" applyFont="1" applyBorder="1" applyAlignment="1">
      <alignment horizontal="right" vertical="center"/>
    </xf>
    <xf numFmtId="0" fontId="59" fillId="0" borderId="4" xfId="0" applyFont="1" applyBorder="1" applyAlignment="1">
      <alignment horizontal="center"/>
    </xf>
    <xf numFmtId="0" fontId="21" fillId="0" borderId="0" xfId="0" quotePrefix="1" applyFont="1" applyAlignment="1">
      <alignment horizontal="center"/>
    </xf>
    <xf numFmtId="0" fontId="35" fillId="3" borderId="0" xfId="0" applyFont="1" applyFill="1"/>
    <xf numFmtId="166" fontId="23" fillId="3" borderId="0" xfId="0" applyNumberFormat="1" applyFont="1" applyFill="1" applyAlignment="1">
      <alignment horizontal="right" vertical="center"/>
    </xf>
    <xf numFmtId="166" fontId="79" fillId="0" borderId="0" xfId="0" applyNumberFormat="1" applyFont="1" applyAlignment="1">
      <alignment horizontal="right"/>
    </xf>
    <xf numFmtId="0" fontId="35" fillId="2" borderId="0" xfId="0" applyFont="1" applyFill="1"/>
    <xf numFmtId="49" fontId="31" fillId="28" borderId="0" xfId="0" applyNumberFormat="1" applyFont="1" applyFill="1"/>
    <xf numFmtId="170" fontId="23" fillId="0" borderId="0" xfId="0" applyNumberFormat="1" applyFont="1" applyAlignment="1">
      <alignment horizontal="center" vertical="center"/>
    </xf>
    <xf numFmtId="0" fontId="21" fillId="0" borderId="0" xfId="0" applyFont="1" applyAlignment="1">
      <alignment vertical="center" wrapText="1"/>
    </xf>
    <xf numFmtId="166" fontId="23" fillId="2" borderId="0" xfId="0" applyNumberFormat="1" applyFont="1" applyFill="1" applyAlignment="1">
      <alignment horizontal="center" vertical="center"/>
    </xf>
    <xf numFmtId="0" fontId="91" fillId="0" borderId="0" xfId="0" applyFont="1" applyAlignment="1">
      <alignment horizontal="center" vertical="center"/>
    </xf>
    <xf numFmtId="0" fontId="91" fillId="0" borderId="0" xfId="0" applyFont="1" applyAlignment="1">
      <alignment horizontal="left" vertical="center"/>
    </xf>
    <xf numFmtId="0" fontId="92" fillId="0" borderId="0" xfId="0" applyFont="1" applyAlignment="1">
      <alignment horizontal="left" vertical="center"/>
    </xf>
    <xf numFmtId="44" fontId="91" fillId="0" borderId="0" xfId="6" applyFont="1" applyAlignment="1">
      <alignment horizontal="left" vertical="center"/>
    </xf>
    <xf numFmtId="169" fontId="91" fillId="0" borderId="0" xfId="0" applyNumberFormat="1" applyFont="1" applyAlignment="1">
      <alignment horizontal="center" vertical="center"/>
    </xf>
    <xf numFmtId="10" fontId="24" fillId="0" borderId="0" xfId="1" applyNumberFormat="1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169" fontId="93" fillId="0" borderId="0" xfId="0" applyNumberFormat="1" applyFont="1" applyAlignment="1">
      <alignment horizontal="left" vertical="center"/>
    </xf>
    <xf numFmtId="0" fontId="9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69" fontId="0" fillId="0" borderId="0" xfId="0" applyNumberFormat="1" applyAlignment="1">
      <alignment horizontal="left" vertical="center"/>
    </xf>
    <xf numFmtId="10" fontId="62" fillId="0" borderId="0" xfId="1" applyNumberFormat="1" applyFont="1"/>
    <xf numFmtId="176" fontId="31" fillId="0" borderId="0" xfId="0" applyNumberFormat="1" applyFont="1"/>
    <xf numFmtId="2" fontId="34" fillId="0" borderId="0" xfId="0" applyNumberFormat="1" applyFont="1" applyAlignment="1">
      <alignment horizontal="center"/>
    </xf>
    <xf numFmtId="0" fontId="60" fillId="0" borderId="0" xfId="0" applyFont="1" applyAlignment="1">
      <alignment horizontal="center"/>
    </xf>
    <xf numFmtId="0" fontId="35" fillId="0" borderId="0" xfId="0" applyFont="1" applyAlignment="1">
      <alignment horizontal="left" vertical="top" wrapText="1"/>
    </xf>
    <xf numFmtId="0" fontId="60" fillId="0" borderId="0" xfId="0" applyFont="1" applyAlignment="1">
      <alignment horizontal="center" vertical="center"/>
    </xf>
    <xf numFmtId="4" fontId="60" fillId="0" borderId="0" xfId="0" applyNumberFormat="1" applyFont="1" applyAlignment="1">
      <alignment horizontal="center" vertical="center"/>
    </xf>
    <xf numFmtId="166" fontId="23" fillId="30" borderId="0" xfId="0" applyNumberFormat="1" applyFont="1" applyFill="1" applyAlignment="1">
      <alignment horizontal="right" vertical="center"/>
    </xf>
    <xf numFmtId="0" fontId="60" fillId="0" borderId="0" xfId="0" applyFont="1" applyAlignment="1">
      <alignment horizontal="center" vertical="center" wrapText="1"/>
    </xf>
    <xf numFmtId="4" fontId="60" fillId="0" borderId="0" xfId="0" applyNumberFormat="1" applyFont="1" applyAlignment="1">
      <alignment horizontal="center" wrapText="1"/>
    </xf>
    <xf numFmtId="0" fontId="95" fillId="0" borderId="0" xfId="0" applyFont="1"/>
    <xf numFmtId="0" fontId="60" fillId="0" borderId="0" xfId="0" applyFont="1" applyBorder="1"/>
    <xf numFmtId="0" fontId="60" fillId="0" borderId="0" xfId="0" applyFont="1" applyBorder="1" applyAlignment="1">
      <alignment horizontal="center"/>
    </xf>
    <xf numFmtId="166" fontId="34" fillId="0" borderId="0" xfId="0" applyNumberFormat="1" applyFont="1" applyFill="1" applyAlignment="1">
      <alignment horizontal="center" vertical="center"/>
    </xf>
    <xf numFmtId="0" fontId="21" fillId="0" borderId="0" xfId="0" applyFont="1" applyFill="1" applyAlignment="1">
      <alignment vertical="center"/>
    </xf>
    <xf numFmtId="0" fontId="31" fillId="0" borderId="0" xfId="0" applyFont="1" applyFill="1"/>
    <xf numFmtId="0" fontId="31" fillId="0" borderId="0" xfId="0" applyFont="1" applyBorder="1"/>
    <xf numFmtId="0" fontId="31" fillId="0" borderId="0" xfId="0" applyFont="1" applyBorder="1" applyAlignment="1">
      <alignment horizontal="center"/>
    </xf>
    <xf numFmtId="49" fontId="21" fillId="0" borderId="0" xfId="0" applyNumberFormat="1" applyFont="1" applyFill="1" applyAlignment="1">
      <alignment vertical="center"/>
    </xf>
    <xf numFmtId="4" fontId="21" fillId="0" borderId="0" xfId="0" applyNumberFormat="1" applyFont="1" applyFill="1" applyAlignment="1">
      <alignment horizontal="center" vertical="center"/>
    </xf>
    <xf numFmtId="49" fontId="75" fillId="0" borderId="0" xfId="0" applyNumberFormat="1" applyFont="1" applyFill="1" applyAlignment="1">
      <alignment horizontal="left" vertical="top"/>
    </xf>
    <xf numFmtId="0" fontId="21" fillId="0" borderId="0" xfId="0" applyFont="1" applyFill="1" applyAlignment="1">
      <alignment horizontal="center" vertical="center"/>
    </xf>
    <xf numFmtId="4" fontId="75" fillId="0" borderId="0" xfId="0" applyNumberFormat="1" applyFont="1" applyFill="1" applyAlignment="1">
      <alignment horizontal="center" vertical="center" wrapText="1"/>
    </xf>
    <xf numFmtId="4" fontId="34" fillId="0" borderId="0" xfId="0" applyNumberFormat="1" applyFont="1" applyFill="1" applyAlignment="1">
      <alignment horizontal="center" vertical="center"/>
    </xf>
    <xf numFmtId="10" fontId="34" fillId="0" borderId="0" xfId="1" applyNumberFormat="1" applyFont="1" applyFill="1" applyAlignment="1">
      <alignment horizontal="center" vertical="center" wrapText="1"/>
    </xf>
    <xf numFmtId="0" fontId="22" fillId="0" borderId="0" xfId="0" applyFont="1" applyFill="1" applyAlignment="1">
      <alignment horizontal="center"/>
    </xf>
    <xf numFmtId="166" fontId="21" fillId="0" borderId="0" xfId="0" applyNumberFormat="1" applyFont="1" applyFill="1" applyAlignment="1">
      <alignment horizontal="center" vertical="center"/>
    </xf>
    <xf numFmtId="0" fontId="22" fillId="0" borderId="4" xfId="0" applyFont="1" applyFill="1" applyBorder="1" applyAlignment="1">
      <alignment horizontal="center"/>
    </xf>
    <xf numFmtId="0" fontId="59" fillId="0" borderId="4" xfId="0" applyFont="1" applyFill="1" applyBorder="1" applyAlignment="1">
      <alignment horizontal="center"/>
    </xf>
    <xf numFmtId="0" fontId="22" fillId="0" borderId="0" xfId="0" applyFont="1" applyFill="1"/>
    <xf numFmtId="4" fontId="22" fillId="0" borderId="0" xfId="0" applyNumberFormat="1" applyFont="1" applyFill="1" applyAlignment="1">
      <alignment horizontal="center"/>
    </xf>
    <xf numFmtId="4" fontId="22" fillId="0" borderId="4" xfId="0" applyNumberFormat="1" applyFont="1" applyFill="1" applyBorder="1" applyAlignment="1">
      <alignment horizontal="center"/>
    </xf>
    <xf numFmtId="0" fontId="59" fillId="0" borderId="0" xfId="0" applyFont="1" applyFill="1" applyBorder="1" applyAlignment="1">
      <alignment horizontal="center"/>
    </xf>
    <xf numFmtId="0" fontId="22" fillId="0" borderId="0" xfId="0" applyFont="1" applyFill="1" applyBorder="1" applyAlignment="1">
      <alignment horizontal="center"/>
    </xf>
    <xf numFmtId="2" fontId="21" fillId="0" borderId="0" xfId="0" applyNumberFormat="1" applyFont="1" applyFill="1" applyAlignment="1">
      <alignment horizontal="center" vertical="center"/>
    </xf>
    <xf numFmtId="0" fontId="60" fillId="0" borderId="4" xfId="0" applyFont="1" applyFill="1" applyBorder="1" applyAlignment="1">
      <alignment horizontal="center"/>
    </xf>
    <xf numFmtId="0" fontId="59" fillId="0" borderId="0" xfId="0" applyFont="1" applyFill="1" applyAlignment="1">
      <alignment horizontal="center"/>
    </xf>
    <xf numFmtId="0" fontId="34" fillId="0" borderId="0" xfId="0" applyFont="1" applyAlignment="1">
      <alignment horizontal="left" vertical="top" wrapText="1"/>
    </xf>
    <xf numFmtId="0" fontId="31" fillId="0" borderId="0" xfId="0" applyFont="1" applyAlignment="1">
      <alignment horizontal="left" vertical="top" wrapText="1"/>
    </xf>
    <xf numFmtId="4" fontId="59" fillId="0" borderId="4" xfId="0" applyNumberFormat="1" applyFont="1" applyFill="1" applyBorder="1" applyAlignment="1">
      <alignment horizontal="center"/>
    </xf>
    <xf numFmtId="4" fontId="31" fillId="0" borderId="0" xfId="0" applyNumberFormat="1" applyFont="1" applyFill="1" applyAlignment="1">
      <alignment horizontal="center"/>
    </xf>
    <xf numFmtId="4" fontId="75" fillId="0" borderId="0" xfId="0" applyNumberFormat="1" applyFont="1" applyFill="1" applyAlignment="1">
      <alignment horizontal="center" vertical="top" wrapText="1"/>
    </xf>
    <xf numFmtId="4" fontId="22" fillId="0" borderId="0" xfId="0" applyNumberFormat="1" applyFont="1" applyFill="1"/>
    <xf numFmtId="0" fontId="34" fillId="0" borderId="0" xfId="0" applyFont="1" applyAlignment="1">
      <alignment horizontal="left"/>
    </xf>
    <xf numFmtId="0" fontId="31" fillId="0" borderId="0" xfId="0" applyFont="1" applyFill="1" applyAlignment="1">
      <alignment horizontal="center"/>
    </xf>
    <xf numFmtId="0" fontId="31" fillId="0" borderId="4" xfId="0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74" fillId="0" borderId="0" xfId="0" applyFont="1" applyAlignment="1">
      <alignment horizontal="center" vertical="center"/>
    </xf>
    <xf numFmtId="2" fontId="96" fillId="0" borderId="30" xfId="0" applyNumberFormat="1" applyFont="1" applyBorder="1" applyAlignment="1">
      <alignment horizontal="right" vertical="center"/>
    </xf>
    <xf numFmtId="2" fontId="96" fillId="29" borderId="31" xfId="0" applyNumberFormat="1" applyFont="1" applyFill="1" applyBorder="1" applyAlignment="1">
      <alignment horizontal="center" vertical="center"/>
    </xf>
    <xf numFmtId="0" fontId="97" fillId="29" borderId="31" xfId="0" applyFont="1" applyFill="1" applyBorder="1"/>
    <xf numFmtId="4" fontId="96" fillId="0" borderId="33" xfId="0" applyNumberFormat="1" applyFont="1" applyBorder="1" applyAlignment="1">
      <alignment horizontal="right" vertical="center"/>
    </xf>
    <xf numFmtId="4" fontId="96" fillId="0" borderId="18" xfId="0" applyNumberFormat="1" applyFont="1" applyBorder="1" applyAlignment="1">
      <alignment horizontal="center" vertical="center"/>
    </xf>
    <xf numFmtId="0" fontId="97" fillId="0" borderId="18" xfId="0" applyFont="1" applyBorder="1"/>
    <xf numFmtId="2" fontId="96" fillId="0" borderId="33" xfId="0" applyNumberFormat="1" applyFont="1" applyBorder="1" applyAlignment="1">
      <alignment horizontal="right" vertical="center"/>
    </xf>
    <xf numFmtId="2" fontId="96" fillId="29" borderId="18" xfId="0" applyNumberFormat="1" applyFont="1" applyFill="1" applyBorder="1" applyAlignment="1">
      <alignment horizontal="center" vertical="center"/>
    </xf>
    <xf numFmtId="0" fontId="97" fillId="29" borderId="18" xfId="0" applyFont="1" applyFill="1" applyBorder="1"/>
    <xf numFmtId="4" fontId="96" fillId="0" borderId="35" xfId="0" applyNumberFormat="1" applyFont="1" applyBorder="1" applyAlignment="1">
      <alignment horizontal="right" vertical="center"/>
    </xf>
    <xf numFmtId="4" fontId="96" fillId="0" borderId="36" xfId="0" applyNumberFormat="1" applyFont="1" applyBorder="1" applyAlignment="1">
      <alignment horizontal="center" vertical="center"/>
    </xf>
    <xf numFmtId="0" fontId="97" fillId="0" borderId="36" xfId="0" applyFont="1" applyBorder="1"/>
    <xf numFmtId="0" fontId="97" fillId="0" borderId="0" xfId="0" applyFont="1"/>
    <xf numFmtId="2" fontId="97" fillId="29" borderId="31" xfId="0" applyNumberFormat="1" applyFont="1" applyFill="1" applyBorder="1"/>
    <xf numFmtId="2" fontId="97" fillId="29" borderId="18" xfId="0" applyNumberFormat="1" applyFont="1" applyFill="1" applyBorder="1"/>
    <xf numFmtId="2" fontId="97" fillId="29" borderId="31" xfId="0" applyNumberFormat="1" applyFont="1" applyFill="1" applyBorder="1" applyAlignment="1">
      <alignment vertical="center"/>
    </xf>
    <xf numFmtId="0" fontId="97" fillId="29" borderId="31" xfId="0" applyFont="1" applyFill="1" applyBorder="1" applyAlignment="1">
      <alignment horizontal="center" vertical="center"/>
    </xf>
    <xf numFmtId="0" fontId="97" fillId="29" borderId="31" xfId="0" applyFont="1" applyFill="1" applyBorder="1" applyAlignment="1">
      <alignment vertical="center"/>
    </xf>
    <xf numFmtId="4" fontId="97" fillId="0" borderId="18" xfId="0" applyNumberFormat="1" applyFont="1" applyBorder="1"/>
    <xf numFmtId="0" fontId="99" fillId="0" borderId="18" xfId="0" applyFont="1" applyBorder="1" applyAlignment="1">
      <alignment horizontal="center" vertical="center"/>
    </xf>
    <xf numFmtId="177" fontId="99" fillId="0" borderId="18" xfId="0" applyNumberFormat="1" applyFont="1" applyBorder="1" applyAlignment="1">
      <alignment horizontal="center" vertical="center"/>
    </xf>
    <xf numFmtId="0" fontId="99" fillId="31" borderId="18" xfId="0" applyFont="1" applyFill="1" applyBorder="1" applyAlignment="1">
      <alignment horizontal="center" vertical="center"/>
    </xf>
    <xf numFmtId="2" fontId="99" fillId="29" borderId="18" xfId="0" applyNumberFormat="1" applyFont="1" applyFill="1" applyBorder="1" applyAlignment="1">
      <alignment horizontal="center" vertical="center"/>
    </xf>
    <xf numFmtId="2" fontId="99" fillId="29" borderId="18" xfId="0" applyNumberFormat="1" applyFont="1" applyFill="1" applyBorder="1" applyAlignment="1">
      <alignment horizontal="right" vertical="center"/>
    </xf>
    <xf numFmtId="2" fontId="97" fillId="29" borderId="18" xfId="0" applyNumberFormat="1" applyFont="1" applyFill="1" applyBorder="1" applyAlignment="1">
      <alignment horizontal="right"/>
    </xf>
    <xf numFmtId="0" fontId="99" fillId="29" borderId="18" xfId="0" applyFont="1" applyFill="1" applyBorder="1" applyAlignment="1">
      <alignment horizontal="center" vertical="center"/>
    </xf>
    <xf numFmtId="4" fontId="99" fillId="0" borderId="18" xfId="0" applyNumberFormat="1" applyFont="1" applyBorder="1" applyAlignment="1">
      <alignment horizontal="center" vertical="center"/>
    </xf>
    <xf numFmtId="0" fontId="99" fillId="29" borderId="18" xfId="0" quotePrefix="1" applyFont="1" applyFill="1" applyBorder="1" applyAlignment="1">
      <alignment horizontal="center" vertical="center"/>
    </xf>
    <xf numFmtId="0" fontId="97" fillId="31" borderId="18" xfId="0" applyFont="1" applyFill="1" applyBorder="1"/>
    <xf numFmtId="177" fontId="97" fillId="0" borderId="18" xfId="0" applyNumberFormat="1" applyFont="1" applyBorder="1"/>
    <xf numFmtId="0" fontId="99" fillId="29" borderId="31" xfId="0" applyFont="1" applyFill="1" applyBorder="1" applyAlignment="1">
      <alignment horizontal="center" vertical="center"/>
    </xf>
    <xf numFmtId="0" fontId="0" fillId="0" borderId="18" xfId="0" applyBorder="1"/>
    <xf numFmtId="0" fontId="99" fillId="32" borderId="18" xfId="0" applyFont="1" applyFill="1" applyBorder="1" applyAlignment="1">
      <alignment horizontal="center" vertical="center"/>
    </xf>
    <xf numFmtId="0" fontId="97" fillId="32" borderId="18" xfId="0" applyFont="1" applyFill="1" applyBorder="1"/>
    <xf numFmtId="0" fontId="99" fillId="0" borderId="18" xfId="0" applyFont="1" applyFill="1" applyBorder="1" applyAlignment="1">
      <alignment horizontal="center" vertical="center"/>
    </xf>
    <xf numFmtId="4" fontId="99" fillId="0" borderId="33" xfId="0" applyNumberFormat="1" applyFont="1" applyFill="1" applyBorder="1" applyAlignment="1">
      <alignment horizontal="right"/>
    </xf>
    <xf numFmtId="0" fontId="99" fillId="0" borderId="35" xfId="0" applyFont="1" applyBorder="1" applyAlignment="1">
      <alignment horizontal="right" vertical="center"/>
    </xf>
    <xf numFmtId="0" fontId="99" fillId="0" borderId="36" xfId="0" applyFont="1" applyBorder="1" applyAlignment="1">
      <alignment horizontal="center" vertical="center"/>
    </xf>
    <xf numFmtId="0" fontId="99" fillId="0" borderId="0" xfId="0" applyFont="1" applyAlignment="1">
      <alignment horizontal="center" vertical="center"/>
    </xf>
    <xf numFmtId="0" fontId="99" fillId="0" borderId="30" xfId="0" applyFont="1" applyBorder="1" applyAlignment="1">
      <alignment horizontal="center" vertical="center"/>
    </xf>
    <xf numFmtId="0" fontId="99" fillId="0" borderId="31" xfId="0" applyFont="1" applyBorder="1" applyAlignment="1">
      <alignment horizontal="center" vertical="center"/>
    </xf>
    <xf numFmtId="0" fontId="99" fillId="0" borderId="40" xfId="0" applyFont="1" applyBorder="1" applyAlignment="1">
      <alignment horizontal="center" vertical="center"/>
    </xf>
    <xf numFmtId="0" fontId="97" fillId="0" borderId="31" xfId="0" applyFont="1" applyBorder="1" applyAlignment="1">
      <alignment horizontal="center" vertical="center"/>
    </xf>
    <xf numFmtId="0" fontId="97" fillId="0" borderId="32" xfId="0" applyFont="1" applyBorder="1" applyAlignment="1">
      <alignment horizontal="center" vertical="center"/>
    </xf>
    <xf numFmtId="0" fontId="99" fillId="0" borderId="43" xfId="0" applyFont="1" applyBorder="1" applyAlignment="1">
      <alignment vertical="center"/>
    </xf>
    <xf numFmtId="0" fontId="99" fillId="0" borderId="35" xfId="0" applyFont="1" applyBorder="1"/>
    <xf numFmtId="0" fontId="99" fillId="0" borderId="44" xfId="0" applyFont="1" applyBorder="1" applyAlignment="1">
      <alignment vertical="center"/>
    </xf>
    <xf numFmtId="2" fontId="97" fillId="32" borderId="18" xfId="0" applyNumberFormat="1" applyFont="1" applyFill="1" applyBorder="1"/>
    <xf numFmtId="2" fontId="99" fillId="32" borderId="18" xfId="0" applyNumberFormat="1" applyFont="1" applyFill="1" applyBorder="1" applyAlignment="1">
      <alignment horizontal="center" vertical="center"/>
    </xf>
    <xf numFmtId="177" fontId="99" fillId="32" borderId="18" xfId="0" applyNumberFormat="1" applyFont="1" applyFill="1" applyBorder="1" applyAlignment="1">
      <alignment horizontal="center" vertical="center"/>
    </xf>
    <xf numFmtId="4" fontId="97" fillId="32" borderId="18" xfId="0" applyNumberFormat="1" applyFont="1" applyFill="1" applyBorder="1"/>
    <xf numFmtId="0" fontId="74" fillId="0" borderId="0" xfId="0" applyFont="1" applyAlignment="1">
      <alignment horizontal="center" vertical="center"/>
    </xf>
    <xf numFmtId="0" fontId="34" fillId="0" borderId="0" xfId="0" applyFont="1" applyAlignment="1">
      <alignment horizontal="left" vertical="top" wrapText="1"/>
    </xf>
    <xf numFmtId="0" fontId="31" fillId="0" borderId="0" xfId="0" applyFont="1" applyAlignment="1">
      <alignment horizontal="left" vertical="top" wrapText="1"/>
    </xf>
    <xf numFmtId="0" fontId="34" fillId="0" borderId="0" xfId="0" applyFont="1" applyAlignment="1">
      <alignment horizontal="left" vertical="center" wrapText="1"/>
    </xf>
    <xf numFmtId="166" fontId="34" fillId="0" borderId="4" xfId="0" applyNumberFormat="1" applyFont="1" applyBorder="1" applyAlignment="1">
      <alignment horizontal="center" vertical="center"/>
    </xf>
    <xf numFmtId="170" fontId="0" fillId="0" borderId="0" xfId="0" applyNumberFormat="1"/>
    <xf numFmtId="166" fontId="36" fillId="0" borderId="4" xfId="0" applyNumberFormat="1" applyFont="1" applyBorder="1" applyAlignment="1">
      <alignment horizontal="center" vertical="center"/>
    </xf>
    <xf numFmtId="4" fontId="34" fillId="0" borderId="4" xfId="0" applyNumberFormat="1" applyFont="1" applyBorder="1" applyAlignment="1">
      <alignment horizontal="center" vertical="center"/>
    </xf>
    <xf numFmtId="4" fontId="34" fillId="0" borderId="0" xfId="0" applyNumberFormat="1" applyFont="1" applyBorder="1" applyAlignment="1">
      <alignment horizontal="center" vertical="center"/>
    </xf>
    <xf numFmtId="4" fontId="31" fillId="0" borderId="0" xfId="0" applyNumberFormat="1" applyFont="1" applyBorder="1" applyAlignment="1">
      <alignment horizontal="center"/>
    </xf>
    <xf numFmtId="4" fontId="22" fillId="0" borderId="0" xfId="0" applyNumberFormat="1" applyFont="1" applyBorder="1" applyAlignment="1">
      <alignment horizontal="center"/>
    </xf>
    <xf numFmtId="167" fontId="31" fillId="0" borderId="0" xfId="0" applyNumberFormat="1" applyFont="1"/>
    <xf numFmtId="166" fontId="31" fillId="0" borderId="0" xfId="0" applyNumberFormat="1" applyFont="1"/>
    <xf numFmtId="0" fontId="59" fillId="0" borderId="0" xfId="0" applyFont="1"/>
    <xf numFmtId="170" fontId="31" fillId="0" borderId="0" xfId="0" applyNumberFormat="1" applyFont="1"/>
    <xf numFmtId="0" fontId="31" fillId="33" borderId="0" xfId="0" applyFont="1" applyFill="1"/>
    <xf numFmtId="0" fontId="27" fillId="0" borderId="0" xfId="2" applyFont="1" applyFill="1" applyAlignment="1">
      <alignment vertical="center"/>
    </xf>
    <xf numFmtId="0" fontId="21" fillId="33" borderId="0" xfId="0" applyFont="1" applyFill="1" applyAlignment="1">
      <alignment vertical="center"/>
    </xf>
    <xf numFmtId="49" fontId="21" fillId="33" borderId="0" xfId="0" applyNumberFormat="1" applyFont="1" applyFill="1" applyAlignment="1">
      <alignment horizontal="left" vertical="center"/>
    </xf>
    <xf numFmtId="0" fontId="21" fillId="0" borderId="0" xfId="0" applyFont="1" applyFill="1" applyAlignment="1">
      <alignment horizontal="left" vertical="center"/>
    </xf>
    <xf numFmtId="0" fontId="31" fillId="0" borderId="4" xfId="0" applyFont="1" applyFill="1" applyBorder="1"/>
    <xf numFmtId="49" fontId="23" fillId="0" borderId="0" xfId="0" applyNumberFormat="1" applyFont="1" applyFill="1" applyAlignment="1">
      <alignment vertical="center"/>
    </xf>
    <xf numFmtId="0" fontId="23" fillId="0" borderId="0" xfId="0" applyFont="1" applyFill="1" applyAlignment="1">
      <alignment horizontal="left" vertical="center"/>
    </xf>
    <xf numFmtId="0" fontId="60" fillId="0" borderId="4" xfId="0" applyFont="1" applyFill="1" applyBorder="1"/>
    <xf numFmtId="0" fontId="60" fillId="0" borderId="0" xfId="0" applyFont="1" applyFill="1"/>
    <xf numFmtId="49" fontId="21" fillId="0" borderId="0" xfId="0" applyNumberFormat="1" applyFont="1" applyFill="1" applyAlignment="1">
      <alignment horizontal="left" vertical="center"/>
    </xf>
    <xf numFmtId="167" fontId="21" fillId="0" borderId="0" xfId="0" applyNumberFormat="1" applyFont="1" applyFill="1" applyAlignment="1">
      <alignment horizontal="center" vertical="center"/>
    </xf>
    <xf numFmtId="10" fontId="31" fillId="0" borderId="0" xfId="0" applyNumberFormat="1" applyFont="1"/>
    <xf numFmtId="166" fontId="34" fillId="33" borderId="0" xfId="0" applyNumberFormat="1" applyFont="1" applyFill="1" applyAlignment="1">
      <alignment horizontal="center" vertical="center"/>
    </xf>
    <xf numFmtId="0" fontId="22" fillId="0" borderId="0" xfId="2" applyFont="1"/>
    <xf numFmtId="0" fontId="21" fillId="0" borderId="0" xfId="2" applyFont="1" applyAlignment="1">
      <alignment vertical="center"/>
    </xf>
    <xf numFmtId="49" fontId="21" fillId="0" borderId="0" xfId="2" applyNumberFormat="1" applyFont="1" applyAlignment="1">
      <alignment vertical="center"/>
    </xf>
    <xf numFmtId="0" fontId="25" fillId="0" borderId="0" xfId="2"/>
    <xf numFmtId="49" fontId="21" fillId="0" borderId="0" xfId="2" applyNumberFormat="1" applyFont="1" applyAlignment="1">
      <alignment vertical="center"/>
    </xf>
    <xf numFmtId="0" fontId="21" fillId="33" borderId="0" xfId="0" applyFont="1" applyFill="1" applyAlignment="1">
      <alignment horizontal="left" vertical="center"/>
    </xf>
    <xf numFmtId="0" fontId="21" fillId="33" borderId="0" xfId="0" applyFont="1" applyFill="1" applyAlignment="1">
      <alignment horizontal="center" vertical="center"/>
    </xf>
    <xf numFmtId="0" fontId="25" fillId="0" borderId="0" xfId="2" applyFill="1"/>
    <xf numFmtId="0" fontId="21" fillId="0" borderId="0" xfId="2" applyFont="1" applyAlignment="1">
      <alignment vertical="center"/>
    </xf>
    <xf numFmtId="166" fontId="34" fillId="0" borderId="0" xfId="2" applyNumberFormat="1" applyFont="1" applyFill="1" applyAlignment="1">
      <alignment horizontal="center" vertical="center"/>
    </xf>
    <xf numFmtId="0" fontId="25" fillId="0" borderId="0" xfId="2"/>
    <xf numFmtId="0" fontId="21" fillId="0" borderId="0" xfId="2" applyFont="1" applyAlignment="1">
      <alignment vertical="center"/>
    </xf>
    <xf numFmtId="0" fontId="21" fillId="0" borderId="0" xfId="2" applyFont="1" applyAlignment="1">
      <alignment horizontal="center" vertical="center"/>
    </xf>
    <xf numFmtId="49" fontId="21" fillId="0" borderId="0" xfId="2" applyNumberFormat="1" applyFont="1" applyAlignment="1">
      <alignment vertical="center"/>
    </xf>
    <xf numFmtId="166" fontId="34" fillId="0" borderId="0" xfId="2" applyNumberFormat="1" applyFont="1" applyFill="1" applyAlignment="1">
      <alignment horizontal="center" vertical="center"/>
    </xf>
    <xf numFmtId="0" fontId="25" fillId="0" borderId="0" xfId="2"/>
    <xf numFmtId="0" fontId="21" fillId="0" borderId="0" xfId="2" applyFont="1" applyAlignment="1">
      <alignment vertical="center"/>
    </xf>
    <xf numFmtId="166" fontId="34" fillId="0" borderId="0" xfId="2" applyNumberFormat="1" applyFont="1" applyFill="1" applyAlignment="1">
      <alignment horizontal="center" vertical="center"/>
    </xf>
    <xf numFmtId="0" fontId="21" fillId="0" borderId="0" xfId="2" applyFont="1" applyFill="1" applyAlignment="1">
      <alignment vertical="center"/>
    </xf>
    <xf numFmtId="49" fontId="21" fillId="0" borderId="0" xfId="2" applyNumberFormat="1" applyFont="1" applyFill="1" applyAlignment="1">
      <alignment vertical="center"/>
    </xf>
    <xf numFmtId="0" fontId="21" fillId="0" borderId="0" xfId="2" applyFont="1" applyFill="1" applyAlignment="1">
      <alignment horizontal="center" vertical="center"/>
    </xf>
    <xf numFmtId="166" fontId="21" fillId="0" borderId="0" xfId="2" applyNumberFormat="1" applyFont="1" applyFill="1" applyAlignment="1">
      <alignment horizontal="center" vertical="center"/>
    </xf>
    <xf numFmtId="0" fontId="101" fillId="0" borderId="0" xfId="0" applyFont="1"/>
    <xf numFmtId="0" fontId="101" fillId="5" borderId="0" xfId="0" applyFont="1" applyFill="1"/>
    <xf numFmtId="4" fontId="59" fillId="0" borderId="0" xfId="0" applyNumberFormat="1" applyFont="1" applyBorder="1" applyAlignment="1">
      <alignment horizontal="center"/>
    </xf>
    <xf numFmtId="4" fontId="60" fillId="0" borderId="0" xfId="0" applyNumberFormat="1" applyFont="1" applyBorder="1" applyAlignment="1">
      <alignment horizontal="center"/>
    </xf>
    <xf numFmtId="0" fontId="35" fillId="0" borderId="0" xfId="0" applyFont="1" applyBorder="1" applyAlignment="1">
      <alignment vertical="top"/>
    </xf>
    <xf numFmtId="0" fontId="60" fillId="0" borderId="0" xfId="0" applyFont="1" applyBorder="1" applyAlignment="1">
      <alignment horizontal="center" vertical="top" wrapText="1"/>
    </xf>
    <xf numFmtId="4" fontId="60" fillId="0" borderId="0" xfId="0" applyNumberFormat="1" applyFont="1" applyBorder="1" applyAlignment="1">
      <alignment horizontal="left" vertical="top" wrapText="1"/>
    </xf>
    <xf numFmtId="49" fontId="59" fillId="0" borderId="0" xfId="0" applyNumberFormat="1" applyFont="1" applyAlignment="1">
      <alignment horizontal="left" vertical="top" wrapText="1"/>
    </xf>
    <xf numFmtId="49" fontId="34" fillId="0" borderId="0" xfId="0" applyNumberFormat="1" applyFont="1" applyAlignment="1">
      <alignment horizontal="left" vertical="top" wrapText="1"/>
    </xf>
    <xf numFmtId="0" fontId="35" fillId="0" borderId="0" xfId="0" applyFont="1" applyAlignment="1">
      <alignment vertical="center"/>
    </xf>
    <xf numFmtId="49" fontId="35" fillId="0" borderId="0" xfId="0" applyNumberFormat="1" applyFont="1" applyAlignment="1">
      <alignment horizontal="right" vertical="center" wrapText="1"/>
    </xf>
    <xf numFmtId="0" fontId="34" fillId="0" borderId="0" xfId="0" applyFont="1" applyBorder="1" applyAlignment="1">
      <alignment horizontal="center" vertical="top" wrapText="1"/>
    </xf>
    <xf numFmtId="4" fontId="34" fillId="0" borderId="0" xfId="0" applyNumberFormat="1" applyFont="1" applyBorder="1" applyAlignment="1">
      <alignment horizontal="center" vertical="top" wrapText="1"/>
    </xf>
    <xf numFmtId="4" fontId="34" fillId="0" borderId="0" xfId="0" applyNumberFormat="1" applyFont="1" applyBorder="1" applyAlignment="1">
      <alignment horizontal="left" vertical="top" wrapText="1"/>
    </xf>
    <xf numFmtId="0" fontId="22" fillId="0" borderId="0" xfId="0" applyFont="1" applyAlignment="1">
      <alignment horizontal="center" vertical="top" wrapText="1"/>
    </xf>
    <xf numFmtId="4" fontId="22" fillId="0" borderId="0" xfId="0" applyNumberFormat="1" applyFont="1" applyAlignment="1">
      <alignment horizontal="center" vertical="top" wrapText="1"/>
    </xf>
    <xf numFmtId="4" fontId="22" fillId="0" borderId="0" xfId="0" applyNumberFormat="1" applyFont="1" applyAlignment="1">
      <alignment horizontal="left" vertical="top" wrapText="1"/>
    </xf>
    <xf numFmtId="4" fontId="34" fillId="0" borderId="0" xfId="0" applyNumberFormat="1" applyFont="1" applyBorder="1" applyAlignment="1">
      <alignment horizontal="center" vertical="center" wrapText="1"/>
    </xf>
    <xf numFmtId="49" fontId="22" fillId="0" borderId="0" xfId="0" applyNumberFormat="1" applyFont="1" applyAlignment="1">
      <alignment horizontal="left" vertical="top"/>
    </xf>
    <xf numFmtId="4" fontId="34" fillId="0" borderId="0" xfId="0" applyNumberFormat="1" applyFont="1" applyAlignment="1">
      <alignment horizontal="center" vertical="center" wrapText="1"/>
    </xf>
    <xf numFmtId="0" fontId="102" fillId="0" borderId="0" xfId="0" applyFont="1" applyAlignment="1">
      <alignment horizontal="center" vertical="center"/>
    </xf>
    <xf numFmtId="49" fontId="22" fillId="0" borderId="0" xfId="0" applyNumberFormat="1" applyFont="1"/>
    <xf numFmtId="0" fontId="22" fillId="0" borderId="4" xfId="0" applyFont="1" applyBorder="1"/>
    <xf numFmtId="2" fontId="22" fillId="0" borderId="0" xfId="0" applyNumberFormat="1" applyFont="1"/>
    <xf numFmtId="49" fontId="59" fillId="0" borderId="0" xfId="0" applyNumberFormat="1" applyFont="1"/>
    <xf numFmtId="0" fontId="22" fillId="0" borderId="0" xfId="0" applyFont="1" applyAlignment="1">
      <alignment horizontal="left" vertical="top" wrapText="1"/>
    </xf>
    <xf numFmtId="4" fontId="22" fillId="0" borderId="0" xfId="0" applyNumberFormat="1" applyFont="1" applyAlignment="1">
      <alignment horizontal="center" vertical="center" wrapText="1"/>
    </xf>
    <xf numFmtId="4" fontId="22" fillId="0" borderId="0" xfId="0" applyNumberFormat="1" applyFont="1" applyAlignment="1">
      <alignment vertical="top" wrapText="1"/>
    </xf>
    <xf numFmtId="10" fontId="22" fillId="0" borderId="0" xfId="0" applyNumberFormat="1" applyFont="1" applyAlignment="1">
      <alignment horizontal="center" vertical="top" wrapText="1"/>
    </xf>
    <xf numFmtId="0" fontId="22" fillId="0" borderId="4" xfId="0" applyFont="1" applyBorder="1" applyAlignment="1">
      <alignment horizontal="center" vertical="center"/>
    </xf>
    <xf numFmtId="4" fontId="22" fillId="0" borderId="4" xfId="0" applyNumberFormat="1" applyFont="1" applyBorder="1" applyAlignment="1">
      <alignment horizontal="center" vertical="center"/>
    </xf>
    <xf numFmtId="49" fontId="59" fillId="0" borderId="0" xfId="0" applyNumberFormat="1" applyFont="1" applyAlignment="1">
      <alignment horizontal="left" vertical="top"/>
    </xf>
    <xf numFmtId="0" fontId="59" fillId="0" borderId="4" xfId="0" applyFont="1" applyBorder="1" applyAlignment="1">
      <alignment horizontal="center" vertical="center"/>
    </xf>
    <xf numFmtId="4" fontId="59" fillId="0" borderId="4" xfId="0" applyNumberFormat="1" applyFont="1" applyBorder="1" applyAlignment="1">
      <alignment horizontal="center" vertical="center"/>
    </xf>
    <xf numFmtId="0" fontId="59" fillId="0" borderId="0" xfId="0" applyFont="1" applyAlignment="1">
      <alignment horizontal="center" vertical="center"/>
    </xf>
    <xf numFmtId="4" fontId="59" fillId="0" borderId="0" xfId="0" applyNumberFormat="1" applyFont="1" applyAlignment="1">
      <alignment horizontal="center" vertical="center"/>
    </xf>
    <xf numFmtId="0" fontId="22" fillId="0" borderId="4" xfId="0" applyFont="1" applyBorder="1" applyAlignment="1">
      <alignment horizontal="center" vertical="top" wrapText="1"/>
    </xf>
    <xf numFmtId="4" fontId="22" fillId="0" borderId="4" xfId="0" applyNumberFormat="1" applyFont="1" applyBorder="1" applyAlignment="1">
      <alignment horizontal="center" vertical="top" wrapText="1"/>
    </xf>
    <xf numFmtId="4" fontId="22" fillId="0" borderId="4" xfId="0" applyNumberFormat="1" applyFont="1" applyBorder="1" applyAlignment="1">
      <alignment horizontal="left" vertical="top" wrapText="1"/>
    </xf>
    <xf numFmtId="0" fontId="59" fillId="0" borderId="4" xfId="0" applyFont="1" applyBorder="1" applyAlignment="1">
      <alignment horizontal="center" vertical="top" wrapText="1"/>
    </xf>
    <xf numFmtId="4" fontId="59" fillId="0" borderId="4" xfId="0" applyNumberFormat="1" applyFont="1" applyBorder="1" applyAlignment="1">
      <alignment horizontal="center" vertical="top" wrapText="1"/>
    </xf>
    <xf numFmtId="4" fontId="59" fillId="0" borderId="4" xfId="0" applyNumberFormat="1" applyFont="1" applyBorder="1" applyAlignment="1">
      <alignment horizontal="left" vertical="top" wrapText="1"/>
    </xf>
    <xf numFmtId="0" fontId="59" fillId="0" borderId="0" xfId="0" applyFont="1" applyAlignment="1">
      <alignment horizontal="center" vertical="top" wrapText="1"/>
    </xf>
    <xf numFmtId="4" fontId="59" fillId="0" borderId="0" xfId="0" applyNumberFormat="1" applyFont="1" applyAlignment="1">
      <alignment horizontal="center" vertical="top" wrapText="1"/>
    </xf>
    <xf numFmtId="4" fontId="59" fillId="0" borderId="0" xfId="0" applyNumberFormat="1" applyFont="1" applyAlignment="1">
      <alignment horizontal="left" vertical="top" wrapText="1"/>
    </xf>
    <xf numFmtId="0" fontId="22" fillId="0" borderId="0" xfId="0" applyFont="1" applyAlignment="1">
      <alignment horizontal="center" vertical="center" wrapText="1"/>
    </xf>
    <xf numFmtId="4" fontId="22" fillId="0" borderId="0" xfId="0" applyNumberFormat="1" applyFont="1" applyAlignment="1">
      <alignment horizontal="center" wrapText="1"/>
    </xf>
    <xf numFmtId="49" fontId="22" fillId="0" borderId="0" xfId="0" applyNumberFormat="1" applyFont="1" applyAlignment="1">
      <alignment horizontal="left" vertical="top" wrapText="1"/>
    </xf>
    <xf numFmtId="0" fontId="22" fillId="0" borderId="4" xfId="0" applyFont="1" applyBorder="1" applyAlignment="1">
      <alignment horizontal="center" vertical="center" wrapText="1"/>
    </xf>
    <xf numFmtId="4" fontId="22" fillId="0" borderId="4" xfId="0" applyNumberFormat="1" applyFont="1" applyBorder="1" applyAlignment="1">
      <alignment horizontal="center" wrapText="1"/>
    </xf>
    <xf numFmtId="0" fontId="59" fillId="0" borderId="4" xfId="0" applyFont="1" applyBorder="1" applyAlignment="1">
      <alignment horizontal="center" vertical="center" wrapText="1"/>
    </xf>
    <xf numFmtId="4" fontId="59" fillId="0" borderId="4" xfId="0" applyNumberFormat="1" applyFont="1" applyBorder="1" applyAlignment="1">
      <alignment horizontal="center" wrapText="1"/>
    </xf>
    <xf numFmtId="0" fontId="59" fillId="0" borderId="0" xfId="0" applyFont="1" applyAlignment="1">
      <alignment horizontal="center" vertical="center" wrapText="1"/>
    </xf>
    <xf numFmtId="4" fontId="59" fillId="0" borderId="0" xfId="0" applyNumberFormat="1" applyFont="1" applyAlignment="1">
      <alignment horizontal="center" wrapText="1"/>
    </xf>
    <xf numFmtId="0" fontId="22" fillId="0" borderId="4" xfId="0" applyFont="1" applyBorder="1" applyAlignment="1">
      <alignment horizontal="left" vertical="top" wrapText="1"/>
    </xf>
    <xf numFmtId="0" fontId="59" fillId="0" borderId="4" xfId="0" applyFont="1" applyBorder="1" applyAlignment="1">
      <alignment horizontal="left" vertical="top" wrapText="1"/>
    </xf>
    <xf numFmtId="0" fontId="59" fillId="0" borderId="0" xfId="0" applyFont="1" applyAlignment="1">
      <alignment horizontal="left" vertical="top" wrapText="1"/>
    </xf>
    <xf numFmtId="49" fontId="22" fillId="2" borderId="0" xfId="0" applyNumberFormat="1" applyFont="1" applyFill="1"/>
    <xf numFmtId="0" fontId="22" fillId="2" borderId="0" xfId="0" applyFont="1" applyFill="1"/>
    <xf numFmtId="4" fontId="22" fillId="3" borderId="0" xfId="0" applyNumberFormat="1" applyFont="1" applyFill="1"/>
    <xf numFmtId="4" fontId="22" fillId="2" borderId="0" xfId="0" applyNumberFormat="1" applyFont="1" applyFill="1"/>
    <xf numFmtId="2" fontId="22" fillId="0" borderId="0" xfId="0" applyNumberFormat="1" applyFont="1" applyAlignment="1">
      <alignment horizontal="left" vertical="top" wrapText="1"/>
    </xf>
    <xf numFmtId="4" fontId="75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horizontal="left" vertical="top"/>
    </xf>
    <xf numFmtId="0" fontId="34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center" vertical="center"/>
    </xf>
    <xf numFmtId="4" fontId="22" fillId="0" borderId="0" xfId="0" applyNumberFormat="1" applyFont="1" applyBorder="1" applyAlignment="1">
      <alignment horizontal="center" vertical="center"/>
    </xf>
    <xf numFmtId="0" fontId="28" fillId="0" borderId="0" xfId="0" applyFont="1" applyAlignment="1">
      <alignment vertical="center" wrapText="1"/>
    </xf>
    <xf numFmtId="0" fontId="28" fillId="0" borderId="0" xfId="0" applyFont="1" applyAlignment="1">
      <alignment horizontal="left" vertical="center" wrapText="1"/>
    </xf>
    <xf numFmtId="4" fontId="22" fillId="3" borderId="0" xfId="0" applyNumberFormat="1" applyFont="1" applyFill="1" applyAlignment="1">
      <alignment horizontal="center"/>
    </xf>
    <xf numFmtId="1" fontId="35" fillId="0" borderId="0" xfId="0" applyNumberFormat="1" applyFont="1" applyAlignment="1">
      <alignment horizontal="left" vertical="top" wrapText="1"/>
    </xf>
    <xf numFmtId="0" fontId="74" fillId="0" borderId="0" xfId="0" applyFont="1" applyAlignment="1">
      <alignment horizontal="center" vertical="center"/>
    </xf>
    <xf numFmtId="0" fontId="34" fillId="0" borderId="0" xfId="0" applyFont="1" applyAlignment="1">
      <alignment horizontal="left" vertical="top" wrapText="1"/>
    </xf>
    <xf numFmtId="0" fontId="21" fillId="0" borderId="0" xfId="0" applyFont="1" applyAlignment="1">
      <alignment horizontal="left" vertical="center" wrapText="1"/>
    </xf>
    <xf numFmtId="0" fontId="74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169" fontId="22" fillId="0" borderId="0" xfId="0" applyNumberFormat="1" applyFont="1" applyAlignment="1">
      <alignment horizontal="left" vertical="center"/>
    </xf>
    <xf numFmtId="0" fontId="103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34" fillId="0" borderId="0" xfId="0" applyFont="1" applyAlignment="1">
      <alignment horizontal="left" vertical="top" wrapText="1"/>
    </xf>
    <xf numFmtId="0" fontId="22" fillId="0" borderId="0" xfId="0" applyFont="1" applyAlignment="1">
      <alignment horizontal="left" vertical="top" wrapText="1"/>
    </xf>
    <xf numFmtId="4" fontId="22" fillId="0" borderId="0" xfId="0" applyNumberFormat="1" applyFont="1" applyFill="1" applyAlignment="1">
      <alignment horizontal="center" vertical="top" wrapText="1"/>
    </xf>
    <xf numFmtId="4" fontId="22" fillId="0" borderId="4" xfId="0" applyNumberFormat="1" applyFont="1" applyFill="1" applyBorder="1" applyAlignment="1">
      <alignment horizontal="center" vertical="top" wrapText="1"/>
    </xf>
    <xf numFmtId="4" fontId="59" fillId="0" borderId="4" xfId="0" applyNumberFormat="1" applyFont="1" applyFill="1" applyBorder="1" applyAlignment="1">
      <alignment horizontal="center" vertical="top" wrapText="1"/>
    </xf>
    <xf numFmtId="4" fontId="59" fillId="0" borderId="0" xfId="0" applyNumberFormat="1" applyFont="1" applyBorder="1" applyAlignment="1">
      <alignment horizontal="center" vertical="top" wrapText="1"/>
    </xf>
    <xf numFmtId="0" fontId="28" fillId="0" borderId="0" xfId="0" applyFont="1"/>
    <xf numFmtId="0" fontId="1" fillId="29" borderId="31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29" borderId="18" xfId="0" applyFont="1" applyFill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177" fontId="97" fillId="0" borderId="36" xfId="0" applyNumberFormat="1" applyFont="1" applyBorder="1" applyAlignment="1">
      <alignment horizontal="center" vertical="center"/>
    </xf>
    <xf numFmtId="0" fontId="0" fillId="0" borderId="0" xfId="0" applyBorder="1"/>
    <xf numFmtId="4" fontId="99" fillId="32" borderId="18" xfId="0" applyNumberFormat="1" applyFont="1" applyFill="1" applyBorder="1" applyAlignment="1">
      <alignment horizontal="center" vertical="center"/>
    </xf>
    <xf numFmtId="0" fontId="99" fillId="32" borderId="36" xfId="0" applyFont="1" applyFill="1" applyBorder="1" applyAlignment="1">
      <alignment horizontal="center" vertical="center"/>
    </xf>
    <xf numFmtId="0" fontId="97" fillId="31" borderId="36" xfId="0" applyFont="1" applyFill="1" applyBorder="1"/>
    <xf numFmtId="0" fontId="97" fillId="32" borderId="36" xfId="0" applyFont="1" applyFill="1" applyBorder="1"/>
    <xf numFmtId="0" fontId="99" fillId="31" borderId="36" xfId="0" applyFont="1" applyFill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99" fillId="32" borderId="0" xfId="0" applyFont="1" applyFill="1" applyBorder="1" applyAlignment="1">
      <alignment horizontal="center" vertical="center"/>
    </xf>
    <xf numFmtId="4" fontId="99" fillId="0" borderId="35" xfId="0" applyNumberFormat="1" applyFont="1" applyFill="1" applyBorder="1" applyAlignment="1">
      <alignment horizontal="right"/>
    </xf>
    <xf numFmtId="0" fontId="99" fillId="0" borderId="22" xfId="0" applyFont="1" applyBorder="1" applyAlignment="1">
      <alignment vertical="center"/>
    </xf>
    <xf numFmtId="0" fontId="99" fillId="0" borderId="0" xfId="0" applyFont="1" applyBorder="1" applyAlignment="1">
      <alignment vertical="center"/>
    </xf>
    <xf numFmtId="0" fontId="97" fillId="0" borderId="0" xfId="0" applyFont="1" applyBorder="1"/>
    <xf numFmtId="0" fontId="0" fillId="0" borderId="23" xfId="0" applyBorder="1"/>
    <xf numFmtId="0" fontId="0" fillId="32" borderId="0" xfId="0" applyFill="1" applyBorder="1"/>
    <xf numFmtId="0" fontId="99" fillId="32" borderId="0" xfId="0" applyFont="1" applyFill="1" applyBorder="1" applyAlignment="1">
      <alignment horizontal="left" vertical="center" wrapText="1"/>
    </xf>
    <xf numFmtId="2" fontId="97" fillId="32" borderId="0" xfId="0" applyNumberFormat="1" applyFont="1" applyFill="1" applyBorder="1"/>
    <xf numFmtId="2" fontId="99" fillId="32" borderId="0" xfId="0" applyNumberFormat="1" applyFont="1" applyFill="1" applyBorder="1" applyAlignment="1">
      <alignment horizontal="center" vertical="center"/>
    </xf>
    <xf numFmtId="4" fontId="99" fillId="32" borderId="0" xfId="0" applyNumberFormat="1" applyFont="1" applyFill="1" applyBorder="1" applyAlignment="1">
      <alignment horizontal="right"/>
    </xf>
    <xf numFmtId="4" fontId="99" fillId="0" borderId="30" xfId="0" applyNumberFormat="1" applyFont="1" applyFill="1" applyBorder="1" applyAlignment="1">
      <alignment horizontal="right"/>
    </xf>
    <xf numFmtId="0" fontId="60" fillId="0" borderId="0" xfId="0" applyFont="1" applyBorder="1" applyAlignment="1">
      <alignment horizontal="center" vertical="center"/>
    </xf>
    <xf numFmtId="14" fontId="99" fillId="0" borderId="30" xfId="0" applyNumberFormat="1" applyFont="1" applyBorder="1" applyAlignment="1"/>
    <xf numFmtId="177" fontId="97" fillId="0" borderId="18" xfId="0" applyNumberFormat="1" applyFont="1" applyBorder="1" applyAlignment="1">
      <alignment horizontal="center" vertical="center"/>
    </xf>
    <xf numFmtId="0" fontId="97" fillId="0" borderId="18" xfId="0" applyFont="1" applyBorder="1" applyAlignment="1">
      <alignment horizontal="center" vertical="center"/>
    </xf>
    <xf numFmtId="0" fontId="97" fillId="31" borderId="18" xfId="0" applyFont="1" applyFill="1" applyBorder="1" applyAlignment="1">
      <alignment horizontal="center" vertical="center"/>
    </xf>
    <xf numFmtId="0" fontId="97" fillId="32" borderId="18" xfId="0" applyFont="1" applyFill="1" applyBorder="1" applyAlignment="1">
      <alignment horizontal="center" vertical="center"/>
    </xf>
    <xf numFmtId="2" fontId="97" fillId="31" borderId="18" xfId="0" applyNumberFormat="1" applyFont="1" applyFill="1" applyBorder="1"/>
    <xf numFmtId="0" fontId="99" fillId="0" borderId="37" xfId="0" applyFont="1" applyBorder="1"/>
    <xf numFmtId="0" fontId="99" fillId="0" borderId="32" xfId="0" applyFont="1" applyBorder="1" applyAlignment="1"/>
    <xf numFmtId="0" fontId="99" fillId="32" borderId="18" xfId="0" applyFont="1" applyFill="1" applyBorder="1" applyAlignment="1">
      <alignment horizontal="left" vertical="center" wrapText="1"/>
    </xf>
    <xf numFmtId="0" fontId="99" fillId="0" borderId="18" xfId="0" applyFont="1" applyBorder="1" applyAlignment="1">
      <alignment vertical="center"/>
    </xf>
    <xf numFmtId="0" fontId="99" fillId="0" borderId="18" xfId="0" applyFont="1" applyBorder="1"/>
    <xf numFmtId="0" fontId="98" fillId="32" borderId="18" xfId="0" applyFont="1" applyFill="1" applyBorder="1" applyAlignment="1">
      <alignment horizontal="center" vertical="center"/>
    </xf>
    <xf numFmtId="0" fontId="99" fillId="29" borderId="52" xfId="0" applyFont="1" applyFill="1" applyBorder="1" applyAlignment="1">
      <alignment horizontal="center" vertical="center"/>
    </xf>
    <xf numFmtId="2" fontId="97" fillId="29" borderId="52" xfId="0" applyNumberFormat="1" applyFont="1" applyFill="1" applyBorder="1"/>
    <xf numFmtId="2" fontId="99" fillId="29" borderId="52" xfId="0" applyNumberFormat="1" applyFont="1" applyFill="1" applyBorder="1" applyAlignment="1">
      <alignment horizontal="center" vertical="center"/>
    </xf>
    <xf numFmtId="4" fontId="99" fillId="0" borderId="55" xfId="0" applyNumberFormat="1" applyFont="1" applyFill="1" applyBorder="1" applyAlignment="1">
      <alignment horizontal="right"/>
    </xf>
    <xf numFmtId="0" fontId="99" fillId="32" borderId="34" xfId="0" applyFont="1" applyFill="1" applyBorder="1" applyAlignment="1">
      <alignment horizontal="center" vertical="center"/>
    </xf>
    <xf numFmtId="4" fontId="99" fillId="32" borderId="33" xfId="0" applyNumberFormat="1" applyFont="1" applyFill="1" applyBorder="1" applyAlignment="1">
      <alignment horizontal="right"/>
    </xf>
    <xf numFmtId="0" fontId="98" fillId="32" borderId="34" xfId="0" applyFont="1" applyFill="1" applyBorder="1" applyAlignment="1">
      <alignment horizontal="center" vertical="center"/>
    </xf>
    <xf numFmtId="0" fontId="98" fillId="32" borderId="33" xfId="0" applyFont="1" applyFill="1" applyBorder="1" applyAlignment="1">
      <alignment horizontal="center" vertical="center" wrapText="1"/>
    </xf>
    <xf numFmtId="0" fontId="99" fillId="0" borderId="18" xfId="0" applyFont="1" applyBorder="1" applyAlignment="1">
      <alignment horizontal="center" vertical="center"/>
    </xf>
    <xf numFmtId="2" fontId="99" fillId="29" borderId="31" xfId="0" applyNumberFormat="1" applyFont="1" applyFill="1" applyBorder="1" applyAlignment="1">
      <alignment horizontal="center" vertical="center"/>
    </xf>
    <xf numFmtId="170" fontId="60" fillId="0" borderId="0" xfId="0" applyNumberFormat="1" applyFont="1"/>
    <xf numFmtId="0" fontId="22" fillId="0" borderId="0" xfId="0" applyFont="1" applyAlignment="1"/>
    <xf numFmtId="0" fontId="67" fillId="0" borderId="0" xfId="52" applyFont="1" applyAlignment="1">
      <alignment horizontal="justify" vertical="top" wrapText="1"/>
    </xf>
    <xf numFmtId="0" fontId="63" fillId="0" borderId="20" xfId="52" applyFont="1" applyBorder="1" applyAlignment="1">
      <alignment horizontal="center" vertical="center"/>
    </xf>
    <xf numFmtId="0" fontId="64" fillId="0" borderId="0" xfId="52" applyFont="1" applyAlignment="1">
      <alignment horizontal="center" vertical="center"/>
    </xf>
    <xf numFmtId="0" fontId="66" fillId="0" borderId="0" xfId="52" applyFont="1" applyAlignment="1">
      <alignment horizontal="left" wrapText="1"/>
    </xf>
    <xf numFmtId="0" fontId="65" fillId="0" borderId="0" xfId="52" applyFont="1" applyAlignment="1">
      <alignment horizontal="justify" vertical="top" wrapText="1"/>
    </xf>
    <xf numFmtId="0" fontId="69" fillId="0" borderId="0" xfId="52" applyFont="1"/>
    <xf numFmtId="0" fontId="62" fillId="0" borderId="27" xfId="52" applyBorder="1" applyAlignment="1">
      <alignment horizontal="center"/>
    </xf>
    <xf numFmtId="0" fontId="62" fillId="0" borderId="28" xfId="52" applyBorder="1" applyAlignment="1">
      <alignment horizontal="center"/>
    </xf>
    <xf numFmtId="0" fontId="69" fillId="0" borderId="0" xfId="52" applyFont="1" applyAlignment="1">
      <alignment horizontal="justify"/>
    </xf>
    <xf numFmtId="0" fontId="74" fillId="0" borderId="0" xfId="0" applyFont="1" applyAlignment="1">
      <alignment horizontal="center" vertical="center"/>
    </xf>
    <xf numFmtId="0" fontId="74" fillId="0" borderId="2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89" fillId="0" borderId="0" xfId="0" applyFont="1" applyAlignment="1">
      <alignment horizontal="center" vertical="center"/>
    </xf>
    <xf numFmtId="0" fontId="73" fillId="0" borderId="0" xfId="0" applyFont="1" applyAlignment="1">
      <alignment horizontal="center" vertical="center"/>
    </xf>
    <xf numFmtId="0" fontId="84" fillId="0" borderId="0" xfId="0" applyFont="1" applyAlignment="1">
      <alignment horizontal="left" wrapText="1"/>
    </xf>
    <xf numFmtId="0" fontId="99" fillId="0" borderId="34" xfId="0" applyFont="1" applyBorder="1" applyAlignment="1">
      <alignment horizontal="center" vertical="center"/>
    </xf>
    <xf numFmtId="0" fontId="99" fillId="0" borderId="18" xfId="0" applyFont="1" applyBorder="1" applyAlignment="1">
      <alignment horizontal="left" vertical="center" wrapText="1"/>
    </xf>
    <xf numFmtId="0" fontId="99" fillId="0" borderId="45" xfId="0" applyFont="1" applyBorder="1" applyAlignment="1">
      <alignment horizontal="center" vertical="center"/>
    </xf>
    <xf numFmtId="0" fontId="99" fillId="0" borderId="46" xfId="0" applyFont="1" applyBorder="1" applyAlignment="1">
      <alignment horizontal="center" vertical="center"/>
    </xf>
    <xf numFmtId="0" fontId="99" fillId="0" borderId="39" xfId="0" applyFont="1" applyBorder="1" applyAlignment="1">
      <alignment horizontal="center" vertical="center"/>
    </xf>
    <xf numFmtId="0" fontId="99" fillId="0" borderId="52" xfId="0" applyFont="1" applyBorder="1" applyAlignment="1">
      <alignment horizontal="left" vertical="center" wrapText="1"/>
    </xf>
    <xf numFmtId="0" fontId="99" fillId="0" borderId="53" xfId="0" applyFont="1" applyBorder="1" applyAlignment="1">
      <alignment horizontal="left" vertical="center" wrapText="1"/>
    </xf>
    <xf numFmtId="0" fontId="99" fillId="0" borderId="38" xfId="0" applyFont="1" applyBorder="1" applyAlignment="1">
      <alignment horizontal="left" vertical="center" wrapText="1"/>
    </xf>
    <xf numFmtId="0" fontId="99" fillId="0" borderId="18" xfId="0" applyFont="1" applyBorder="1" applyAlignment="1">
      <alignment horizontal="left" vertical="center"/>
    </xf>
    <xf numFmtId="0" fontId="99" fillId="0" borderId="32" xfId="0" applyFont="1" applyBorder="1" applyAlignment="1">
      <alignment horizontal="center" vertical="center"/>
    </xf>
    <xf numFmtId="0" fontId="99" fillId="0" borderId="31" xfId="0" applyFont="1" applyBorder="1" applyAlignment="1">
      <alignment horizontal="left" vertical="center" wrapText="1"/>
    </xf>
    <xf numFmtId="0" fontId="99" fillId="0" borderId="37" xfId="0" applyFont="1" applyBorder="1" applyAlignment="1">
      <alignment horizontal="center" vertical="center"/>
    </xf>
    <xf numFmtId="0" fontId="99" fillId="0" borderId="36" xfId="0" applyFont="1" applyBorder="1" applyAlignment="1">
      <alignment horizontal="left" vertical="center"/>
    </xf>
    <xf numFmtId="0" fontId="98" fillId="0" borderId="42" xfId="0" quotePrefix="1" applyFont="1" applyBorder="1" applyAlignment="1">
      <alignment horizontal="center" vertical="center"/>
    </xf>
    <xf numFmtId="0" fontId="98" fillId="0" borderId="41" xfId="0" applyFont="1" applyBorder="1" applyAlignment="1">
      <alignment horizontal="center" vertical="center"/>
    </xf>
    <xf numFmtId="0" fontId="98" fillId="0" borderId="42" xfId="0" applyFont="1" applyBorder="1" applyAlignment="1">
      <alignment horizontal="center" vertical="center"/>
    </xf>
    <xf numFmtId="0" fontId="98" fillId="0" borderId="34" xfId="0" quotePrefix="1" applyFont="1" applyBorder="1" applyAlignment="1">
      <alignment horizontal="center" vertical="center"/>
    </xf>
    <xf numFmtId="0" fontId="98" fillId="0" borderId="34" xfId="0" applyFont="1" applyBorder="1" applyAlignment="1">
      <alignment horizontal="center" vertical="center"/>
    </xf>
    <xf numFmtId="0" fontId="98" fillId="0" borderId="18" xfId="0" applyFont="1" applyBorder="1" applyAlignment="1">
      <alignment horizontal="center" vertical="center"/>
    </xf>
    <xf numFmtId="0" fontId="99" fillId="0" borderId="52" xfId="0" applyFont="1" applyBorder="1" applyAlignment="1">
      <alignment horizontal="left" vertical="center"/>
    </xf>
    <xf numFmtId="0" fontId="99" fillId="0" borderId="36" xfId="0" applyFont="1" applyBorder="1" applyAlignment="1">
      <alignment horizontal="left" vertical="center" wrapText="1"/>
    </xf>
    <xf numFmtId="0" fontId="98" fillId="0" borderId="37" xfId="0" applyFont="1" applyBorder="1" applyAlignment="1">
      <alignment horizontal="center" vertical="center"/>
    </xf>
    <xf numFmtId="0" fontId="98" fillId="0" borderId="36" xfId="0" applyFont="1" applyBorder="1" applyAlignment="1">
      <alignment horizontal="center" vertical="center"/>
    </xf>
    <xf numFmtId="0" fontId="98" fillId="0" borderId="35" xfId="0" applyFont="1" applyBorder="1" applyAlignment="1">
      <alignment horizontal="center" vertical="center"/>
    </xf>
    <xf numFmtId="0" fontId="98" fillId="0" borderId="32" xfId="0" applyFont="1" applyBorder="1" applyAlignment="1">
      <alignment horizontal="center" vertical="center"/>
    </xf>
    <xf numFmtId="0" fontId="98" fillId="0" borderId="31" xfId="0" applyFont="1" applyBorder="1" applyAlignment="1">
      <alignment horizontal="center" vertical="center"/>
    </xf>
    <xf numFmtId="0" fontId="98" fillId="0" borderId="30" xfId="0" applyFont="1" applyBorder="1" applyAlignment="1">
      <alignment horizontal="center" vertical="center"/>
    </xf>
    <xf numFmtId="0" fontId="98" fillId="0" borderId="54" xfId="0" applyFont="1" applyBorder="1" applyAlignment="1">
      <alignment horizontal="center" vertical="center" wrapText="1"/>
    </xf>
    <xf numFmtId="0" fontId="98" fillId="0" borderId="41" xfId="0" applyFont="1" applyBorder="1" applyAlignment="1">
      <alignment horizontal="center" vertical="center" wrapText="1"/>
    </xf>
    <xf numFmtId="0" fontId="97" fillId="3" borderId="19" xfId="0" applyFont="1" applyFill="1" applyBorder="1" applyAlignment="1">
      <alignment horizontal="center"/>
    </xf>
    <xf numFmtId="0" fontId="97" fillId="3" borderId="20" xfId="0" applyFont="1" applyFill="1" applyBorder="1" applyAlignment="1">
      <alignment horizontal="center"/>
    </xf>
    <xf numFmtId="0" fontId="97" fillId="3" borderId="0" xfId="0" applyFont="1" applyFill="1" applyBorder="1" applyAlignment="1">
      <alignment horizontal="center"/>
    </xf>
    <xf numFmtId="0" fontId="99" fillId="0" borderId="1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33" xfId="0" applyBorder="1" applyAlignment="1">
      <alignment horizontal="center"/>
    </xf>
    <xf numFmtId="0" fontId="99" fillId="0" borderId="18" xfId="0" applyFont="1" applyBorder="1" applyAlignment="1">
      <alignment horizontal="left"/>
    </xf>
    <xf numFmtId="0" fontId="98" fillId="3" borderId="47" xfId="0" applyFont="1" applyFill="1" applyBorder="1" applyAlignment="1">
      <alignment horizontal="center" vertical="center"/>
    </xf>
    <xf numFmtId="0" fontId="98" fillId="3" borderId="48" xfId="0" applyFont="1" applyFill="1" applyBorder="1" applyAlignment="1">
      <alignment horizontal="center" vertical="center"/>
    </xf>
    <xf numFmtId="0" fontId="99" fillId="0" borderId="51" xfId="0" applyFont="1" applyBorder="1" applyAlignment="1">
      <alignment horizontal="center" vertical="center"/>
    </xf>
    <xf numFmtId="0" fontId="99" fillId="0" borderId="50" xfId="0" applyFont="1" applyBorder="1" applyAlignment="1">
      <alignment horizontal="center" vertical="center"/>
    </xf>
    <xf numFmtId="0" fontId="99" fillId="0" borderId="49" xfId="0" applyFont="1" applyBorder="1" applyAlignment="1">
      <alignment horizontal="center" vertical="center"/>
    </xf>
    <xf numFmtId="0" fontId="98" fillId="3" borderId="18" xfId="0" applyFont="1" applyFill="1" applyBorder="1" applyAlignment="1">
      <alignment horizontal="center" vertical="center"/>
    </xf>
    <xf numFmtId="0" fontId="97" fillId="3" borderId="18" xfId="0" applyFont="1" applyFill="1" applyBorder="1" applyAlignment="1">
      <alignment horizontal="center"/>
    </xf>
    <xf numFmtId="0" fontId="99" fillId="0" borderId="19" xfId="0" applyFont="1" applyBorder="1" applyAlignment="1">
      <alignment horizontal="center" vertical="center"/>
    </xf>
    <xf numFmtId="0" fontId="99" fillId="0" borderId="20" xfId="0" applyFont="1" applyBorder="1" applyAlignment="1">
      <alignment horizontal="center" vertical="center"/>
    </xf>
    <xf numFmtId="0" fontId="99" fillId="0" borderId="21" xfId="0" applyFont="1" applyBorder="1" applyAlignment="1">
      <alignment horizontal="center" vertical="center"/>
    </xf>
    <xf numFmtId="0" fontId="99" fillId="0" borderId="24" xfId="0" applyFont="1" applyBorder="1" applyAlignment="1">
      <alignment horizontal="center" vertical="center"/>
    </xf>
    <xf numFmtId="0" fontId="99" fillId="0" borderId="25" xfId="0" applyFont="1" applyBorder="1" applyAlignment="1">
      <alignment horizontal="center" vertical="center"/>
    </xf>
    <xf numFmtId="0" fontId="99" fillId="0" borderId="26" xfId="0" applyFont="1" applyBorder="1" applyAlignment="1">
      <alignment horizontal="center" vertical="center"/>
    </xf>
    <xf numFmtId="0" fontId="98" fillId="0" borderId="33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4" fillId="0" borderId="0" xfId="0" applyFont="1" applyAlignment="1">
      <alignment horizontal="center" vertical="center" wrapText="1"/>
    </xf>
    <xf numFmtId="0" fontId="35" fillId="0" borderId="6" xfId="0" applyFont="1" applyBorder="1" applyAlignment="1">
      <alignment horizontal="center" vertical="center"/>
    </xf>
    <xf numFmtId="0" fontId="35" fillId="0" borderId="5" xfId="0" applyFont="1" applyBorder="1" applyAlignment="1">
      <alignment horizontal="center" vertical="center"/>
    </xf>
    <xf numFmtId="0" fontId="34" fillId="0" borderId="0" xfId="0" applyFont="1" applyAlignment="1">
      <alignment horizontal="left" vertical="top" wrapText="1"/>
    </xf>
    <xf numFmtId="0" fontId="31" fillId="0" borderId="0" xfId="0" applyFont="1" applyAlignment="1">
      <alignment horizontal="left" vertical="top" wrapText="1"/>
    </xf>
    <xf numFmtId="0" fontId="75" fillId="0" borderId="0" xfId="0" applyFont="1" applyAlignment="1">
      <alignment horizontal="left" vertical="top" wrapText="1"/>
    </xf>
    <xf numFmtId="0" fontId="34" fillId="0" borderId="0" xfId="0" applyFont="1" applyAlignment="1">
      <alignment horizontal="left" vertical="center" wrapText="1"/>
    </xf>
    <xf numFmtId="0" fontId="34" fillId="0" borderId="0" xfId="0" applyFont="1" applyAlignment="1">
      <alignment horizontal="left" vertical="center"/>
    </xf>
    <xf numFmtId="49" fontId="34" fillId="0" borderId="0" xfId="0" applyNumberFormat="1" applyFont="1" applyFill="1" applyAlignment="1">
      <alignment horizontal="left" vertical="top" wrapText="1"/>
    </xf>
    <xf numFmtId="0" fontId="22" fillId="0" borderId="0" xfId="0" applyFont="1" applyAlignment="1">
      <alignment horizontal="left" vertical="top" wrapText="1"/>
    </xf>
    <xf numFmtId="0" fontId="35" fillId="0" borderId="0" xfId="0" applyFont="1" applyAlignment="1">
      <alignment horizontal="left" vertical="center" wrapText="1"/>
    </xf>
    <xf numFmtId="0" fontId="28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</cellXfs>
  <cellStyles count="399">
    <cellStyle name="20% - Ênfase1 2" xfId="7" xr:uid="{00000000-0005-0000-0000-000000000000}"/>
    <cellStyle name="20% - Ênfase2 2" xfId="8" xr:uid="{00000000-0005-0000-0000-000001000000}"/>
    <cellStyle name="20% - Ênfase3 2" xfId="9" xr:uid="{00000000-0005-0000-0000-000002000000}"/>
    <cellStyle name="20% - Ênfase4 2" xfId="10" xr:uid="{00000000-0005-0000-0000-000003000000}"/>
    <cellStyle name="20% - Ênfase5 2" xfId="11" xr:uid="{00000000-0005-0000-0000-000004000000}"/>
    <cellStyle name="20% - Ênfase6 2" xfId="12" xr:uid="{00000000-0005-0000-0000-000005000000}"/>
    <cellStyle name="40% - Ênfase1 2" xfId="13" xr:uid="{00000000-0005-0000-0000-000006000000}"/>
    <cellStyle name="40% - Ênfase2 2" xfId="14" xr:uid="{00000000-0005-0000-0000-000007000000}"/>
    <cellStyle name="40% - Ênfase3 2" xfId="15" xr:uid="{00000000-0005-0000-0000-000008000000}"/>
    <cellStyle name="40% - Ênfase4 2" xfId="16" xr:uid="{00000000-0005-0000-0000-000009000000}"/>
    <cellStyle name="40% - Ênfase5 2" xfId="17" xr:uid="{00000000-0005-0000-0000-00000A000000}"/>
    <cellStyle name="40% - Ênfase6 2" xfId="18" xr:uid="{00000000-0005-0000-0000-00000B000000}"/>
    <cellStyle name="60% - Ênfase1 2" xfId="19" xr:uid="{00000000-0005-0000-0000-00000C000000}"/>
    <cellStyle name="60% - Ênfase2 2" xfId="20" xr:uid="{00000000-0005-0000-0000-00000D000000}"/>
    <cellStyle name="60% - Ênfase3 2" xfId="21" xr:uid="{00000000-0005-0000-0000-00000E000000}"/>
    <cellStyle name="60% - Ênfase4 2" xfId="22" xr:uid="{00000000-0005-0000-0000-00000F000000}"/>
    <cellStyle name="60% - Ênfase5 2" xfId="23" xr:uid="{00000000-0005-0000-0000-000010000000}"/>
    <cellStyle name="60% - Ênfase6 2" xfId="24" xr:uid="{00000000-0005-0000-0000-000011000000}"/>
    <cellStyle name="Bom 2" xfId="25" xr:uid="{00000000-0005-0000-0000-000012000000}"/>
    <cellStyle name="Cálculo 2" xfId="26" xr:uid="{00000000-0005-0000-0000-000013000000}"/>
    <cellStyle name="Célula de Verificação 2" xfId="27" xr:uid="{00000000-0005-0000-0000-000014000000}"/>
    <cellStyle name="Célula Vinculada 2" xfId="28" xr:uid="{00000000-0005-0000-0000-000015000000}"/>
    <cellStyle name="Ênfase1 2" xfId="29" xr:uid="{00000000-0005-0000-0000-000016000000}"/>
    <cellStyle name="Ênfase2 2" xfId="30" xr:uid="{00000000-0005-0000-0000-000017000000}"/>
    <cellStyle name="Ênfase3 2" xfId="31" xr:uid="{00000000-0005-0000-0000-000018000000}"/>
    <cellStyle name="Ênfase4 2" xfId="32" xr:uid="{00000000-0005-0000-0000-000019000000}"/>
    <cellStyle name="Ênfase5 2" xfId="33" xr:uid="{00000000-0005-0000-0000-00001A000000}"/>
    <cellStyle name="Ênfase6 2" xfId="34" xr:uid="{00000000-0005-0000-0000-00001B000000}"/>
    <cellStyle name="Entrada 2" xfId="35" xr:uid="{00000000-0005-0000-0000-00001C000000}"/>
    <cellStyle name="Incorreto" xfId="54" xr:uid="{00000000-0005-0000-0000-00001D000000}"/>
    <cellStyle name="Incorreto 2" xfId="36" xr:uid="{00000000-0005-0000-0000-00001E000000}"/>
    <cellStyle name="Moeda" xfId="6" builtinId="4"/>
    <cellStyle name="Moeda 2" xfId="4" xr:uid="{00000000-0005-0000-0000-000020000000}"/>
    <cellStyle name="Moeda 2 2" xfId="278" xr:uid="{00000000-0005-0000-0000-000021000000}"/>
    <cellStyle name="Moeda 3" xfId="51" xr:uid="{00000000-0005-0000-0000-000022000000}"/>
    <cellStyle name="Moeda 3 10" xfId="180" xr:uid="{00000000-0005-0000-0000-000023000000}"/>
    <cellStyle name="Moeda 3 2" xfId="71" xr:uid="{00000000-0005-0000-0000-000024000000}"/>
    <cellStyle name="Moeda 3 2 2" xfId="91" xr:uid="{00000000-0005-0000-0000-000025000000}"/>
    <cellStyle name="Moeda 3 2 2 2" xfId="111" xr:uid="{00000000-0005-0000-0000-000026000000}"/>
    <cellStyle name="Moeda 3 2 2 2 2" xfId="159" xr:uid="{00000000-0005-0000-0000-000027000000}"/>
    <cellStyle name="Moeda 3 2 2 2 2 2" xfId="380" xr:uid="{00000000-0005-0000-0000-000028000000}"/>
    <cellStyle name="Moeda 3 2 2 2 2 3" xfId="259" xr:uid="{00000000-0005-0000-0000-000029000000}"/>
    <cellStyle name="Moeda 3 2 2 2 3" xfId="332" xr:uid="{00000000-0005-0000-0000-00002A000000}"/>
    <cellStyle name="Moeda 3 2 2 2 4" xfId="211" xr:uid="{00000000-0005-0000-0000-00002B000000}"/>
    <cellStyle name="Moeda 3 2 2 3" xfId="127" xr:uid="{00000000-0005-0000-0000-00002C000000}"/>
    <cellStyle name="Moeda 3 2 2 3 2" xfId="175" xr:uid="{00000000-0005-0000-0000-00002D000000}"/>
    <cellStyle name="Moeda 3 2 2 3 2 2" xfId="396" xr:uid="{00000000-0005-0000-0000-00002E000000}"/>
    <cellStyle name="Moeda 3 2 2 3 2 3" xfId="275" xr:uid="{00000000-0005-0000-0000-00002F000000}"/>
    <cellStyle name="Moeda 3 2 2 3 3" xfId="348" xr:uid="{00000000-0005-0000-0000-000030000000}"/>
    <cellStyle name="Moeda 3 2 2 3 4" xfId="227" xr:uid="{00000000-0005-0000-0000-000031000000}"/>
    <cellStyle name="Moeda 3 2 2 4" xfId="143" xr:uid="{00000000-0005-0000-0000-000032000000}"/>
    <cellStyle name="Moeda 3 2 2 4 2" xfId="364" xr:uid="{00000000-0005-0000-0000-000033000000}"/>
    <cellStyle name="Moeda 3 2 2 4 3" xfId="243" xr:uid="{00000000-0005-0000-0000-000034000000}"/>
    <cellStyle name="Moeda 3 2 2 5" xfId="313" xr:uid="{00000000-0005-0000-0000-000035000000}"/>
    <cellStyle name="Moeda 3 2 2 6" xfId="194" xr:uid="{00000000-0005-0000-0000-000036000000}"/>
    <cellStyle name="Moeda 3 2 3" xfId="103" xr:uid="{00000000-0005-0000-0000-000037000000}"/>
    <cellStyle name="Moeda 3 2 3 2" xfId="151" xr:uid="{00000000-0005-0000-0000-000038000000}"/>
    <cellStyle name="Moeda 3 2 3 2 2" xfId="372" xr:uid="{00000000-0005-0000-0000-000039000000}"/>
    <cellStyle name="Moeda 3 2 3 2 3" xfId="251" xr:uid="{00000000-0005-0000-0000-00003A000000}"/>
    <cellStyle name="Moeda 3 2 3 3" xfId="324" xr:uid="{00000000-0005-0000-0000-00003B000000}"/>
    <cellStyle name="Moeda 3 2 3 4" xfId="203" xr:uid="{00000000-0005-0000-0000-00003C000000}"/>
    <cellStyle name="Moeda 3 2 4" xfId="119" xr:uid="{00000000-0005-0000-0000-00003D000000}"/>
    <cellStyle name="Moeda 3 2 4 2" xfId="167" xr:uid="{00000000-0005-0000-0000-00003E000000}"/>
    <cellStyle name="Moeda 3 2 4 2 2" xfId="388" xr:uid="{00000000-0005-0000-0000-00003F000000}"/>
    <cellStyle name="Moeda 3 2 4 2 3" xfId="267" xr:uid="{00000000-0005-0000-0000-000040000000}"/>
    <cellStyle name="Moeda 3 2 4 3" xfId="340" xr:uid="{00000000-0005-0000-0000-000041000000}"/>
    <cellStyle name="Moeda 3 2 4 4" xfId="219" xr:uid="{00000000-0005-0000-0000-000042000000}"/>
    <cellStyle name="Moeda 3 2 5" xfId="135" xr:uid="{00000000-0005-0000-0000-000043000000}"/>
    <cellStyle name="Moeda 3 2 5 2" xfId="356" xr:uid="{00000000-0005-0000-0000-000044000000}"/>
    <cellStyle name="Moeda 3 2 5 3" xfId="235" xr:uid="{00000000-0005-0000-0000-000045000000}"/>
    <cellStyle name="Moeda 3 2 6" xfId="294" xr:uid="{00000000-0005-0000-0000-000046000000}"/>
    <cellStyle name="Moeda 3 2 7" xfId="185" xr:uid="{00000000-0005-0000-0000-000047000000}"/>
    <cellStyle name="Moeda 3 3" xfId="76" xr:uid="{00000000-0005-0000-0000-000048000000}"/>
    <cellStyle name="Moeda 3 3 2" xfId="96" xr:uid="{00000000-0005-0000-0000-000049000000}"/>
    <cellStyle name="Moeda 3 3 2 2" xfId="113" xr:uid="{00000000-0005-0000-0000-00004A000000}"/>
    <cellStyle name="Moeda 3 3 2 2 2" xfId="161" xr:uid="{00000000-0005-0000-0000-00004B000000}"/>
    <cellStyle name="Moeda 3 3 2 2 2 2" xfId="382" xr:uid="{00000000-0005-0000-0000-00004C000000}"/>
    <cellStyle name="Moeda 3 3 2 2 2 3" xfId="261" xr:uid="{00000000-0005-0000-0000-00004D000000}"/>
    <cellStyle name="Moeda 3 3 2 2 3" xfId="334" xr:uid="{00000000-0005-0000-0000-00004E000000}"/>
    <cellStyle name="Moeda 3 3 2 2 4" xfId="213" xr:uid="{00000000-0005-0000-0000-00004F000000}"/>
    <cellStyle name="Moeda 3 3 2 3" xfId="129" xr:uid="{00000000-0005-0000-0000-000050000000}"/>
    <cellStyle name="Moeda 3 3 2 3 2" xfId="177" xr:uid="{00000000-0005-0000-0000-000051000000}"/>
    <cellStyle name="Moeda 3 3 2 3 2 2" xfId="398" xr:uid="{00000000-0005-0000-0000-000052000000}"/>
    <cellStyle name="Moeda 3 3 2 3 2 3" xfId="277" xr:uid="{00000000-0005-0000-0000-000053000000}"/>
    <cellStyle name="Moeda 3 3 2 3 3" xfId="350" xr:uid="{00000000-0005-0000-0000-000054000000}"/>
    <cellStyle name="Moeda 3 3 2 3 4" xfId="229" xr:uid="{00000000-0005-0000-0000-000055000000}"/>
    <cellStyle name="Moeda 3 3 2 4" xfId="145" xr:uid="{00000000-0005-0000-0000-000056000000}"/>
    <cellStyle name="Moeda 3 3 2 4 2" xfId="366" xr:uid="{00000000-0005-0000-0000-000057000000}"/>
    <cellStyle name="Moeda 3 3 2 4 3" xfId="245" xr:uid="{00000000-0005-0000-0000-000058000000}"/>
    <cellStyle name="Moeda 3 3 2 5" xfId="317" xr:uid="{00000000-0005-0000-0000-000059000000}"/>
    <cellStyle name="Moeda 3 3 2 6" xfId="197" xr:uid="{00000000-0005-0000-0000-00005A000000}"/>
    <cellStyle name="Moeda 3 3 3" xfId="105" xr:uid="{00000000-0005-0000-0000-00005B000000}"/>
    <cellStyle name="Moeda 3 3 3 2" xfId="153" xr:uid="{00000000-0005-0000-0000-00005C000000}"/>
    <cellStyle name="Moeda 3 3 3 2 2" xfId="374" xr:uid="{00000000-0005-0000-0000-00005D000000}"/>
    <cellStyle name="Moeda 3 3 3 2 3" xfId="253" xr:uid="{00000000-0005-0000-0000-00005E000000}"/>
    <cellStyle name="Moeda 3 3 3 3" xfId="326" xr:uid="{00000000-0005-0000-0000-00005F000000}"/>
    <cellStyle name="Moeda 3 3 3 4" xfId="205" xr:uid="{00000000-0005-0000-0000-000060000000}"/>
    <cellStyle name="Moeda 3 3 4" xfId="121" xr:uid="{00000000-0005-0000-0000-000061000000}"/>
    <cellStyle name="Moeda 3 3 4 2" xfId="169" xr:uid="{00000000-0005-0000-0000-000062000000}"/>
    <cellStyle name="Moeda 3 3 4 2 2" xfId="390" xr:uid="{00000000-0005-0000-0000-000063000000}"/>
    <cellStyle name="Moeda 3 3 4 2 3" xfId="269" xr:uid="{00000000-0005-0000-0000-000064000000}"/>
    <cellStyle name="Moeda 3 3 4 3" xfId="342" xr:uid="{00000000-0005-0000-0000-000065000000}"/>
    <cellStyle name="Moeda 3 3 4 4" xfId="221" xr:uid="{00000000-0005-0000-0000-000066000000}"/>
    <cellStyle name="Moeda 3 3 5" xfId="137" xr:uid="{00000000-0005-0000-0000-000067000000}"/>
    <cellStyle name="Moeda 3 3 5 2" xfId="358" xr:uid="{00000000-0005-0000-0000-000068000000}"/>
    <cellStyle name="Moeda 3 3 5 3" xfId="237" xr:uid="{00000000-0005-0000-0000-000069000000}"/>
    <cellStyle name="Moeda 3 3 6" xfId="298" xr:uid="{00000000-0005-0000-0000-00006A000000}"/>
    <cellStyle name="Moeda 3 3 7" xfId="188" xr:uid="{00000000-0005-0000-0000-00006B000000}"/>
    <cellStyle name="Moeda 3 4" xfId="66" xr:uid="{00000000-0005-0000-0000-00006C000000}"/>
    <cellStyle name="Moeda 3 4 2" xfId="87" xr:uid="{00000000-0005-0000-0000-00006D000000}"/>
    <cellStyle name="Moeda 3 4 2 2" xfId="109" xr:uid="{00000000-0005-0000-0000-00006E000000}"/>
    <cellStyle name="Moeda 3 4 2 2 2" xfId="157" xr:uid="{00000000-0005-0000-0000-00006F000000}"/>
    <cellStyle name="Moeda 3 4 2 2 2 2" xfId="378" xr:uid="{00000000-0005-0000-0000-000070000000}"/>
    <cellStyle name="Moeda 3 4 2 2 2 3" xfId="257" xr:uid="{00000000-0005-0000-0000-000071000000}"/>
    <cellStyle name="Moeda 3 4 2 2 3" xfId="330" xr:uid="{00000000-0005-0000-0000-000072000000}"/>
    <cellStyle name="Moeda 3 4 2 2 4" xfId="209" xr:uid="{00000000-0005-0000-0000-000073000000}"/>
    <cellStyle name="Moeda 3 4 2 3" xfId="125" xr:uid="{00000000-0005-0000-0000-000074000000}"/>
    <cellStyle name="Moeda 3 4 2 3 2" xfId="173" xr:uid="{00000000-0005-0000-0000-000075000000}"/>
    <cellStyle name="Moeda 3 4 2 3 2 2" xfId="394" xr:uid="{00000000-0005-0000-0000-000076000000}"/>
    <cellStyle name="Moeda 3 4 2 3 2 3" xfId="273" xr:uid="{00000000-0005-0000-0000-000077000000}"/>
    <cellStyle name="Moeda 3 4 2 3 3" xfId="346" xr:uid="{00000000-0005-0000-0000-000078000000}"/>
    <cellStyle name="Moeda 3 4 2 3 4" xfId="225" xr:uid="{00000000-0005-0000-0000-000079000000}"/>
    <cellStyle name="Moeda 3 4 2 4" xfId="141" xr:uid="{00000000-0005-0000-0000-00007A000000}"/>
    <cellStyle name="Moeda 3 4 2 4 2" xfId="362" xr:uid="{00000000-0005-0000-0000-00007B000000}"/>
    <cellStyle name="Moeda 3 4 2 4 3" xfId="241" xr:uid="{00000000-0005-0000-0000-00007C000000}"/>
    <cellStyle name="Moeda 3 4 2 5" xfId="309" xr:uid="{00000000-0005-0000-0000-00007D000000}"/>
    <cellStyle name="Moeda 3 4 2 6" xfId="192" xr:uid="{00000000-0005-0000-0000-00007E000000}"/>
    <cellStyle name="Moeda 3 4 3" xfId="101" xr:uid="{00000000-0005-0000-0000-00007F000000}"/>
    <cellStyle name="Moeda 3 4 3 2" xfId="149" xr:uid="{00000000-0005-0000-0000-000080000000}"/>
    <cellStyle name="Moeda 3 4 3 2 2" xfId="370" xr:uid="{00000000-0005-0000-0000-000081000000}"/>
    <cellStyle name="Moeda 3 4 3 2 3" xfId="249" xr:uid="{00000000-0005-0000-0000-000082000000}"/>
    <cellStyle name="Moeda 3 4 3 3" xfId="322" xr:uid="{00000000-0005-0000-0000-000083000000}"/>
    <cellStyle name="Moeda 3 4 3 4" xfId="201" xr:uid="{00000000-0005-0000-0000-000084000000}"/>
    <cellStyle name="Moeda 3 4 4" xfId="117" xr:uid="{00000000-0005-0000-0000-000085000000}"/>
    <cellStyle name="Moeda 3 4 4 2" xfId="165" xr:uid="{00000000-0005-0000-0000-000086000000}"/>
    <cellStyle name="Moeda 3 4 4 2 2" xfId="386" xr:uid="{00000000-0005-0000-0000-000087000000}"/>
    <cellStyle name="Moeda 3 4 4 2 3" xfId="265" xr:uid="{00000000-0005-0000-0000-000088000000}"/>
    <cellStyle name="Moeda 3 4 4 3" xfId="338" xr:uid="{00000000-0005-0000-0000-000089000000}"/>
    <cellStyle name="Moeda 3 4 4 4" xfId="217" xr:uid="{00000000-0005-0000-0000-00008A000000}"/>
    <cellStyle name="Moeda 3 4 5" xfId="133" xr:uid="{00000000-0005-0000-0000-00008B000000}"/>
    <cellStyle name="Moeda 3 4 5 2" xfId="354" xr:uid="{00000000-0005-0000-0000-00008C000000}"/>
    <cellStyle name="Moeda 3 4 5 3" xfId="233" xr:uid="{00000000-0005-0000-0000-00008D000000}"/>
    <cellStyle name="Moeda 3 4 6" xfId="290" xr:uid="{00000000-0005-0000-0000-00008E000000}"/>
    <cellStyle name="Moeda 3 4 7" xfId="183" xr:uid="{00000000-0005-0000-0000-00008F000000}"/>
    <cellStyle name="Moeda 3 5" xfId="80" xr:uid="{00000000-0005-0000-0000-000090000000}"/>
    <cellStyle name="Moeda 3 5 2" xfId="107" xr:uid="{00000000-0005-0000-0000-000091000000}"/>
    <cellStyle name="Moeda 3 5 2 2" xfId="155" xr:uid="{00000000-0005-0000-0000-000092000000}"/>
    <cellStyle name="Moeda 3 5 2 2 2" xfId="376" xr:uid="{00000000-0005-0000-0000-000093000000}"/>
    <cellStyle name="Moeda 3 5 2 2 3" xfId="255" xr:uid="{00000000-0005-0000-0000-000094000000}"/>
    <cellStyle name="Moeda 3 5 2 3" xfId="328" xr:uid="{00000000-0005-0000-0000-000095000000}"/>
    <cellStyle name="Moeda 3 5 2 4" xfId="207" xr:uid="{00000000-0005-0000-0000-000096000000}"/>
    <cellStyle name="Moeda 3 5 3" xfId="123" xr:uid="{00000000-0005-0000-0000-000097000000}"/>
    <cellStyle name="Moeda 3 5 3 2" xfId="171" xr:uid="{00000000-0005-0000-0000-000098000000}"/>
    <cellStyle name="Moeda 3 5 3 2 2" xfId="392" xr:uid="{00000000-0005-0000-0000-000099000000}"/>
    <cellStyle name="Moeda 3 5 3 2 3" xfId="271" xr:uid="{00000000-0005-0000-0000-00009A000000}"/>
    <cellStyle name="Moeda 3 5 3 3" xfId="344" xr:uid="{00000000-0005-0000-0000-00009B000000}"/>
    <cellStyle name="Moeda 3 5 3 4" xfId="223" xr:uid="{00000000-0005-0000-0000-00009C000000}"/>
    <cellStyle name="Moeda 3 5 4" xfId="139" xr:uid="{00000000-0005-0000-0000-00009D000000}"/>
    <cellStyle name="Moeda 3 5 4 2" xfId="360" xr:uid="{00000000-0005-0000-0000-00009E000000}"/>
    <cellStyle name="Moeda 3 5 4 3" xfId="239" xr:uid="{00000000-0005-0000-0000-00009F000000}"/>
    <cellStyle name="Moeda 3 5 5" xfId="302" xr:uid="{00000000-0005-0000-0000-0000A0000000}"/>
    <cellStyle name="Moeda 3 5 6" xfId="190" xr:uid="{00000000-0005-0000-0000-0000A1000000}"/>
    <cellStyle name="Moeda 3 6" xfId="99" xr:uid="{00000000-0005-0000-0000-0000A2000000}"/>
    <cellStyle name="Moeda 3 6 2" xfId="147" xr:uid="{00000000-0005-0000-0000-0000A3000000}"/>
    <cellStyle name="Moeda 3 6 2 2" xfId="368" xr:uid="{00000000-0005-0000-0000-0000A4000000}"/>
    <cellStyle name="Moeda 3 6 2 3" xfId="247" xr:uid="{00000000-0005-0000-0000-0000A5000000}"/>
    <cellStyle name="Moeda 3 6 3" xfId="320" xr:uid="{00000000-0005-0000-0000-0000A6000000}"/>
    <cellStyle name="Moeda 3 6 4" xfId="199" xr:uid="{00000000-0005-0000-0000-0000A7000000}"/>
    <cellStyle name="Moeda 3 7" xfId="115" xr:uid="{00000000-0005-0000-0000-0000A8000000}"/>
    <cellStyle name="Moeda 3 7 2" xfId="163" xr:uid="{00000000-0005-0000-0000-0000A9000000}"/>
    <cellStyle name="Moeda 3 7 2 2" xfId="384" xr:uid="{00000000-0005-0000-0000-0000AA000000}"/>
    <cellStyle name="Moeda 3 7 2 3" xfId="263" xr:uid="{00000000-0005-0000-0000-0000AB000000}"/>
    <cellStyle name="Moeda 3 7 3" xfId="336" xr:uid="{00000000-0005-0000-0000-0000AC000000}"/>
    <cellStyle name="Moeda 3 7 4" xfId="215" xr:uid="{00000000-0005-0000-0000-0000AD000000}"/>
    <cellStyle name="Moeda 3 8" xfId="131" xr:uid="{00000000-0005-0000-0000-0000AE000000}"/>
    <cellStyle name="Moeda 3 8 2" xfId="352" xr:uid="{00000000-0005-0000-0000-0000AF000000}"/>
    <cellStyle name="Moeda 3 8 3" xfId="231" xr:uid="{00000000-0005-0000-0000-0000B0000000}"/>
    <cellStyle name="Moeda 3 9" xfId="282" xr:uid="{00000000-0005-0000-0000-0000B1000000}"/>
    <cellStyle name="Moeda 4" xfId="61" xr:uid="{00000000-0005-0000-0000-0000B2000000}"/>
    <cellStyle name="Moeda 4 2" xfId="286" xr:uid="{00000000-0005-0000-0000-0000B3000000}"/>
    <cellStyle name="Moeda 4 3" xfId="181" xr:uid="{00000000-0005-0000-0000-0000B4000000}"/>
    <cellStyle name="Moeda 5" xfId="73" xr:uid="{00000000-0005-0000-0000-0000B5000000}"/>
    <cellStyle name="Moeda 5 2" xfId="93" xr:uid="{00000000-0005-0000-0000-0000B6000000}"/>
    <cellStyle name="Moeda 5 2 2" xfId="195" xr:uid="{00000000-0005-0000-0000-0000B7000000}"/>
    <cellStyle name="Moeda 5 3" xfId="186" xr:uid="{00000000-0005-0000-0000-0000B8000000}"/>
    <cellStyle name="Moeda 6" xfId="279" xr:uid="{00000000-0005-0000-0000-0000B9000000}"/>
    <cellStyle name="Neutra" xfId="55" xr:uid="{00000000-0005-0000-0000-0000BA000000}"/>
    <cellStyle name="Neutra 2" xfId="37" xr:uid="{00000000-0005-0000-0000-0000BB000000}"/>
    <cellStyle name="Normal" xfId="0" builtinId="0"/>
    <cellStyle name="Normal 2" xfId="2" xr:uid="{00000000-0005-0000-0000-0000BD000000}"/>
    <cellStyle name="Normal 2 2" xfId="3" xr:uid="{00000000-0005-0000-0000-0000BE000000}"/>
    <cellStyle name="Normal 2 3" xfId="60" xr:uid="{00000000-0005-0000-0000-0000BF000000}"/>
    <cellStyle name="Normal 3" xfId="50" xr:uid="{00000000-0005-0000-0000-0000C0000000}"/>
    <cellStyle name="Normal 3 10" xfId="179" xr:uid="{00000000-0005-0000-0000-0000C1000000}"/>
    <cellStyle name="Normal 3 2" xfId="70" xr:uid="{00000000-0005-0000-0000-0000C2000000}"/>
    <cellStyle name="Normal 3 2 2" xfId="90" xr:uid="{00000000-0005-0000-0000-0000C3000000}"/>
    <cellStyle name="Normal 3 2 2 2" xfId="110" xr:uid="{00000000-0005-0000-0000-0000C4000000}"/>
    <cellStyle name="Normal 3 2 2 2 2" xfId="158" xr:uid="{00000000-0005-0000-0000-0000C5000000}"/>
    <cellStyle name="Normal 3 2 2 2 2 2" xfId="379" xr:uid="{00000000-0005-0000-0000-0000C6000000}"/>
    <cellStyle name="Normal 3 2 2 2 2 3" xfId="258" xr:uid="{00000000-0005-0000-0000-0000C7000000}"/>
    <cellStyle name="Normal 3 2 2 2 3" xfId="331" xr:uid="{00000000-0005-0000-0000-0000C8000000}"/>
    <cellStyle name="Normal 3 2 2 2 4" xfId="210" xr:uid="{00000000-0005-0000-0000-0000C9000000}"/>
    <cellStyle name="Normal 3 2 2 3" xfId="126" xr:uid="{00000000-0005-0000-0000-0000CA000000}"/>
    <cellStyle name="Normal 3 2 2 3 2" xfId="174" xr:uid="{00000000-0005-0000-0000-0000CB000000}"/>
    <cellStyle name="Normal 3 2 2 3 2 2" xfId="395" xr:uid="{00000000-0005-0000-0000-0000CC000000}"/>
    <cellStyle name="Normal 3 2 2 3 2 3" xfId="274" xr:uid="{00000000-0005-0000-0000-0000CD000000}"/>
    <cellStyle name="Normal 3 2 2 3 3" xfId="347" xr:uid="{00000000-0005-0000-0000-0000CE000000}"/>
    <cellStyle name="Normal 3 2 2 3 4" xfId="226" xr:uid="{00000000-0005-0000-0000-0000CF000000}"/>
    <cellStyle name="Normal 3 2 2 4" xfId="142" xr:uid="{00000000-0005-0000-0000-0000D0000000}"/>
    <cellStyle name="Normal 3 2 2 4 2" xfId="363" xr:uid="{00000000-0005-0000-0000-0000D1000000}"/>
    <cellStyle name="Normal 3 2 2 4 3" xfId="242" xr:uid="{00000000-0005-0000-0000-0000D2000000}"/>
    <cellStyle name="Normal 3 2 2 5" xfId="312" xr:uid="{00000000-0005-0000-0000-0000D3000000}"/>
    <cellStyle name="Normal 3 2 2 6" xfId="193" xr:uid="{00000000-0005-0000-0000-0000D4000000}"/>
    <cellStyle name="Normal 3 2 3" xfId="102" xr:uid="{00000000-0005-0000-0000-0000D5000000}"/>
    <cellStyle name="Normal 3 2 3 2" xfId="150" xr:uid="{00000000-0005-0000-0000-0000D6000000}"/>
    <cellStyle name="Normal 3 2 3 2 2" xfId="371" xr:uid="{00000000-0005-0000-0000-0000D7000000}"/>
    <cellStyle name="Normal 3 2 3 2 3" xfId="250" xr:uid="{00000000-0005-0000-0000-0000D8000000}"/>
    <cellStyle name="Normal 3 2 3 3" xfId="323" xr:uid="{00000000-0005-0000-0000-0000D9000000}"/>
    <cellStyle name="Normal 3 2 3 4" xfId="202" xr:uid="{00000000-0005-0000-0000-0000DA000000}"/>
    <cellStyle name="Normal 3 2 4" xfId="118" xr:uid="{00000000-0005-0000-0000-0000DB000000}"/>
    <cellStyle name="Normal 3 2 4 2" xfId="166" xr:uid="{00000000-0005-0000-0000-0000DC000000}"/>
    <cellStyle name="Normal 3 2 4 2 2" xfId="387" xr:uid="{00000000-0005-0000-0000-0000DD000000}"/>
    <cellStyle name="Normal 3 2 4 2 3" xfId="266" xr:uid="{00000000-0005-0000-0000-0000DE000000}"/>
    <cellStyle name="Normal 3 2 4 3" xfId="339" xr:uid="{00000000-0005-0000-0000-0000DF000000}"/>
    <cellStyle name="Normal 3 2 4 4" xfId="218" xr:uid="{00000000-0005-0000-0000-0000E0000000}"/>
    <cellStyle name="Normal 3 2 5" xfId="134" xr:uid="{00000000-0005-0000-0000-0000E1000000}"/>
    <cellStyle name="Normal 3 2 5 2" xfId="355" xr:uid="{00000000-0005-0000-0000-0000E2000000}"/>
    <cellStyle name="Normal 3 2 5 3" xfId="234" xr:uid="{00000000-0005-0000-0000-0000E3000000}"/>
    <cellStyle name="Normal 3 2 6" xfId="293" xr:uid="{00000000-0005-0000-0000-0000E4000000}"/>
    <cellStyle name="Normal 3 2 7" xfId="184" xr:uid="{00000000-0005-0000-0000-0000E5000000}"/>
    <cellStyle name="Normal 3 3" xfId="75" xr:uid="{00000000-0005-0000-0000-0000E6000000}"/>
    <cellStyle name="Normal 3 3 2" xfId="95" xr:uid="{00000000-0005-0000-0000-0000E7000000}"/>
    <cellStyle name="Normal 3 3 2 2" xfId="112" xr:uid="{00000000-0005-0000-0000-0000E8000000}"/>
    <cellStyle name="Normal 3 3 2 2 2" xfId="160" xr:uid="{00000000-0005-0000-0000-0000E9000000}"/>
    <cellStyle name="Normal 3 3 2 2 2 2" xfId="381" xr:uid="{00000000-0005-0000-0000-0000EA000000}"/>
    <cellStyle name="Normal 3 3 2 2 2 3" xfId="260" xr:uid="{00000000-0005-0000-0000-0000EB000000}"/>
    <cellStyle name="Normal 3 3 2 2 3" xfId="333" xr:uid="{00000000-0005-0000-0000-0000EC000000}"/>
    <cellStyle name="Normal 3 3 2 2 4" xfId="212" xr:uid="{00000000-0005-0000-0000-0000ED000000}"/>
    <cellStyle name="Normal 3 3 2 3" xfId="128" xr:uid="{00000000-0005-0000-0000-0000EE000000}"/>
    <cellStyle name="Normal 3 3 2 3 2" xfId="176" xr:uid="{00000000-0005-0000-0000-0000EF000000}"/>
    <cellStyle name="Normal 3 3 2 3 2 2" xfId="397" xr:uid="{00000000-0005-0000-0000-0000F0000000}"/>
    <cellStyle name="Normal 3 3 2 3 2 3" xfId="276" xr:uid="{00000000-0005-0000-0000-0000F1000000}"/>
    <cellStyle name="Normal 3 3 2 3 3" xfId="349" xr:uid="{00000000-0005-0000-0000-0000F2000000}"/>
    <cellStyle name="Normal 3 3 2 3 4" xfId="228" xr:uid="{00000000-0005-0000-0000-0000F3000000}"/>
    <cellStyle name="Normal 3 3 2 4" xfId="144" xr:uid="{00000000-0005-0000-0000-0000F4000000}"/>
    <cellStyle name="Normal 3 3 2 4 2" xfId="365" xr:uid="{00000000-0005-0000-0000-0000F5000000}"/>
    <cellStyle name="Normal 3 3 2 4 3" xfId="244" xr:uid="{00000000-0005-0000-0000-0000F6000000}"/>
    <cellStyle name="Normal 3 3 2 5" xfId="316" xr:uid="{00000000-0005-0000-0000-0000F7000000}"/>
    <cellStyle name="Normal 3 3 2 6" xfId="196" xr:uid="{00000000-0005-0000-0000-0000F8000000}"/>
    <cellStyle name="Normal 3 3 3" xfId="104" xr:uid="{00000000-0005-0000-0000-0000F9000000}"/>
    <cellStyle name="Normal 3 3 3 2" xfId="152" xr:uid="{00000000-0005-0000-0000-0000FA000000}"/>
    <cellStyle name="Normal 3 3 3 2 2" xfId="373" xr:uid="{00000000-0005-0000-0000-0000FB000000}"/>
    <cellStyle name="Normal 3 3 3 2 3" xfId="252" xr:uid="{00000000-0005-0000-0000-0000FC000000}"/>
    <cellStyle name="Normal 3 3 3 3" xfId="325" xr:uid="{00000000-0005-0000-0000-0000FD000000}"/>
    <cellStyle name="Normal 3 3 3 4" xfId="204" xr:uid="{00000000-0005-0000-0000-0000FE000000}"/>
    <cellStyle name="Normal 3 3 4" xfId="120" xr:uid="{00000000-0005-0000-0000-0000FF000000}"/>
    <cellStyle name="Normal 3 3 4 2" xfId="168" xr:uid="{00000000-0005-0000-0000-000000010000}"/>
    <cellStyle name="Normal 3 3 4 2 2" xfId="389" xr:uid="{00000000-0005-0000-0000-000001010000}"/>
    <cellStyle name="Normal 3 3 4 2 3" xfId="268" xr:uid="{00000000-0005-0000-0000-000002010000}"/>
    <cellStyle name="Normal 3 3 4 3" xfId="341" xr:uid="{00000000-0005-0000-0000-000003010000}"/>
    <cellStyle name="Normal 3 3 4 4" xfId="220" xr:uid="{00000000-0005-0000-0000-000004010000}"/>
    <cellStyle name="Normal 3 3 5" xfId="136" xr:uid="{00000000-0005-0000-0000-000005010000}"/>
    <cellStyle name="Normal 3 3 5 2" xfId="357" xr:uid="{00000000-0005-0000-0000-000006010000}"/>
    <cellStyle name="Normal 3 3 5 3" xfId="236" xr:uid="{00000000-0005-0000-0000-000007010000}"/>
    <cellStyle name="Normal 3 3 6" xfId="297" xr:uid="{00000000-0005-0000-0000-000008010000}"/>
    <cellStyle name="Normal 3 3 7" xfId="187" xr:uid="{00000000-0005-0000-0000-000009010000}"/>
    <cellStyle name="Normal 3 4" xfId="65" xr:uid="{00000000-0005-0000-0000-00000A010000}"/>
    <cellStyle name="Normal 3 4 2" xfId="86" xr:uid="{00000000-0005-0000-0000-00000B010000}"/>
    <cellStyle name="Normal 3 4 2 2" xfId="108" xr:uid="{00000000-0005-0000-0000-00000C010000}"/>
    <cellStyle name="Normal 3 4 2 2 2" xfId="156" xr:uid="{00000000-0005-0000-0000-00000D010000}"/>
    <cellStyle name="Normal 3 4 2 2 2 2" xfId="377" xr:uid="{00000000-0005-0000-0000-00000E010000}"/>
    <cellStyle name="Normal 3 4 2 2 2 3" xfId="256" xr:uid="{00000000-0005-0000-0000-00000F010000}"/>
    <cellStyle name="Normal 3 4 2 2 3" xfId="329" xr:uid="{00000000-0005-0000-0000-000010010000}"/>
    <cellStyle name="Normal 3 4 2 2 4" xfId="208" xr:uid="{00000000-0005-0000-0000-000011010000}"/>
    <cellStyle name="Normal 3 4 2 3" xfId="124" xr:uid="{00000000-0005-0000-0000-000012010000}"/>
    <cellStyle name="Normal 3 4 2 3 2" xfId="172" xr:uid="{00000000-0005-0000-0000-000013010000}"/>
    <cellStyle name="Normal 3 4 2 3 2 2" xfId="393" xr:uid="{00000000-0005-0000-0000-000014010000}"/>
    <cellStyle name="Normal 3 4 2 3 2 3" xfId="272" xr:uid="{00000000-0005-0000-0000-000015010000}"/>
    <cellStyle name="Normal 3 4 2 3 3" xfId="345" xr:uid="{00000000-0005-0000-0000-000016010000}"/>
    <cellStyle name="Normal 3 4 2 3 4" xfId="224" xr:uid="{00000000-0005-0000-0000-000017010000}"/>
    <cellStyle name="Normal 3 4 2 4" xfId="140" xr:uid="{00000000-0005-0000-0000-000018010000}"/>
    <cellStyle name="Normal 3 4 2 4 2" xfId="361" xr:uid="{00000000-0005-0000-0000-000019010000}"/>
    <cellStyle name="Normal 3 4 2 4 3" xfId="240" xr:uid="{00000000-0005-0000-0000-00001A010000}"/>
    <cellStyle name="Normal 3 4 2 5" xfId="308" xr:uid="{00000000-0005-0000-0000-00001B010000}"/>
    <cellStyle name="Normal 3 4 2 6" xfId="191" xr:uid="{00000000-0005-0000-0000-00001C010000}"/>
    <cellStyle name="Normal 3 4 3" xfId="100" xr:uid="{00000000-0005-0000-0000-00001D010000}"/>
    <cellStyle name="Normal 3 4 3 2" xfId="148" xr:uid="{00000000-0005-0000-0000-00001E010000}"/>
    <cellStyle name="Normal 3 4 3 2 2" xfId="369" xr:uid="{00000000-0005-0000-0000-00001F010000}"/>
    <cellStyle name="Normal 3 4 3 2 3" xfId="248" xr:uid="{00000000-0005-0000-0000-000020010000}"/>
    <cellStyle name="Normal 3 4 3 3" xfId="321" xr:uid="{00000000-0005-0000-0000-000021010000}"/>
    <cellStyle name="Normal 3 4 3 4" xfId="200" xr:uid="{00000000-0005-0000-0000-000022010000}"/>
    <cellStyle name="Normal 3 4 4" xfId="116" xr:uid="{00000000-0005-0000-0000-000023010000}"/>
    <cellStyle name="Normal 3 4 4 2" xfId="164" xr:uid="{00000000-0005-0000-0000-000024010000}"/>
    <cellStyle name="Normal 3 4 4 2 2" xfId="385" xr:uid="{00000000-0005-0000-0000-000025010000}"/>
    <cellStyle name="Normal 3 4 4 2 3" xfId="264" xr:uid="{00000000-0005-0000-0000-000026010000}"/>
    <cellStyle name="Normal 3 4 4 3" xfId="337" xr:uid="{00000000-0005-0000-0000-000027010000}"/>
    <cellStyle name="Normal 3 4 4 4" xfId="216" xr:uid="{00000000-0005-0000-0000-000028010000}"/>
    <cellStyle name="Normal 3 4 5" xfId="132" xr:uid="{00000000-0005-0000-0000-000029010000}"/>
    <cellStyle name="Normal 3 4 5 2" xfId="353" xr:uid="{00000000-0005-0000-0000-00002A010000}"/>
    <cellStyle name="Normal 3 4 5 3" xfId="232" xr:uid="{00000000-0005-0000-0000-00002B010000}"/>
    <cellStyle name="Normal 3 4 6" xfId="289" xr:uid="{00000000-0005-0000-0000-00002C010000}"/>
    <cellStyle name="Normal 3 4 7" xfId="182" xr:uid="{00000000-0005-0000-0000-00002D010000}"/>
    <cellStyle name="Normal 3 5" xfId="79" xr:uid="{00000000-0005-0000-0000-00002E010000}"/>
    <cellStyle name="Normal 3 5 2" xfId="106" xr:uid="{00000000-0005-0000-0000-00002F010000}"/>
    <cellStyle name="Normal 3 5 2 2" xfId="154" xr:uid="{00000000-0005-0000-0000-000030010000}"/>
    <cellStyle name="Normal 3 5 2 2 2" xfId="375" xr:uid="{00000000-0005-0000-0000-000031010000}"/>
    <cellStyle name="Normal 3 5 2 2 3" xfId="254" xr:uid="{00000000-0005-0000-0000-000032010000}"/>
    <cellStyle name="Normal 3 5 2 3" xfId="327" xr:uid="{00000000-0005-0000-0000-000033010000}"/>
    <cellStyle name="Normal 3 5 2 4" xfId="206" xr:uid="{00000000-0005-0000-0000-000034010000}"/>
    <cellStyle name="Normal 3 5 3" xfId="122" xr:uid="{00000000-0005-0000-0000-000035010000}"/>
    <cellStyle name="Normal 3 5 3 2" xfId="170" xr:uid="{00000000-0005-0000-0000-000036010000}"/>
    <cellStyle name="Normal 3 5 3 2 2" xfId="391" xr:uid="{00000000-0005-0000-0000-000037010000}"/>
    <cellStyle name="Normal 3 5 3 2 3" xfId="270" xr:uid="{00000000-0005-0000-0000-000038010000}"/>
    <cellStyle name="Normal 3 5 3 3" xfId="343" xr:uid="{00000000-0005-0000-0000-000039010000}"/>
    <cellStyle name="Normal 3 5 3 4" xfId="222" xr:uid="{00000000-0005-0000-0000-00003A010000}"/>
    <cellStyle name="Normal 3 5 4" xfId="138" xr:uid="{00000000-0005-0000-0000-00003B010000}"/>
    <cellStyle name="Normal 3 5 4 2" xfId="359" xr:uid="{00000000-0005-0000-0000-00003C010000}"/>
    <cellStyle name="Normal 3 5 4 3" xfId="238" xr:uid="{00000000-0005-0000-0000-00003D010000}"/>
    <cellStyle name="Normal 3 5 5" xfId="301" xr:uid="{00000000-0005-0000-0000-00003E010000}"/>
    <cellStyle name="Normal 3 5 6" xfId="189" xr:uid="{00000000-0005-0000-0000-00003F010000}"/>
    <cellStyle name="Normal 3 6" xfId="98" xr:uid="{00000000-0005-0000-0000-000040010000}"/>
    <cellStyle name="Normal 3 6 2" xfId="146" xr:uid="{00000000-0005-0000-0000-000041010000}"/>
    <cellStyle name="Normal 3 6 2 2" xfId="367" xr:uid="{00000000-0005-0000-0000-000042010000}"/>
    <cellStyle name="Normal 3 6 2 3" xfId="246" xr:uid="{00000000-0005-0000-0000-000043010000}"/>
    <cellStyle name="Normal 3 6 3" xfId="319" xr:uid="{00000000-0005-0000-0000-000044010000}"/>
    <cellStyle name="Normal 3 6 4" xfId="198" xr:uid="{00000000-0005-0000-0000-000045010000}"/>
    <cellStyle name="Normal 3 7" xfId="114" xr:uid="{00000000-0005-0000-0000-000046010000}"/>
    <cellStyle name="Normal 3 7 2" xfId="162" xr:uid="{00000000-0005-0000-0000-000047010000}"/>
    <cellStyle name="Normal 3 7 2 2" xfId="383" xr:uid="{00000000-0005-0000-0000-000048010000}"/>
    <cellStyle name="Normal 3 7 2 3" xfId="262" xr:uid="{00000000-0005-0000-0000-000049010000}"/>
    <cellStyle name="Normal 3 7 3" xfId="335" xr:uid="{00000000-0005-0000-0000-00004A010000}"/>
    <cellStyle name="Normal 3 7 4" xfId="214" xr:uid="{00000000-0005-0000-0000-00004B010000}"/>
    <cellStyle name="Normal 3 8" xfId="130" xr:uid="{00000000-0005-0000-0000-00004C010000}"/>
    <cellStyle name="Normal 3 8 2" xfId="351" xr:uid="{00000000-0005-0000-0000-00004D010000}"/>
    <cellStyle name="Normal 3 8 3" xfId="230" xr:uid="{00000000-0005-0000-0000-00004E010000}"/>
    <cellStyle name="Normal 3 9" xfId="281" xr:uid="{00000000-0005-0000-0000-00004F010000}"/>
    <cellStyle name="Normal 4" xfId="52" xr:uid="{00000000-0005-0000-0000-000050010000}"/>
    <cellStyle name="Normal 5" xfId="53" xr:uid="{00000000-0005-0000-0000-000051010000}"/>
    <cellStyle name="Normal 5 2" xfId="67" xr:uid="{00000000-0005-0000-0000-000052010000}"/>
    <cellStyle name="Nota 2" xfId="38" xr:uid="{00000000-0005-0000-0000-000053010000}"/>
    <cellStyle name="Nota 2 2" xfId="62" xr:uid="{00000000-0005-0000-0000-000054010000}"/>
    <cellStyle name="Porcentagem" xfId="1" builtinId="5"/>
    <cellStyle name="Porcentagem 2" xfId="59" xr:uid="{00000000-0005-0000-0000-000056010000}"/>
    <cellStyle name="Saída 2" xfId="39" xr:uid="{00000000-0005-0000-0000-000057010000}"/>
    <cellStyle name="Separador de milhares 2" xfId="5" xr:uid="{00000000-0005-0000-0000-000058010000}"/>
    <cellStyle name="Texto de Aviso 2" xfId="41" xr:uid="{00000000-0005-0000-0000-000059010000}"/>
    <cellStyle name="Texto Explicativo 2" xfId="42" xr:uid="{00000000-0005-0000-0000-00005A010000}"/>
    <cellStyle name="Título 1 2" xfId="44" xr:uid="{00000000-0005-0000-0000-00005B010000}"/>
    <cellStyle name="Título 2 2" xfId="45" xr:uid="{00000000-0005-0000-0000-00005C010000}"/>
    <cellStyle name="Título 3 2" xfId="46" xr:uid="{00000000-0005-0000-0000-00005D010000}"/>
    <cellStyle name="Título 4 2" xfId="47" xr:uid="{00000000-0005-0000-0000-00005E010000}"/>
    <cellStyle name="Título 5" xfId="43" xr:uid="{00000000-0005-0000-0000-00005F010000}"/>
    <cellStyle name="Total 2" xfId="48" xr:uid="{00000000-0005-0000-0000-000060010000}"/>
    <cellStyle name="Vírgula 2" xfId="40" xr:uid="{00000000-0005-0000-0000-000061010000}"/>
    <cellStyle name="Vírgula 2 2" xfId="63" xr:uid="{00000000-0005-0000-0000-000062010000}"/>
    <cellStyle name="Vírgula 2 2 2" xfId="84" xr:uid="{00000000-0005-0000-0000-000063010000}"/>
    <cellStyle name="Vírgula 2 2 2 2" xfId="306" xr:uid="{00000000-0005-0000-0000-000064010000}"/>
    <cellStyle name="Vírgula 2 2 3" xfId="287" xr:uid="{00000000-0005-0000-0000-000065010000}"/>
    <cellStyle name="Vírgula 2 3" xfId="69" xr:uid="{00000000-0005-0000-0000-000066010000}"/>
    <cellStyle name="Vírgula 2 3 2" xfId="89" xr:uid="{00000000-0005-0000-0000-000067010000}"/>
    <cellStyle name="Vírgula 2 3 2 2" xfId="311" xr:uid="{00000000-0005-0000-0000-000068010000}"/>
    <cellStyle name="Vírgula 2 3 3" xfId="292" xr:uid="{00000000-0005-0000-0000-000069010000}"/>
    <cellStyle name="Vírgula 2 4" xfId="74" xr:uid="{00000000-0005-0000-0000-00006A010000}"/>
    <cellStyle name="Vírgula 2 4 2" xfId="94" xr:uid="{00000000-0005-0000-0000-00006B010000}"/>
    <cellStyle name="Vírgula 2 4 2 2" xfId="315" xr:uid="{00000000-0005-0000-0000-00006C010000}"/>
    <cellStyle name="Vírgula 2 4 3" xfId="296" xr:uid="{00000000-0005-0000-0000-00006D010000}"/>
    <cellStyle name="Vírgula 2 5" xfId="57" xr:uid="{00000000-0005-0000-0000-00006E010000}"/>
    <cellStyle name="Vírgula 2 5 2" xfId="82" xr:uid="{00000000-0005-0000-0000-00006F010000}"/>
    <cellStyle name="Vírgula 2 5 2 2" xfId="304" xr:uid="{00000000-0005-0000-0000-000070010000}"/>
    <cellStyle name="Vírgula 2 5 3" xfId="284" xr:uid="{00000000-0005-0000-0000-000071010000}"/>
    <cellStyle name="Vírgula 2 6" xfId="78" xr:uid="{00000000-0005-0000-0000-000072010000}"/>
    <cellStyle name="Vírgula 2 6 2" xfId="300" xr:uid="{00000000-0005-0000-0000-000073010000}"/>
    <cellStyle name="Vírgula 2 7" xfId="280" xr:uid="{00000000-0005-0000-0000-000074010000}"/>
    <cellStyle name="Vírgula 3" xfId="49" xr:uid="{00000000-0005-0000-0000-000075010000}"/>
    <cellStyle name="Vírgula 3 2" xfId="64" xr:uid="{00000000-0005-0000-0000-000076010000}"/>
    <cellStyle name="Vírgula 3 2 2" xfId="85" xr:uid="{00000000-0005-0000-0000-000077010000}"/>
    <cellStyle name="Vírgula 3 2 2 2" xfId="307" xr:uid="{00000000-0005-0000-0000-000078010000}"/>
    <cellStyle name="Vírgula 3 2 3" xfId="288" xr:uid="{00000000-0005-0000-0000-000079010000}"/>
    <cellStyle name="Vírgula 3 3" xfId="58" xr:uid="{00000000-0005-0000-0000-00007A010000}"/>
    <cellStyle name="Vírgula 3 3 2" xfId="83" xr:uid="{00000000-0005-0000-0000-00007B010000}"/>
    <cellStyle name="Vírgula 3 3 2 2" xfId="305" xr:uid="{00000000-0005-0000-0000-00007C010000}"/>
    <cellStyle name="Vírgula 3 3 3" xfId="285" xr:uid="{00000000-0005-0000-0000-00007D010000}"/>
    <cellStyle name="Vírgula 4" xfId="56" xr:uid="{00000000-0005-0000-0000-00007E010000}"/>
    <cellStyle name="Vírgula 4 2" xfId="72" xr:uid="{00000000-0005-0000-0000-00007F010000}"/>
    <cellStyle name="Vírgula 4 2 2" xfId="92" xr:uid="{00000000-0005-0000-0000-000080010000}"/>
    <cellStyle name="Vírgula 4 2 2 2" xfId="314" xr:uid="{00000000-0005-0000-0000-000081010000}"/>
    <cellStyle name="Vírgula 4 2 3" xfId="295" xr:uid="{00000000-0005-0000-0000-000082010000}"/>
    <cellStyle name="Vírgula 4 3" xfId="77" xr:uid="{00000000-0005-0000-0000-000083010000}"/>
    <cellStyle name="Vírgula 4 3 2" xfId="97" xr:uid="{00000000-0005-0000-0000-000084010000}"/>
    <cellStyle name="Vírgula 4 3 2 2" xfId="318" xr:uid="{00000000-0005-0000-0000-000085010000}"/>
    <cellStyle name="Vírgula 4 3 3" xfId="299" xr:uid="{00000000-0005-0000-0000-000086010000}"/>
    <cellStyle name="Vírgula 4 4" xfId="68" xr:uid="{00000000-0005-0000-0000-000087010000}"/>
    <cellStyle name="Vírgula 4 4 2" xfId="88" xr:uid="{00000000-0005-0000-0000-000088010000}"/>
    <cellStyle name="Vírgula 4 4 2 2" xfId="310" xr:uid="{00000000-0005-0000-0000-000089010000}"/>
    <cellStyle name="Vírgula 4 4 3" xfId="291" xr:uid="{00000000-0005-0000-0000-00008A010000}"/>
    <cellStyle name="Vírgula 4 5" xfId="81" xr:uid="{00000000-0005-0000-0000-00008B010000}"/>
    <cellStyle name="Vírgula 4 5 2" xfId="303" xr:uid="{00000000-0005-0000-0000-00008C010000}"/>
    <cellStyle name="Vírgula 4 6" xfId="283" xr:uid="{00000000-0005-0000-0000-00008D010000}"/>
    <cellStyle name="Vírgula 5" xfId="178" xr:uid="{00000000-0005-0000-0000-00008E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externalLink" Target="externalLinks/externalLink3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externalLink" Target="externalLinks/externalLink1.xml"/><Relationship Id="rId79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theme" Target="theme/theme1.xml"/><Relationship Id="rId8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externalLink" Target="externalLinks/externalLink4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2495549</xdr:colOff>
      <xdr:row>4</xdr:row>
      <xdr:rowOff>28574</xdr:rowOff>
    </xdr:from>
    <xdr:to>
      <xdr:col>1</xdr:col>
      <xdr:colOff>3971924</xdr:colOff>
      <xdr:row>4</xdr:row>
      <xdr:rowOff>171449</xdr:rowOff>
    </xdr:to>
    <xdr:sp macro="" textlink="">
      <xdr:nvSpPr>
        <xdr:cNvPr id="2" name="Seta para a direita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 rot="10800000" flipH="1">
          <a:off x="2981324" y="942974"/>
          <a:ext cx="1476375" cy="142875"/>
        </a:xfrm>
        <a:prstGeom prst="righ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pt-B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2476499</xdr:colOff>
      <xdr:row>4</xdr:row>
      <xdr:rowOff>28574</xdr:rowOff>
    </xdr:from>
    <xdr:to>
      <xdr:col>1</xdr:col>
      <xdr:colOff>3952874</xdr:colOff>
      <xdr:row>4</xdr:row>
      <xdr:rowOff>171449</xdr:rowOff>
    </xdr:to>
    <xdr:sp macro="" textlink="">
      <xdr:nvSpPr>
        <xdr:cNvPr id="2" name="Seta para a direita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 rot="10800000" flipH="1">
          <a:off x="2857499" y="942974"/>
          <a:ext cx="1476375" cy="142875"/>
        </a:xfrm>
        <a:prstGeom prst="righ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pt-B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57150</xdr:colOff>
      <xdr:row>2</xdr:row>
      <xdr:rowOff>19050</xdr:rowOff>
    </xdr:from>
    <xdr:ext cx="1657350" cy="295256"/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68450" y="352425"/>
          <a:ext cx="1657350" cy="2952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16</xdr:col>
      <xdr:colOff>57150</xdr:colOff>
      <xdr:row>109</xdr:row>
      <xdr:rowOff>19050</xdr:rowOff>
    </xdr:from>
    <xdr:ext cx="1657350" cy="295256"/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68450" y="352425"/>
          <a:ext cx="1657350" cy="2952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rojetos\2018\FUNASA\6.%20APOIO\Pre&#231;os%20or&#231;amento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ro-29\__EXECU&#199;&#195;O\FUNASA\OR&#199;AMENTO\CAFEZAL%20DO%20SUL\OR&#199;AMENTO%20CAFEZAL%20-%20EEE,ET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ro-29\__EXECU&#199;&#195;O\FUNASA\OR&#199;AMENTO\CAFEZAL%20DO%20SUL%20-%20FINALIZADO\OR&#199;AMENTO%20CAFEZAL%20-%20EEE%20-%20ETE%20-%20RC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ro-29\__EXECU&#199;&#195;O\FUNASA\OR&#199;AMENTO\BRASIL&#194;NDIA%20DO%20SUL\OR&#199;AMENTO%20BRASIL&#194;NDIA-%20E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 OGU JUN18"/>
      <sheetName val="INSUMOS"/>
      <sheetName val="COMPOSIÇÕES"/>
      <sheetName val="NÃO MOS"/>
      <sheetName val="TAB OGU JUN 17"/>
      <sheetName val="tabela comp SINAPI"/>
      <sheetName val="NMos"/>
      <sheetName val="Terceiros"/>
      <sheetName val="tabela insumos SINAPI"/>
      <sheetName val="insumos sanepar"/>
      <sheetName val="OGU jun16"/>
      <sheetName val="OGn16"/>
      <sheetName val="Oun16"/>
      <sheetName val="OGUn16"/>
      <sheetName val="OU jun16"/>
      <sheetName val="OGU jn16"/>
      <sheetName val="OGU16"/>
      <sheetName val="OGjun16"/>
      <sheetName val="OG16"/>
      <sheetName val="Teriros"/>
      <sheetName val="Teiros"/>
      <sheetName val="OGU 16"/>
      <sheetName val="OGU n16"/>
      <sheetName val="O jun16"/>
      <sheetName val="OGU ju"/>
      <sheetName val="OGU 6"/>
      <sheetName val="Nos"/>
      <sheetName val="OGU j6"/>
      <sheetName val="OGU jun"/>
      <sheetName val="OGU6"/>
      <sheetName val="Preços orçamentos"/>
      <sheetName val="tabela comp SAPI"/>
      <sheetName val="tabela coINAPI"/>
      <sheetName val="inss sanepar"/>
      <sheetName val="insumos separ"/>
      <sheetName val="Teos"/>
      <sheetName val="Terceros"/>
      <sheetName val="tabelamos SINAPI"/>
      <sheetName val="RESUMO"/>
      <sheetName val="29"/>
    </sheetNames>
    <sheetDataSet>
      <sheetData sheetId="0">
        <row r="1">
          <cell r="A1" t="str">
            <v>CODIGO</v>
          </cell>
          <cell r="B1" t="str">
            <v>Descrição</v>
          </cell>
          <cell r="C1" t="str">
            <v>Ud</v>
          </cell>
          <cell r="D1" t="str">
            <v>Mão-de-Obra</v>
          </cell>
          <cell r="E1" t="str">
            <v>Materiais</v>
          </cell>
          <cell r="F1" t="str">
            <v>P.Unit</v>
          </cell>
          <cell r="G1" t="str">
            <v>CODIGO SINAPI</v>
          </cell>
        </row>
        <row r="2">
          <cell r="A2" t="str">
            <v>01</v>
          </cell>
          <cell r="B2" t="str">
            <v>CANTEIRO DE OBRAS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</row>
        <row r="3">
          <cell r="A3" t="str">
            <v>0101</v>
          </cell>
          <cell r="B3" t="str">
            <v>CONSTRUÇÃO DO CANTEIRO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</row>
        <row r="4">
          <cell r="A4" t="str">
            <v>010101</v>
          </cell>
          <cell r="B4" t="str">
            <v>Escritório</v>
          </cell>
          <cell r="C4" t="str">
            <v>m2</v>
          </cell>
          <cell r="D4">
            <v>512.69000000000005</v>
          </cell>
          <cell r="E4">
            <v>153.13999999999999</v>
          </cell>
          <cell r="F4">
            <v>665.83</v>
          </cell>
          <cell r="G4">
            <v>93207</v>
          </cell>
        </row>
        <row r="5">
          <cell r="A5" t="str">
            <v>010102</v>
          </cell>
          <cell r="B5" t="str">
            <v>Alojamento</v>
          </cell>
          <cell r="C5" t="str">
            <v>m2</v>
          </cell>
          <cell r="D5">
            <v>230.01</v>
          </cell>
          <cell r="E5">
            <v>63.28</v>
          </cell>
          <cell r="F5">
            <v>293.29000000000002</v>
          </cell>
          <cell r="G5">
            <v>0</v>
          </cell>
        </row>
        <row r="6">
          <cell r="A6" t="str">
            <v>010103</v>
          </cell>
          <cell r="B6" t="str">
            <v>Refeitório</v>
          </cell>
          <cell r="C6" t="str">
            <v>m2</v>
          </cell>
          <cell r="D6">
            <v>277.5</v>
          </cell>
          <cell r="E6">
            <v>78.86</v>
          </cell>
          <cell r="F6">
            <v>356.36</v>
          </cell>
          <cell r="G6">
            <v>0</v>
          </cell>
        </row>
        <row r="7">
          <cell r="A7" t="str">
            <v>010104</v>
          </cell>
          <cell r="B7" t="str">
            <v>Barracão fechado para materiais</v>
          </cell>
          <cell r="C7" t="str">
            <v>m2</v>
          </cell>
          <cell r="D7">
            <v>162.87</v>
          </cell>
          <cell r="E7">
            <v>51.36</v>
          </cell>
          <cell r="F7">
            <v>214.23</v>
          </cell>
          <cell r="G7">
            <v>0</v>
          </cell>
        </row>
        <row r="8">
          <cell r="A8" t="str">
            <v>010105</v>
          </cell>
          <cell r="B8" t="str">
            <v>Barracão aberto</v>
          </cell>
          <cell r="C8" t="str">
            <v>m2</v>
          </cell>
          <cell r="D8">
            <v>87.41</v>
          </cell>
          <cell r="E8">
            <v>14.48</v>
          </cell>
          <cell r="F8">
            <v>101.89</v>
          </cell>
          <cell r="G8">
            <v>0</v>
          </cell>
        </row>
        <row r="9">
          <cell r="A9" t="str">
            <v>010106</v>
          </cell>
          <cell r="B9" t="str">
            <v>Sanitário isolado</v>
          </cell>
          <cell r="C9" t="str">
            <v>m2</v>
          </cell>
          <cell r="D9">
            <v>299.08999999999997</v>
          </cell>
          <cell r="E9">
            <v>137.06</v>
          </cell>
          <cell r="F9">
            <v>436.15</v>
          </cell>
          <cell r="G9">
            <v>0</v>
          </cell>
        </row>
        <row r="10">
          <cell r="A10" t="str">
            <v>010107</v>
          </cell>
          <cell r="B10" t="str">
            <v>Chuveiro isolado</v>
          </cell>
          <cell r="C10" t="str">
            <v>m2</v>
          </cell>
          <cell r="D10">
            <v>255</v>
          </cell>
          <cell r="E10">
            <v>99.79</v>
          </cell>
          <cell r="F10">
            <v>354.79</v>
          </cell>
          <cell r="G10">
            <v>0</v>
          </cell>
        </row>
        <row r="11">
          <cell r="A11" t="str">
            <v>010108</v>
          </cell>
          <cell r="B11" t="str">
            <v>Sanitário químico</v>
          </cell>
          <cell r="C11" t="str">
            <v>udxmês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</row>
        <row r="12">
          <cell r="A12" t="str">
            <v>0102</v>
          </cell>
          <cell r="B12" t="str">
            <v>ABASTECIMENTO DE ENERGIA ELÉTRICA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</row>
        <row r="13">
          <cell r="A13" t="str">
            <v>010201</v>
          </cell>
          <cell r="B13" t="str">
            <v>Entrada provisória de energia trifásica 70A</v>
          </cell>
          <cell r="C13" t="str">
            <v>ud</v>
          </cell>
          <cell r="D13">
            <v>317.35000000000002</v>
          </cell>
          <cell r="E13">
            <v>1004.93</v>
          </cell>
          <cell r="F13">
            <v>1322.28</v>
          </cell>
          <cell r="G13">
            <v>41598</v>
          </cell>
        </row>
        <row r="14">
          <cell r="A14" t="str">
            <v>010202</v>
          </cell>
          <cell r="B14" t="str">
            <v>Instalação de gerador &lt;= 30 KWA</v>
          </cell>
          <cell r="C14" t="str">
            <v>dia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</row>
        <row r="15">
          <cell r="A15" t="str">
            <v>010203</v>
          </cell>
          <cell r="B15" t="str">
            <v>Instalação de gerador entre 30 e 60 KWA</v>
          </cell>
          <cell r="C15" t="str">
            <v>dia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</row>
        <row r="16">
          <cell r="A16" t="str">
            <v>0103</v>
          </cell>
          <cell r="B16" t="str">
            <v>ABASTECIMENTO DE ÁGUA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</row>
        <row r="17">
          <cell r="A17" t="str">
            <v>010301</v>
          </cell>
          <cell r="B17" t="str">
            <v>Entrada provisória de água</v>
          </cell>
          <cell r="C17" t="str">
            <v>ud</v>
          </cell>
          <cell r="D17">
            <v>0</v>
          </cell>
          <cell r="E17">
            <v>196.68</v>
          </cell>
          <cell r="F17">
            <v>196.68</v>
          </cell>
          <cell r="G17">
            <v>0</v>
          </cell>
        </row>
        <row r="18">
          <cell r="A18" t="str">
            <v>010302</v>
          </cell>
          <cell r="B18" t="str">
            <v>Poço freático sem revestimento</v>
          </cell>
          <cell r="C18" t="str">
            <v>m</v>
          </cell>
          <cell r="D18">
            <v>257.27</v>
          </cell>
          <cell r="E18">
            <v>14.11</v>
          </cell>
          <cell r="F18">
            <v>271.38</v>
          </cell>
          <cell r="G18">
            <v>0</v>
          </cell>
        </row>
        <row r="19">
          <cell r="A19" t="str">
            <v>010303</v>
          </cell>
          <cell r="B19" t="str">
            <v>Poço freático com revestimento com tijolos não rejuntados</v>
          </cell>
          <cell r="C19" t="str">
            <v>m</v>
          </cell>
          <cell r="D19">
            <v>294.76</v>
          </cell>
          <cell r="E19">
            <v>50.79</v>
          </cell>
          <cell r="F19">
            <v>345.55</v>
          </cell>
          <cell r="G19">
            <v>0</v>
          </cell>
        </row>
        <row r="20">
          <cell r="A20" t="str">
            <v>010304</v>
          </cell>
          <cell r="B20" t="str">
            <v>Poço freático com revestimento com tijolos rejuntados</v>
          </cell>
          <cell r="C20" t="str">
            <v>m</v>
          </cell>
          <cell r="D20">
            <v>416.66</v>
          </cell>
          <cell r="E20">
            <v>52.84</v>
          </cell>
          <cell r="F20">
            <v>469.5</v>
          </cell>
          <cell r="G20">
            <v>0</v>
          </cell>
        </row>
        <row r="21">
          <cell r="A21" t="str">
            <v>0104</v>
          </cell>
          <cell r="B21" t="str">
            <v>PROTEÇÃO DA ÁREA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</row>
        <row r="22">
          <cell r="A22" t="str">
            <v>010401</v>
          </cell>
          <cell r="B22" t="str">
            <v>Cerca provisória de arame farpado</v>
          </cell>
          <cell r="C22" t="str">
            <v>m</v>
          </cell>
          <cell r="D22">
            <v>31.07</v>
          </cell>
          <cell r="E22">
            <v>1.73</v>
          </cell>
          <cell r="F22">
            <v>32.799999999999997</v>
          </cell>
          <cell r="G22">
            <v>0</v>
          </cell>
        </row>
        <row r="23">
          <cell r="A23" t="str">
            <v>010402</v>
          </cell>
          <cell r="B23" t="str">
            <v>Tapume de tábuas contínuas</v>
          </cell>
          <cell r="C23" t="str">
            <v>m</v>
          </cell>
          <cell r="D23">
            <v>81.92</v>
          </cell>
          <cell r="E23">
            <v>17.170000000000002</v>
          </cell>
          <cell r="F23">
            <v>99.09</v>
          </cell>
          <cell r="G23">
            <v>0</v>
          </cell>
        </row>
        <row r="24">
          <cell r="A24" t="str">
            <v>010403</v>
          </cell>
          <cell r="B24" t="str">
            <v>Tapume de chapa de madeira compensada</v>
          </cell>
          <cell r="C24" t="str">
            <v>m</v>
          </cell>
          <cell r="D24">
            <v>63.18</v>
          </cell>
          <cell r="E24">
            <v>10.87</v>
          </cell>
          <cell r="F24">
            <v>74.05</v>
          </cell>
          <cell r="G24" t="str">
            <v>74220/001</v>
          </cell>
        </row>
        <row r="25">
          <cell r="A25" t="str">
            <v>0105</v>
          </cell>
          <cell r="B25" t="str">
            <v>PLACA DE OBRA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</row>
        <row r="26">
          <cell r="A26" t="str">
            <v>010501</v>
          </cell>
          <cell r="B26" t="str">
            <v>Em chapa preta</v>
          </cell>
          <cell r="C26" t="str">
            <v>m2</v>
          </cell>
          <cell r="D26">
            <v>61.17</v>
          </cell>
          <cell r="E26">
            <v>260.79000000000002</v>
          </cell>
          <cell r="F26">
            <v>321.95999999999998</v>
          </cell>
          <cell r="G26" t="str">
            <v>74209/001</v>
          </cell>
        </row>
        <row r="27">
          <cell r="A27" t="str">
            <v>0106</v>
          </cell>
          <cell r="B27" t="str">
            <v>ADMINISTRAÇÃO LOCAL DA OBRA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</row>
        <row r="28">
          <cell r="A28" t="str">
            <v>010601</v>
          </cell>
          <cell r="B28" t="str">
            <v>Administração Local da Obra (ALO)</v>
          </cell>
          <cell r="C28" t="str">
            <v>ud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</row>
        <row r="29">
          <cell r="A29" t="str">
            <v>02</v>
          </cell>
          <cell r="B29" t="str">
            <v>SERVIÇOS TÉCNICOS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</row>
        <row r="30">
          <cell r="A30" t="str">
            <v>0201</v>
          </cell>
          <cell r="B30" t="str">
            <v>TOPOGRAFIA E GEODÉSIA - SERVIÇOS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</row>
        <row r="31">
          <cell r="A31" t="str">
            <v>020101</v>
          </cell>
          <cell r="B31" t="str">
            <v>Cadastro de unidade existente</v>
          </cell>
          <cell r="C31" t="str">
            <v>m2</v>
          </cell>
          <cell r="D31">
            <v>0.98</v>
          </cell>
          <cell r="E31">
            <v>0.08</v>
          </cell>
          <cell r="F31">
            <v>1.06</v>
          </cell>
          <cell r="G31">
            <v>0</v>
          </cell>
        </row>
        <row r="32">
          <cell r="A32" t="str">
            <v>020102</v>
          </cell>
          <cell r="B32" t="str">
            <v>Cadastro de poço de visita e tubulação existente - esparsas</v>
          </cell>
          <cell r="C32" t="str">
            <v>ud</v>
          </cell>
          <cell r="D32">
            <v>62.84</v>
          </cell>
          <cell r="E32">
            <v>5.53</v>
          </cell>
          <cell r="F32">
            <v>68.37</v>
          </cell>
          <cell r="G32">
            <v>0</v>
          </cell>
        </row>
        <row r="33">
          <cell r="A33" t="str">
            <v>020103</v>
          </cell>
          <cell r="B33" t="str">
            <v>Cadastro de poço de visita e tubulação existente - concentradas</v>
          </cell>
          <cell r="C33" t="str">
            <v>ud</v>
          </cell>
          <cell r="D33">
            <v>37.69</v>
          </cell>
          <cell r="E33">
            <v>3.25</v>
          </cell>
          <cell r="F33">
            <v>40.94</v>
          </cell>
          <cell r="G33">
            <v>0</v>
          </cell>
        </row>
        <row r="34">
          <cell r="A34" t="str">
            <v>020104</v>
          </cell>
          <cell r="B34" t="str">
            <v>Locação de furos de sondagem</v>
          </cell>
          <cell r="C34" t="str">
            <v>ud</v>
          </cell>
          <cell r="D34">
            <v>12.51</v>
          </cell>
          <cell r="E34">
            <v>6.43</v>
          </cell>
          <cell r="F34">
            <v>18.940000000000001</v>
          </cell>
          <cell r="G34">
            <v>0</v>
          </cell>
        </row>
        <row r="35">
          <cell r="A35" t="str">
            <v>020105</v>
          </cell>
          <cell r="B35" t="str">
            <v>Transporte de Altitude (Cota): extensão &lt;=  2 km</v>
          </cell>
          <cell r="C35" t="str">
            <v>Km</v>
          </cell>
          <cell r="D35">
            <v>192.86</v>
          </cell>
          <cell r="E35">
            <v>42.53</v>
          </cell>
          <cell r="F35">
            <v>235.39</v>
          </cell>
          <cell r="G35">
            <v>0</v>
          </cell>
        </row>
        <row r="36">
          <cell r="A36" t="str">
            <v>020106</v>
          </cell>
          <cell r="B36" t="str">
            <v>Transporte de Altitude (Cota): 2 km &lt; extensão &lt;= 10 km</v>
          </cell>
          <cell r="C36" t="str">
            <v>Km</v>
          </cell>
          <cell r="D36">
            <v>115.71</v>
          </cell>
          <cell r="E36">
            <v>25.52</v>
          </cell>
          <cell r="F36">
            <v>141.22999999999999</v>
          </cell>
          <cell r="G36">
            <v>0</v>
          </cell>
        </row>
        <row r="37">
          <cell r="A37" t="str">
            <v>020107</v>
          </cell>
          <cell r="B37" t="str">
            <v xml:space="preserve">Transporte de Altitude (Cota): 10 km &lt; extensão </v>
          </cell>
          <cell r="C37" t="str">
            <v>Km</v>
          </cell>
          <cell r="D37">
            <v>77.150000000000006</v>
          </cell>
          <cell r="E37">
            <v>17.010000000000002</v>
          </cell>
          <cell r="F37">
            <v>94.16</v>
          </cell>
          <cell r="G37">
            <v>0</v>
          </cell>
        </row>
        <row r="38">
          <cell r="A38" t="str">
            <v>020108</v>
          </cell>
          <cell r="B38" t="str">
            <v>Lev. Planialtimétrico Cadastral de área:  0,00 m2 &lt; área &lt;= 1.000 m²</v>
          </cell>
          <cell r="C38" t="str">
            <v>m2</v>
          </cell>
          <cell r="D38">
            <v>0.38</v>
          </cell>
          <cell r="E38">
            <v>0.12</v>
          </cell>
          <cell r="F38">
            <v>0.5</v>
          </cell>
          <cell r="G38">
            <v>0</v>
          </cell>
        </row>
        <row r="39">
          <cell r="A39" t="str">
            <v>020109</v>
          </cell>
          <cell r="B39" t="str">
            <v>Lev. Planialtimétrico Cadastral de área: 1.000 m² &lt; área &lt;= 20.000 m²</v>
          </cell>
          <cell r="C39" t="str">
            <v>m2</v>
          </cell>
          <cell r="D39">
            <v>0.08</v>
          </cell>
          <cell r="E39">
            <v>0.02</v>
          </cell>
          <cell r="F39">
            <v>0.1</v>
          </cell>
          <cell r="G39">
            <v>0</v>
          </cell>
        </row>
        <row r="40">
          <cell r="A40" t="str">
            <v>020110</v>
          </cell>
          <cell r="B40" t="str">
            <v xml:space="preserve">Lev. Planialtimétrico Cadastral de área: 20.000 m² &lt; área </v>
          </cell>
          <cell r="C40" t="str">
            <v>m2</v>
          </cell>
          <cell r="D40">
            <v>0.03</v>
          </cell>
          <cell r="E40">
            <v>0.01</v>
          </cell>
          <cell r="F40">
            <v>0.04</v>
          </cell>
          <cell r="G40">
            <v>0</v>
          </cell>
        </row>
        <row r="41">
          <cell r="A41" t="str">
            <v>020111</v>
          </cell>
          <cell r="B41" t="str">
            <v>Loc. e nivelamento de linha (levantamento planialtimétrico de faixa) - para projeto de água</v>
          </cell>
          <cell r="C41" t="str">
            <v>Km</v>
          </cell>
          <cell r="D41">
            <v>533.75</v>
          </cell>
          <cell r="E41">
            <v>200.83</v>
          </cell>
          <cell r="F41">
            <v>734.58</v>
          </cell>
          <cell r="G41">
            <v>0</v>
          </cell>
        </row>
        <row r="42">
          <cell r="A42" t="str">
            <v>020112</v>
          </cell>
          <cell r="B42" t="str">
            <v>Loc. e nivelamento de linha (levantamento planialtimétrico de faixa) - para projeto de esgoto</v>
          </cell>
          <cell r="C42" t="str">
            <v>Km</v>
          </cell>
          <cell r="D42">
            <v>879.61</v>
          </cell>
          <cell r="E42">
            <v>395.06</v>
          </cell>
          <cell r="F42">
            <v>1274.67</v>
          </cell>
          <cell r="G42">
            <v>0</v>
          </cell>
        </row>
        <row r="43">
          <cell r="A43" t="str">
            <v>020113</v>
          </cell>
          <cell r="B43" t="str">
            <v>Levantamento planimétrico cadastral de faixa</v>
          </cell>
          <cell r="C43" t="str">
            <v>km</v>
          </cell>
          <cell r="D43">
            <v>273.35000000000002</v>
          </cell>
          <cell r="E43">
            <v>117.88</v>
          </cell>
          <cell r="F43">
            <v>391.23</v>
          </cell>
          <cell r="G43">
            <v>0</v>
          </cell>
        </row>
        <row r="44">
          <cell r="A44" t="str">
            <v>020114</v>
          </cell>
          <cell r="B44" t="str">
            <v>Levantamento Planimétrico Cadastral de Área:  0,00 m2 &lt; área &lt;= 1.000 m²</v>
          </cell>
          <cell r="C44" t="str">
            <v>m2</v>
          </cell>
          <cell r="D44">
            <v>0.13</v>
          </cell>
          <cell r="E44">
            <v>0.08</v>
          </cell>
          <cell r="F44">
            <v>0.21</v>
          </cell>
          <cell r="G44">
            <v>0</v>
          </cell>
        </row>
        <row r="45">
          <cell r="A45" t="str">
            <v>020115</v>
          </cell>
          <cell r="B45" t="str">
            <v>Levantamento Planimétrico Cadastral de Área: 1.000 m² &lt; área &lt;= 20.000 m²</v>
          </cell>
          <cell r="C45" t="str">
            <v>m2</v>
          </cell>
          <cell r="D45">
            <v>0.02</v>
          </cell>
          <cell r="E45">
            <v>0.02</v>
          </cell>
          <cell r="F45">
            <v>0.04</v>
          </cell>
          <cell r="G45">
            <v>0</v>
          </cell>
        </row>
        <row r="46">
          <cell r="A46" t="str">
            <v>020116</v>
          </cell>
          <cell r="B46" t="str">
            <v xml:space="preserve">Levantamento Planimétrico Cadastral de Área: 20.000 m² &lt; área </v>
          </cell>
          <cell r="C46" t="str">
            <v>m2</v>
          </cell>
          <cell r="D46">
            <v>0.01</v>
          </cell>
          <cell r="E46">
            <v>0.01</v>
          </cell>
          <cell r="F46">
            <v>0.02</v>
          </cell>
          <cell r="G46">
            <v>0</v>
          </cell>
        </row>
        <row r="47">
          <cell r="A47" t="str">
            <v>020117</v>
          </cell>
          <cell r="B47" t="str">
            <v>Seção Batimétrica - seca</v>
          </cell>
          <cell r="C47" t="str">
            <v>m</v>
          </cell>
          <cell r="D47">
            <v>1.08</v>
          </cell>
          <cell r="E47">
            <v>0.12</v>
          </cell>
          <cell r="F47">
            <v>1.2</v>
          </cell>
          <cell r="G47">
            <v>0</v>
          </cell>
        </row>
        <row r="48">
          <cell r="A48" t="str">
            <v>020118</v>
          </cell>
          <cell r="B48" t="str">
            <v>Seção Batimétrica - molhada</v>
          </cell>
          <cell r="C48" t="str">
            <v>m</v>
          </cell>
          <cell r="D48">
            <v>3.57</v>
          </cell>
          <cell r="E48">
            <v>0.23</v>
          </cell>
          <cell r="F48">
            <v>3.8</v>
          </cell>
          <cell r="G48">
            <v>0</v>
          </cell>
        </row>
        <row r="49">
          <cell r="A49" t="str">
            <v>020119</v>
          </cell>
          <cell r="B49" t="str">
            <v>Locação e levantamento planialtimétrico de seções topográficas</v>
          </cell>
          <cell r="C49" t="str">
            <v>Km</v>
          </cell>
          <cell r="D49">
            <v>1223.0999999999999</v>
          </cell>
          <cell r="E49">
            <v>711.25</v>
          </cell>
          <cell r="F49">
            <v>1934.35</v>
          </cell>
          <cell r="G49">
            <v>0</v>
          </cell>
        </row>
        <row r="50">
          <cell r="A50" t="str">
            <v>020120</v>
          </cell>
          <cell r="B50" t="str">
            <v>Locação, demarcação e levantamento de Curva de Nível</v>
          </cell>
          <cell r="C50" t="str">
            <v>Km</v>
          </cell>
          <cell r="D50">
            <v>238.51</v>
          </cell>
          <cell r="E50">
            <v>562.05999999999995</v>
          </cell>
          <cell r="F50">
            <v>800.57</v>
          </cell>
          <cell r="G50">
            <v>0</v>
          </cell>
        </row>
        <row r="51">
          <cell r="A51" t="str">
            <v>020121</v>
          </cell>
          <cell r="B51" t="str">
            <v>Locação de linha</v>
          </cell>
          <cell r="C51" t="str">
            <v>Km</v>
          </cell>
          <cell r="D51">
            <v>896.55</v>
          </cell>
          <cell r="E51">
            <v>637.54</v>
          </cell>
          <cell r="F51">
            <v>1534.09</v>
          </cell>
          <cell r="G51">
            <v>0</v>
          </cell>
        </row>
        <row r="52">
          <cell r="A52" t="str">
            <v>020122</v>
          </cell>
          <cell r="B52" t="str">
            <v xml:space="preserve">Mapa cadastral </v>
          </cell>
          <cell r="C52" t="str">
            <v>km2</v>
          </cell>
          <cell r="D52">
            <v>179.01</v>
          </cell>
          <cell r="E52">
            <v>6.49</v>
          </cell>
          <cell r="F52">
            <v>185.5</v>
          </cell>
          <cell r="G52">
            <v>0</v>
          </cell>
        </row>
        <row r="53">
          <cell r="A53" t="str">
            <v>020123</v>
          </cell>
          <cell r="B53" t="str">
            <v xml:space="preserve">Mapa altimétrico </v>
          </cell>
          <cell r="C53" t="str">
            <v>km2</v>
          </cell>
          <cell r="D53">
            <v>915.36</v>
          </cell>
          <cell r="E53">
            <v>365.53</v>
          </cell>
          <cell r="F53">
            <v>1280.8900000000001</v>
          </cell>
          <cell r="G53">
            <v>0</v>
          </cell>
        </row>
        <row r="54">
          <cell r="A54" t="str">
            <v>020124</v>
          </cell>
          <cell r="B54" t="str">
            <v xml:space="preserve">Mapa altimétrico cadastral </v>
          </cell>
          <cell r="C54" t="str">
            <v>km2</v>
          </cell>
          <cell r="D54">
            <v>1164.3</v>
          </cell>
          <cell r="E54">
            <v>388.11</v>
          </cell>
          <cell r="F54">
            <v>1552.41</v>
          </cell>
          <cell r="G54">
            <v>0</v>
          </cell>
        </row>
        <row r="55">
          <cell r="A55" t="str">
            <v>020125</v>
          </cell>
          <cell r="B55" t="str">
            <v xml:space="preserve">Mapa planimétrico cadastral </v>
          </cell>
          <cell r="C55" t="str">
            <v>km2</v>
          </cell>
          <cell r="D55">
            <v>1430.83</v>
          </cell>
          <cell r="E55">
            <v>387.26</v>
          </cell>
          <cell r="F55">
            <v>1818.09</v>
          </cell>
          <cell r="G55">
            <v>0</v>
          </cell>
        </row>
        <row r="56">
          <cell r="A56" t="str">
            <v>020126</v>
          </cell>
          <cell r="B56" t="str">
            <v xml:space="preserve">Mapa planialtimétrico cadastral </v>
          </cell>
          <cell r="C56" t="str">
            <v>km2</v>
          </cell>
          <cell r="D56">
            <v>3219.38</v>
          </cell>
          <cell r="E56">
            <v>580.70000000000005</v>
          </cell>
          <cell r="F56">
            <v>3800.08</v>
          </cell>
          <cell r="G56">
            <v>0</v>
          </cell>
        </row>
        <row r="57">
          <cell r="A57" t="str">
            <v>020127</v>
          </cell>
          <cell r="B57" t="str">
            <v>Elementos para legalização (busca documental e identificação do imóvel - Unidades Operacionais ou Lineares em área Rural)</v>
          </cell>
          <cell r="C57" t="str">
            <v>ud</v>
          </cell>
          <cell r="D57">
            <v>344.84</v>
          </cell>
          <cell r="E57">
            <v>62.4</v>
          </cell>
          <cell r="F57">
            <v>407.24</v>
          </cell>
          <cell r="G57">
            <v>0</v>
          </cell>
        </row>
        <row r="58">
          <cell r="A58" t="str">
            <v>020128</v>
          </cell>
          <cell r="B58" t="str">
            <v>Elementos para legalização (busca documental e identificação do imóvel - Unidades Lineares em área Urbana)</v>
          </cell>
          <cell r="C58" t="str">
            <v>ud</v>
          </cell>
          <cell r="D58">
            <v>57.49</v>
          </cell>
          <cell r="E58">
            <v>10.4</v>
          </cell>
          <cell r="F58">
            <v>67.89</v>
          </cell>
          <cell r="G58">
            <v>0</v>
          </cell>
        </row>
        <row r="59">
          <cell r="A59" t="str">
            <v>020129</v>
          </cell>
          <cell r="B59" t="str">
            <v>Elementos para legalização (confecção de Planta de Imóvel Urbano com Levantamento Topográfico)</v>
          </cell>
          <cell r="C59" t="str">
            <v>m2</v>
          </cell>
          <cell r="D59">
            <v>0.11</v>
          </cell>
          <cell r="E59">
            <v>7.0000000000000007E-2</v>
          </cell>
          <cell r="F59">
            <v>0.18</v>
          </cell>
          <cell r="G59">
            <v>0</v>
          </cell>
        </row>
        <row r="60">
          <cell r="A60" t="str">
            <v>020130</v>
          </cell>
          <cell r="B60" t="str">
            <v>Elementos para legalização (confecção de Planta de Imóvel Rural com Levantamento Topográfico)</v>
          </cell>
          <cell r="C60" t="str">
            <v>m2</v>
          </cell>
          <cell r="D60">
            <v>0.03</v>
          </cell>
          <cell r="E60">
            <v>0.02</v>
          </cell>
          <cell r="F60">
            <v>0.05</v>
          </cell>
          <cell r="G60">
            <v>0</v>
          </cell>
        </row>
        <row r="61">
          <cell r="A61" t="str">
            <v>020131</v>
          </cell>
          <cell r="B61" t="str">
            <v>Elementos para legalização (confecção de Planta de Imóvel Urbano sem Levantamento Topográfico)</v>
          </cell>
          <cell r="C61" t="str">
            <v>ud</v>
          </cell>
          <cell r="D61">
            <v>162.76</v>
          </cell>
          <cell r="E61">
            <v>0</v>
          </cell>
          <cell r="F61">
            <v>162.76</v>
          </cell>
          <cell r="G61">
            <v>0</v>
          </cell>
        </row>
        <row r="62">
          <cell r="A62" t="str">
            <v>020132</v>
          </cell>
          <cell r="B62" t="str">
            <v>Elementos para legalização (confecção de Planta de Imóvel Rural sem Levantamento Topográfico)</v>
          </cell>
          <cell r="C62" t="str">
            <v>ud</v>
          </cell>
          <cell r="D62">
            <v>162.76</v>
          </cell>
          <cell r="E62">
            <v>0</v>
          </cell>
          <cell r="F62">
            <v>162.76</v>
          </cell>
          <cell r="G62">
            <v>0</v>
          </cell>
        </row>
        <row r="63">
          <cell r="A63" t="str">
            <v>020133</v>
          </cell>
          <cell r="B63" t="str">
            <v>Elementos para legalização (confecção de material para averbação de reserva legal)</v>
          </cell>
          <cell r="C63" t="str">
            <v>m2</v>
          </cell>
          <cell r="D63">
            <v>0.14000000000000001</v>
          </cell>
          <cell r="E63">
            <v>0</v>
          </cell>
          <cell r="F63">
            <v>0.14000000000000001</v>
          </cell>
          <cell r="G63">
            <v>0</v>
          </cell>
        </row>
        <row r="64">
          <cell r="A64" t="str">
            <v>020134</v>
          </cell>
          <cell r="B64" t="str">
            <v>Elementos para legalização (confecção de material para averbação de reserva legal com projeto de recuperação)</v>
          </cell>
          <cell r="C64" t="str">
            <v>m2</v>
          </cell>
          <cell r="D64">
            <v>0.43</v>
          </cell>
          <cell r="E64">
            <v>0.01</v>
          </cell>
          <cell r="F64">
            <v>0.44</v>
          </cell>
          <cell r="G64">
            <v>0</v>
          </cell>
        </row>
        <row r="65">
          <cell r="A65" t="str">
            <v>020135</v>
          </cell>
          <cell r="B65" t="str">
            <v>Elementos para legalização (memorial descritivo)</v>
          </cell>
          <cell r="C65" t="str">
            <v>ud</v>
          </cell>
          <cell r="D65">
            <v>97.66</v>
          </cell>
          <cell r="E65">
            <v>0</v>
          </cell>
          <cell r="F65">
            <v>97.66</v>
          </cell>
          <cell r="G65">
            <v>0</v>
          </cell>
        </row>
        <row r="66">
          <cell r="A66" t="str">
            <v>020136</v>
          </cell>
          <cell r="B66" t="str">
            <v>Atualização de bases cartográficas</v>
          </cell>
          <cell r="C66" t="str">
            <v>Km</v>
          </cell>
          <cell r="D66">
            <v>424.01</v>
          </cell>
          <cell r="E66">
            <v>131.32</v>
          </cell>
          <cell r="F66">
            <v>555.33000000000004</v>
          </cell>
          <cell r="G66">
            <v>0</v>
          </cell>
        </row>
        <row r="67">
          <cell r="A67" t="str">
            <v>020137</v>
          </cell>
          <cell r="B67" t="str">
            <v>Locação e nivelamento para assentamento de tubulação de esgoto (Ordem de serviço para execução - OSE)</v>
          </cell>
          <cell r="C67" t="str">
            <v>m</v>
          </cell>
          <cell r="D67">
            <v>0.82</v>
          </cell>
          <cell r="E67">
            <v>0.38</v>
          </cell>
          <cell r="F67">
            <v>1.2</v>
          </cell>
          <cell r="G67">
            <v>0</v>
          </cell>
        </row>
        <row r="68">
          <cell r="A68" t="str">
            <v>020138</v>
          </cell>
          <cell r="B68" t="str">
            <v>Planta geral com representação de OSE´s</v>
          </cell>
          <cell r="C68" t="str">
            <v>ud</v>
          </cell>
          <cell r="D68">
            <v>97.66</v>
          </cell>
          <cell r="E68">
            <v>0.4</v>
          </cell>
          <cell r="F68">
            <v>98.06</v>
          </cell>
          <cell r="G68">
            <v>0</v>
          </cell>
        </row>
        <row r="69">
          <cell r="A69" t="str">
            <v>020139</v>
          </cell>
          <cell r="B69" t="str">
            <v>Acompanhamento de assentamento de tubulação de esgoto - DN &lt;   400 mm</v>
          </cell>
          <cell r="C69" t="str">
            <v>m</v>
          </cell>
          <cell r="D69">
            <v>3.44</v>
          </cell>
          <cell r="E69">
            <v>0.05</v>
          </cell>
          <cell r="F69">
            <v>3.49</v>
          </cell>
          <cell r="G69">
            <v>0</v>
          </cell>
        </row>
        <row r="70">
          <cell r="A70" t="str">
            <v>020140</v>
          </cell>
          <cell r="B70" t="str">
            <v>Acompanhamento de assentamento de tubulação de esgoto - DN =&gt; 400 mm</v>
          </cell>
          <cell r="C70" t="str">
            <v>m</v>
          </cell>
          <cell r="D70">
            <v>5.76</v>
          </cell>
          <cell r="E70">
            <v>0.09</v>
          </cell>
          <cell r="F70">
            <v>5.85</v>
          </cell>
          <cell r="G70">
            <v>0</v>
          </cell>
        </row>
        <row r="71">
          <cell r="A71" t="str">
            <v>020141</v>
          </cell>
          <cell r="B71" t="str">
            <v>Locação da obra com auxílio de equipamento topográfico</v>
          </cell>
          <cell r="C71" t="str">
            <v>m2</v>
          </cell>
          <cell r="D71">
            <v>9.6300000000000008</v>
          </cell>
          <cell r="E71">
            <v>6.7</v>
          </cell>
          <cell r="F71">
            <v>16.329999999999998</v>
          </cell>
          <cell r="G71">
            <v>73686</v>
          </cell>
        </row>
        <row r="72">
          <cell r="A72" t="str">
            <v>020142</v>
          </cell>
          <cell r="B72" t="str">
            <v>Locação da obra sem auxílio de equipamento topográfico</v>
          </cell>
          <cell r="C72" t="str">
            <v>m2</v>
          </cell>
          <cell r="D72">
            <v>0.69</v>
          </cell>
          <cell r="E72">
            <v>0.55000000000000004</v>
          </cell>
          <cell r="F72">
            <v>1.24</v>
          </cell>
          <cell r="G72">
            <v>0</v>
          </cell>
        </row>
        <row r="73">
          <cell r="A73" t="str">
            <v>020143</v>
          </cell>
          <cell r="B73" t="str">
            <v>Reconstituição Topográfica de OSE (Materialização de piquetes)</v>
          </cell>
          <cell r="C73" t="str">
            <v>m</v>
          </cell>
          <cell r="D73">
            <v>0.4</v>
          </cell>
          <cell r="E73">
            <v>0.14000000000000001</v>
          </cell>
          <cell r="F73">
            <v>0.54</v>
          </cell>
          <cell r="G73">
            <v>0</v>
          </cell>
        </row>
        <row r="74">
          <cell r="A74" t="str">
            <v>020144</v>
          </cell>
          <cell r="B74" t="str">
            <v>Monumentação de Vértices de Controle Imediato (auxílio de equipamentos GNSS e Linha de Base até 20 km). Localidades dentro do raio de alcance das Bases de Monitoramento Contínuo</v>
          </cell>
          <cell r="C74" t="str">
            <v>ud</v>
          </cell>
          <cell r="D74">
            <v>60.15</v>
          </cell>
          <cell r="E74">
            <v>25.79</v>
          </cell>
          <cell r="F74">
            <v>85.94</v>
          </cell>
          <cell r="G74">
            <v>0</v>
          </cell>
        </row>
        <row r="75">
          <cell r="A75" t="str">
            <v>020145</v>
          </cell>
          <cell r="B75" t="str">
            <v>Monumentação de Vértices de Controle Imediato (auxílio de equipamentos GNSS e Linha de Base até 20 km). Localidades fora do raio de alcance das Bases de Monitoramento Contínuo</v>
          </cell>
          <cell r="C75" t="str">
            <v>ud</v>
          </cell>
          <cell r="D75">
            <v>60.15</v>
          </cell>
          <cell r="E75">
            <v>27.84</v>
          </cell>
          <cell r="F75">
            <v>87.99</v>
          </cell>
          <cell r="G75">
            <v>0</v>
          </cell>
        </row>
        <row r="76">
          <cell r="A76" t="str">
            <v>020146</v>
          </cell>
          <cell r="B76" t="str">
            <v>Monumentação de Vértices de Controle Básico (auxílio de equipamentos GNSS Geodésicos e Linha de Base até 200 km). A partir de uma Base de Monitoramento Contínuo</v>
          </cell>
          <cell r="C76" t="str">
            <v>ud</v>
          </cell>
          <cell r="D76">
            <v>179.23</v>
          </cell>
          <cell r="E76">
            <v>37.33</v>
          </cell>
          <cell r="F76">
            <v>216.56</v>
          </cell>
          <cell r="G76">
            <v>0</v>
          </cell>
        </row>
        <row r="77">
          <cell r="A77" t="str">
            <v>020147</v>
          </cell>
          <cell r="B77" t="str">
            <v>Monumentação de Vértices de Controle Básico (auxílio de equipamentos GNSS Geodésicos e Linha de Base até 200 km)</v>
          </cell>
          <cell r="C77" t="str">
            <v>ud</v>
          </cell>
          <cell r="D77">
            <v>179.23</v>
          </cell>
          <cell r="E77">
            <v>48.5</v>
          </cell>
          <cell r="F77">
            <v>227.73</v>
          </cell>
          <cell r="G77">
            <v>0</v>
          </cell>
        </row>
        <row r="78">
          <cell r="A78" t="str">
            <v>020148</v>
          </cell>
          <cell r="B78" t="str">
            <v>Transporte de Coordenadas por Técnicas Convencionais</v>
          </cell>
          <cell r="C78" t="str">
            <v>m</v>
          </cell>
          <cell r="D78">
            <v>0.35</v>
          </cell>
          <cell r="E78">
            <v>0.11</v>
          </cell>
          <cell r="F78">
            <v>0.46</v>
          </cell>
          <cell r="G78">
            <v>0</v>
          </cell>
        </row>
        <row r="79">
          <cell r="A79" t="str">
            <v>020149</v>
          </cell>
          <cell r="B79" t="str">
            <v>Abertura de picada com facão e foice</v>
          </cell>
          <cell r="C79" t="str">
            <v>m</v>
          </cell>
          <cell r="D79">
            <v>0.17</v>
          </cell>
          <cell r="E79">
            <v>0</v>
          </cell>
          <cell r="F79">
            <v>0.17</v>
          </cell>
          <cell r="G79">
            <v>0</v>
          </cell>
        </row>
        <row r="80">
          <cell r="A80" t="str">
            <v>020150</v>
          </cell>
          <cell r="B80" t="str">
            <v>Abertura de picada com motoserra</v>
          </cell>
          <cell r="C80" t="str">
            <v>m</v>
          </cell>
          <cell r="D80">
            <v>0.34</v>
          </cell>
          <cell r="E80">
            <v>0</v>
          </cell>
          <cell r="F80">
            <v>0.34</v>
          </cell>
          <cell r="G80">
            <v>0</v>
          </cell>
        </row>
        <row r="81">
          <cell r="A81" t="str">
            <v>020151</v>
          </cell>
          <cell r="B81" t="str">
            <v>Deslocamento urbano de equipe na execução de serviço único</v>
          </cell>
          <cell r="C81" t="str">
            <v>ud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</row>
        <row r="82">
          <cell r="A82" t="str">
            <v>0202</v>
          </cell>
          <cell r="B82" t="str">
            <v>TOPOGRAFIA E GEODÉSIA - ESTADIA DA EQUIPE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</row>
        <row r="83">
          <cell r="A83" t="str">
            <v>020201</v>
          </cell>
          <cell r="B83" t="str">
            <v>Cadastro de unidade existente</v>
          </cell>
          <cell r="C83" t="str">
            <v>m2</v>
          </cell>
          <cell r="D83">
            <v>0.46</v>
          </cell>
          <cell r="E83">
            <v>0</v>
          </cell>
          <cell r="F83">
            <v>0.46</v>
          </cell>
          <cell r="G83">
            <v>0</v>
          </cell>
        </row>
        <row r="84">
          <cell r="A84" t="str">
            <v>020202</v>
          </cell>
          <cell r="B84" t="str">
            <v>Cadastro de poço de visita e tubulação existente - esparsas</v>
          </cell>
          <cell r="C84" t="str">
            <v>ud</v>
          </cell>
          <cell r="D84">
            <v>27</v>
          </cell>
          <cell r="E84">
            <v>0</v>
          </cell>
          <cell r="F84">
            <v>27</v>
          </cell>
          <cell r="G84">
            <v>0</v>
          </cell>
        </row>
        <row r="85">
          <cell r="A85" t="str">
            <v>020203</v>
          </cell>
          <cell r="B85" t="str">
            <v>Cadastro de poço de visita e tubulação existente - concentradas</v>
          </cell>
          <cell r="C85" t="str">
            <v>ud</v>
          </cell>
          <cell r="D85">
            <v>16.37</v>
          </cell>
          <cell r="E85">
            <v>0</v>
          </cell>
          <cell r="F85">
            <v>16.37</v>
          </cell>
          <cell r="G85">
            <v>0</v>
          </cell>
        </row>
        <row r="86">
          <cell r="A86" t="str">
            <v>020204</v>
          </cell>
          <cell r="B86" t="str">
            <v>Locação de furos de sondagem</v>
          </cell>
          <cell r="C86" t="str">
            <v>ud</v>
          </cell>
          <cell r="D86">
            <v>6.54</v>
          </cell>
          <cell r="E86">
            <v>0</v>
          </cell>
          <cell r="F86">
            <v>6.54</v>
          </cell>
          <cell r="G86">
            <v>0</v>
          </cell>
        </row>
        <row r="87">
          <cell r="A87" t="str">
            <v>020205</v>
          </cell>
          <cell r="B87" t="str">
            <v>Transporte de Altitude (Cota): extensão &lt;=  2 km</v>
          </cell>
          <cell r="C87" t="str">
            <v>Km</v>
          </cell>
          <cell r="D87">
            <v>86.4</v>
          </cell>
          <cell r="E87">
            <v>0</v>
          </cell>
          <cell r="F87">
            <v>86.4</v>
          </cell>
          <cell r="G87">
            <v>0</v>
          </cell>
        </row>
        <row r="88">
          <cell r="A88" t="str">
            <v>020206</v>
          </cell>
          <cell r="B88" t="str">
            <v>Transporte de Altitude (Cota): 2 km &lt; extensão &lt;= 10 km</v>
          </cell>
          <cell r="C88" t="str">
            <v>Km</v>
          </cell>
          <cell r="D88">
            <v>51.84</v>
          </cell>
          <cell r="E88">
            <v>0</v>
          </cell>
          <cell r="F88">
            <v>51.84</v>
          </cell>
          <cell r="G88">
            <v>0</v>
          </cell>
        </row>
        <row r="89">
          <cell r="A89" t="str">
            <v>020207</v>
          </cell>
          <cell r="B89" t="str">
            <v xml:space="preserve">Transporte de Altitude (Cota): 10 km &lt; extensão </v>
          </cell>
          <cell r="C89" t="str">
            <v>km</v>
          </cell>
          <cell r="D89">
            <v>34.56</v>
          </cell>
          <cell r="E89">
            <v>0</v>
          </cell>
          <cell r="F89">
            <v>34.56</v>
          </cell>
          <cell r="G89">
            <v>0</v>
          </cell>
        </row>
        <row r="90">
          <cell r="A90" t="str">
            <v>020208</v>
          </cell>
          <cell r="B90" t="str">
            <v>Lev. Planialtimétrico Cadastral de área:  0,00 m2 &lt; área &lt;= 1.000 m²</v>
          </cell>
          <cell r="C90" t="str">
            <v>m2</v>
          </cell>
          <cell r="D90">
            <v>0.12</v>
          </cell>
          <cell r="E90">
            <v>0</v>
          </cell>
          <cell r="F90">
            <v>0.12</v>
          </cell>
          <cell r="G90">
            <v>0</v>
          </cell>
        </row>
        <row r="91">
          <cell r="A91" t="str">
            <v>020209</v>
          </cell>
          <cell r="B91" t="str">
            <v>Lev. Planialtimétrico Cadastral de área: 1.000 m² &lt; área &lt;= 20.000 m²</v>
          </cell>
          <cell r="C91" t="str">
            <v>m2</v>
          </cell>
          <cell r="D91">
            <v>0.02</v>
          </cell>
          <cell r="E91">
            <v>0</v>
          </cell>
          <cell r="F91">
            <v>0.02</v>
          </cell>
          <cell r="G91">
            <v>0</v>
          </cell>
        </row>
        <row r="92">
          <cell r="A92" t="str">
            <v>020210</v>
          </cell>
          <cell r="B92" t="str">
            <v xml:space="preserve">Lev. Planialtimétrico Cadastral de área: 20.000 m² &lt; área </v>
          </cell>
          <cell r="C92" t="str">
            <v>m2</v>
          </cell>
          <cell r="D92">
            <v>0.01</v>
          </cell>
          <cell r="E92">
            <v>0</v>
          </cell>
          <cell r="F92">
            <v>0.01</v>
          </cell>
          <cell r="G92">
            <v>0</v>
          </cell>
        </row>
        <row r="93">
          <cell r="A93" t="str">
            <v>020211</v>
          </cell>
          <cell r="B93" t="str">
            <v>Loc. e nivelamento de linha (levantamento planialtimétrico de faixa) - para projeto de água</v>
          </cell>
          <cell r="C93" t="str">
            <v>km</v>
          </cell>
          <cell r="D93">
            <v>254.12</v>
          </cell>
          <cell r="E93">
            <v>0</v>
          </cell>
          <cell r="F93">
            <v>254.12</v>
          </cell>
          <cell r="G93">
            <v>0</v>
          </cell>
        </row>
        <row r="94">
          <cell r="A94" t="str">
            <v>020212</v>
          </cell>
          <cell r="B94" t="str">
            <v>Loc. e nivelamento de linha (levantamento planialtimétrico de faixa) - para projeto de esgoto</v>
          </cell>
          <cell r="C94" t="str">
            <v>km</v>
          </cell>
          <cell r="D94">
            <v>432</v>
          </cell>
          <cell r="E94">
            <v>0</v>
          </cell>
          <cell r="F94">
            <v>432</v>
          </cell>
          <cell r="G94">
            <v>0</v>
          </cell>
        </row>
        <row r="95">
          <cell r="A95" t="str">
            <v>020213</v>
          </cell>
          <cell r="B95" t="str">
            <v>Levantamento planimétrico cadastral de faixa</v>
          </cell>
          <cell r="C95" t="str">
            <v>km</v>
          </cell>
          <cell r="D95">
            <v>86.4</v>
          </cell>
          <cell r="E95">
            <v>0</v>
          </cell>
          <cell r="F95">
            <v>86.4</v>
          </cell>
          <cell r="G95">
            <v>0</v>
          </cell>
        </row>
        <row r="96">
          <cell r="A96" t="str">
            <v>020214</v>
          </cell>
          <cell r="B96" t="str">
            <v>Levantamento Planimétrico Cadastral de Área:  0,00 m2 &lt; área &lt;= 1.000 m²</v>
          </cell>
          <cell r="C96" t="str">
            <v>m2</v>
          </cell>
          <cell r="D96">
            <v>0.05</v>
          </cell>
          <cell r="E96">
            <v>0</v>
          </cell>
          <cell r="F96">
            <v>0.05</v>
          </cell>
          <cell r="G96">
            <v>0</v>
          </cell>
        </row>
        <row r="97">
          <cell r="A97" t="str">
            <v>020215</v>
          </cell>
          <cell r="B97" t="str">
            <v>Levantamento Planimétrico Cadastral de Área: 1.000 m² &lt; área &lt;= 20.000 m²</v>
          </cell>
          <cell r="C97" t="str">
            <v>m2</v>
          </cell>
          <cell r="D97">
            <v>0.01</v>
          </cell>
          <cell r="E97">
            <v>0</v>
          </cell>
          <cell r="F97">
            <v>0.01</v>
          </cell>
          <cell r="G97">
            <v>0</v>
          </cell>
        </row>
        <row r="98">
          <cell r="A98" t="str">
            <v>020216</v>
          </cell>
          <cell r="B98" t="str">
            <v xml:space="preserve">Levantamento Planimétrico Cadastral de Área: 20.000 m² &lt; área </v>
          </cell>
          <cell r="C98" t="str">
            <v>m2</v>
          </cell>
          <cell r="D98">
            <v>0.01</v>
          </cell>
          <cell r="E98">
            <v>0</v>
          </cell>
          <cell r="F98">
            <v>0.01</v>
          </cell>
          <cell r="G98">
            <v>0</v>
          </cell>
        </row>
        <row r="99">
          <cell r="A99" t="str">
            <v>020217</v>
          </cell>
          <cell r="B99" t="str">
            <v>Seção Batimétrica - seca</v>
          </cell>
          <cell r="C99" t="str">
            <v>m</v>
          </cell>
          <cell r="D99">
            <v>0.42</v>
          </cell>
          <cell r="E99">
            <v>0</v>
          </cell>
          <cell r="F99">
            <v>0.42</v>
          </cell>
          <cell r="G99">
            <v>0</v>
          </cell>
        </row>
        <row r="100">
          <cell r="A100" t="str">
            <v>020218</v>
          </cell>
          <cell r="B100" t="str">
            <v>Seção Batimétrica - molhada</v>
          </cell>
          <cell r="C100" t="str">
            <v>m</v>
          </cell>
          <cell r="D100">
            <v>1.76</v>
          </cell>
          <cell r="E100">
            <v>0</v>
          </cell>
          <cell r="F100">
            <v>1.76</v>
          </cell>
          <cell r="G100">
            <v>0</v>
          </cell>
        </row>
        <row r="101">
          <cell r="A101" t="str">
            <v>020219</v>
          </cell>
          <cell r="B101" t="str">
            <v>Locação e levantamento planialtimétrico de seções topográficas</v>
          </cell>
          <cell r="C101" t="str">
            <v>km</v>
          </cell>
          <cell r="D101">
            <v>276.93</v>
          </cell>
          <cell r="E101">
            <v>0</v>
          </cell>
          <cell r="F101">
            <v>276.93</v>
          </cell>
          <cell r="G101">
            <v>0</v>
          </cell>
        </row>
        <row r="102">
          <cell r="A102" t="str">
            <v>020220</v>
          </cell>
          <cell r="B102" t="str">
            <v>Locação, demarcação e levantamento de Curva de Nível</v>
          </cell>
          <cell r="C102" t="str">
            <v>km</v>
          </cell>
          <cell r="D102">
            <v>54</v>
          </cell>
          <cell r="E102">
            <v>0</v>
          </cell>
          <cell r="F102">
            <v>54</v>
          </cell>
          <cell r="G102">
            <v>0</v>
          </cell>
        </row>
        <row r="103">
          <cell r="A103" t="str">
            <v>020221</v>
          </cell>
          <cell r="B103" t="str">
            <v>Locação de linha</v>
          </cell>
          <cell r="C103" t="str">
            <v>km</v>
          </cell>
          <cell r="D103">
            <v>280.52</v>
          </cell>
          <cell r="E103">
            <v>0</v>
          </cell>
          <cell r="F103">
            <v>280.52</v>
          </cell>
          <cell r="G103">
            <v>0</v>
          </cell>
        </row>
        <row r="104">
          <cell r="A104" t="str">
            <v>020222</v>
          </cell>
          <cell r="B104" t="str">
            <v xml:space="preserve">Mapa cadastral </v>
          </cell>
          <cell r="C104" t="str">
            <v>km2</v>
          </cell>
          <cell r="D104">
            <v>83.07</v>
          </cell>
          <cell r="E104">
            <v>0</v>
          </cell>
          <cell r="F104">
            <v>83.07</v>
          </cell>
          <cell r="G104">
            <v>0</v>
          </cell>
        </row>
        <row r="105">
          <cell r="A105" t="str">
            <v>020223</v>
          </cell>
          <cell r="B105" t="str">
            <v xml:space="preserve">Mapa altimétrico </v>
          </cell>
          <cell r="C105" t="str">
            <v>km2</v>
          </cell>
          <cell r="D105">
            <v>360</v>
          </cell>
          <cell r="E105">
            <v>0</v>
          </cell>
          <cell r="F105">
            <v>360</v>
          </cell>
          <cell r="G105">
            <v>0</v>
          </cell>
        </row>
        <row r="106">
          <cell r="A106" t="str">
            <v>020224</v>
          </cell>
          <cell r="B106" t="str">
            <v xml:space="preserve">Mapa altimétrico cadastral </v>
          </cell>
          <cell r="C106" t="str">
            <v>km2</v>
          </cell>
          <cell r="D106">
            <v>469.56</v>
          </cell>
          <cell r="E106">
            <v>0</v>
          </cell>
          <cell r="F106">
            <v>469.56</v>
          </cell>
          <cell r="G106">
            <v>0</v>
          </cell>
        </row>
        <row r="107">
          <cell r="A107" t="str">
            <v>020225</v>
          </cell>
          <cell r="B107" t="str">
            <v xml:space="preserve">Mapa planimétrico cadastral </v>
          </cell>
          <cell r="C107" t="str">
            <v>km2</v>
          </cell>
          <cell r="D107">
            <v>600</v>
          </cell>
          <cell r="E107">
            <v>0</v>
          </cell>
          <cell r="F107">
            <v>600</v>
          </cell>
          <cell r="G107">
            <v>0</v>
          </cell>
        </row>
        <row r="108">
          <cell r="A108" t="str">
            <v>020226</v>
          </cell>
          <cell r="B108" t="str">
            <v xml:space="preserve">Mapa planialtimétrico cadastral </v>
          </cell>
          <cell r="C108" t="str">
            <v>km2</v>
          </cell>
          <cell r="D108">
            <v>1350</v>
          </cell>
          <cell r="E108">
            <v>0</v>
          </cell>
          <cell r="F108">
            <v>1350</v>
          </cell>
          <cell r="G108">
            <v>0</v>
          </cell>
        </row>
        <row r="109">
          <cell r="A109" t="str">
            <v>020227</v>
          </cell>
          <cell r="B109" t="str">
            <v>Elementos para legalização (busca documental e identificação do imóvel - Unidades Operacionais ou Lineares em área Rural)</v>
          </cell>
          <cell r="C109" t="str">
            <v>ud</v>
          </cell>
          <cell r="D109">
            <v>72</v>
          </cell>
          <cell r="E109">
            <v>0</v>
          </cell>
          <cell r="F109">
            <v>72</v>
          </cell>
          <cell r="G109">
            <v>0</v>
          </cell>
        </row>
        <row r="110">
          <cell r="A110" t="str">
            <v>020228</v>
          </cell>
          <cell r="B110" t="str">
            <v>Elementos para legalização (busca documental e identificação do imóvel - Unidades Lineares em área Urbana)</v>
          </cell>
          <cell r="C110" t="str">
            <v>ud</v>
          </cell>
          <cell r="D110">
            <v>12</v>
          </cell>
          <cell r="E110">
            <v>0</v>
          </cell>
          <cell r="F110">
            <v>12</v>
          </cell>
          <cell r="G110">
            <v>0</v>
          </cell>
        </row>
        <row r="111">
          <cell r="A111" t="str">
            <v>020229</v>
          </cell>
          <cell r="B111" t="str">
            <v>Elementos para legalização (confecção de Planta de Imóvel Urbano com Levantamento Topográfico)</v>
          </cell>
          <cell r="C111" t="str">
            <v>m2</v>
          </cell>
          <cell r="D111">
            <v>0.04</v>
          </cell>
          <cell r="E111">
            <v>0</v>
          </cell>
          <cell r="F111">
            <v>0.04</v>
          </cell>
          <cell r="G111">
            <v>0</v>
          </cell>
        </row>
        <row r="112">
          <cell r="A112" t="str">
            <v>020230</v>
          </cell>
          <cell r="B112" t="str">
            <v>Elementos para legalização (confecção de Planta de Imóvel Rural com Levantamento Topográfico)</v>
          </cell>
          <cell r="C112" t="str">
            <v>m2</v>
          </cell>
          <cell r="D112">
            <v>0.02</v>
          </cell>
          <cell r="E112">
            <v>0</v>
          </cell>
          <cell r="F112">
            <v>0.02</v>
          </cell>
          <cell r="G112">
            <v>0</v>
          </cell>
        </row>
        <row r="113">
          <cell r="A113" t="str">
            <v>020233</v>
          </cell>
          <cell r="B113" t="str">
            <v>Elementos para legalização (confecção de material para averbação de reserva legal)</v>
          </cell>
          <cell r="C113" t="str">
            <v>m2</v>
          </cell>
          <cell r="D113">
            <v>0.06</v>
          </cell>
          <cell r="E113">
            <v>0</v>
          </cell>
          <cell r="F113">
            <v>0.06</v>
          </cell>
          <cell r="G113">
            <v>0</v>
          </cell>
        </row>
        <row r="114">
          <cell r="A114" t="str">
            <v>020234</v>
          </cell>
          <cell r="B114" t="str">
            <v>Elementos para legalização (confecção de material para averbação de reserva legal com projeto de recuperação)</v>
          </cell>
          <cell r="C114" t="str">
            <v>m2</v>
          </cell>
          <cell r="D114">
            <v>0.1</v>
          </cell>
          <cell r="E114">
            <v>0</v>
          </cell>
          <cell r="F114">
            <v>0.1</v>
          </cell>
          <cell r="G114">
            <v>0</v>
          </cell>
        </row>
        <row r="115">
          <cell r="A115" t="str">
            <v>020236</v>
          </cell>
          <cell r="B115" t="str">
            <v>Atualização de bases cartográficas</v>
          </cell>
          <cell r="C115" t="str">
            <v>km</v>
          </cell>
          <cell r="D115">
            <v>96</v>
          </cell>
          <cell r="E115">
            <v>0</v>
          </cell>
          <cell r="F115">
            <v>96</v>
          </cell>
          <cell r="G115">
            <v>0</v>
          </cell>
        </row>
        <row r="116">
          <cell r="A116" t="str">
            <v>020237</v>
          </cell>
          <cell r="B116" t="str">
            <v>Locação e nivelamento para assentamento de tubulação de esgoto (Ordem de serviço para execução - OSE)</v>
          </cell>
          <cell r="C116" t="str">
            <v>m</v>
          </cell>
          <cell r="D116">
            <v>0.4</v>
          </cell>
          <cell r="E116">
            <v>0</v>
          </cell>
          <cell r="F116">
            <v>0.4</v>
          </cell>
          <cell r="G116">
            <v>0</v>
          </cell>
        </row>
        <row r="117">
          <cell r="A117" t="str">
            <v>020239</v>
          </cell>
          <cell r="B117" t="str">
            <v>Acompanhamento de assentamento de tubulação de esgoto - DN &lt;   400 mm</v>
          </cell>
          <cell r="C117" t="str">
            <v>m</v>
          </cell>
          <cell r="D117">
            <v>2.33</v>
          </cell>
          <cell r="E117">
            <v>0</v>
          </cell>
          <cell r="F117">
            <v>2.33</v>
          </cell>
          <cell r="G117">
            <v>0</v>
          </cell>
        </row>
        <row r="118">
          <cell r="A118" t="str">
            <v>020240</v>
          </cell>
          <cell r="B118" t="str">
            <v>Acompanhamento de assentamento de tubulação de esgoto - DN =&gt; 400 mm</v>
          </cell>
          <cell r="C118" t="str">
            <v>m</v>
          </cell>
          <cell r="D118">
            <v>3.9</v>
          </cell>
          <cell r="E118">
            <v>0</v>
          </cell>
          <cell r="F118">
            <v>3.9</v>
          </cell>
          <cell r="G118">
            <v>0</v>
          </cell>
        </row>
        <row r="119">
          <cell r="A119" t="str">
            <v>020241</v>
          </cell>
          <cell r="B119" t="str">
            <v>Locação da obra com auxílio de equipamento topográfico</v>
          </cell>
          <cell r="C119" t="str">
            <v>m2</v>
          </cell>
          <cell r="D119">
            <v>0.47</v>
          </cell>
          <cell r="E119">
            <v>0</v>
          </cell>
          <cell r="F119">
            <v>0.47</v>
          </cell>
          <cell r="G119">
            <v>0</v>
          </cell>
        </row>
        <row r="120">
          <cell r="A120" t="str">
            <v>020242</v>
          </cell>
          <cell r="B120" t="str">
            <v>Locação da obra sem auxílio de equipamento topografico</v>
          </cell>
          <cell r="C120" t="str">
            <v>m2</v>
          </cell>
          <cell r="D120">
            <v>0.4</v>
          </cell>
          <cell r="E120">
            <v>0</v>
          </cell>
          <cell r="F120">
            <v>0.4</v>
          </cell>
          <cell r="G120">
            <v>0</v>
          </cell>
        </row>
        <row r="121">
          <cell r="A121" t="str">
            <v>020243</v>
          </cell>
          <cell r="B121" t="str">
            <v>Reconstituição Topográfica de OSE (Materialização de piquetes)</v>
          </cell>
          <cell r="C121" t="str">
            <v>m</v>
          </cell>
          <cell r="D121">
            <v>0.2</v>
          </cell>
          <cell r="E121">
            <v>0</v>
          </cell>
          <cell r="F121">
            <v>0.2</v>
          </cell>
          <cell r="G121">
            <v>0</v>
          </cell>
        </row>
        <row r="122">
          <cell r="A122" t="str">
            <v>020244</v>
          </cell>
          <cell r="B122" t="str">
            <v>Monumentação de Vértices de Controle Imediato (auxílio de equipamentos GNSS e Linha de Base até 20 km). Localidades dentro do raio de alcance das Bases de Monitoramento Contínuo</v>
          </cell>
          <cell r="C122" t="str">
            <v>ud</v>
          </cell>
          <cell r="D122">
            <v>29.59</v>
          </cell>
          <cell r="E122">
            <v>0</v>
          </cell>
          <cell r="F122">
            <v>29.59</v>
          </cell>
          <cell r="G122">
            <v>0</v>
          </cell>
        </row>
        <row r="123">
          <cell r="A123" t="str">
            <v>020245</v>
          </cell>
          <cell r="B123" t="str">
            <v>Monumentação de Vértices de Controle Imediato (auxílio de equipamentos GNSS e Linha de Base até 20 km). Localidades fora do raio de alcance das Bases de Monitoramento Contínuo</v>
          </cell>
          <cell r="C123" t="str">
            <v>ud</v>
          </cell>
          <cell r="D123">
            <v>29.59</v>
          </cell>
          <cell r="E123">
            <v>0</v>
          </cell>
          <cell r="F123">
            <v>29.59</v>
          </cell>
          <cell r="G123">
            <v>0</v>
          </cell>
        </row>
        <row r="124">
          <cell r="A124" t="str">
            <v>020246</v>
          </cell>
          <cell r="B124" t="str">
            <v>Monumentação de Vértices de Controle Básico (auxílio de equipamentos GNSS Geodésicos e Linha de Base até 200 km). A partir de uma Base de Monitoramento Contínuo</v>
          </cell>
          <cell r="C124" t="str">
            <v>ud</v>
          </cell>
          <cell r="D124">
            <v>88.16</v>
          </cell>
          <cell r="E124">
            <v>0</v>
          </cell>
          <cell r="F124">
            <v>88.16</v>
          </cell>
          <cell r="G124">
            <v>0</v>
          </cell>
        </row>
        <row r="125">
          <cell r="A125" t="str">
            <v>020247</v>
          </cell>
          <cell r="B125" t="str">
            <v>Monumentação de Vértices de Controle Básico (auxílio de equipamentos GNSS Geodésicos e Linha de Base até 200 km)</v>
          </cell>
          <cell r="C125" t="str">
            <v>ud</v>
          </cell>
          <cell r="D125">
            <v>88.16</v>
          </cell>
          <cell r="E125">
            <v>0</v>
          </cell>
          <cell r="F125">
            <v>88.16</v>
          </cell>
          <cell r="G125">
            <v>0</v>
          </cell>
        </row>
        <row r="126">
          <cell r="A126" t="str">
            <v>020248</v>
          </cell>
          <cell r="B126" t="str">
            <v>Transporte de Coordenadas por Técnicas Convencionais</v>
          </cell>
          <cell r="C126" t="str">
            <v>m</v>
          </cell>
          <cell r="D126">
            <v>0.17</v>
          </cell>
          <cell r="E126">
            <v>0</v>
          </cell>
          <cell r="F126">
            <v>0.17</v>
          </cell>
          <cell r="G126">
            <v>0</v>
          </cell>
        </row>
        <row r="127">
          <cell r="A127" t="str">
            <v>020249</v>
          </cell>
          <cell r="B127" t="str">
            <v>Abertura de picada com facão e foice</v>
          </cell>
          <cell r="C127" t="str">
            <v>m</v>
          </cell>
          <cell r="D127">
            <v>7.0000000000000007E-2</v>
          </cell>
          <cell r="E127">
            <v>0</v>
          </cell>
          <cell r="F127">
            <v>7.0000000000000007E-2</v>
          </cell>
          <cell r="G127">
            <v>0</v>
          </cell>
        </row>
        <row r="128">
          <cell r="A128" t="str">
            <v>020250</v>
          </cell>
          <cell r="B128" t="str">
            <v>Abertura de picada com motoserra</v>
          </cell>
          <cell r="C128" t="str">
            <v>m</v>
          </cell>
          <cell r="D128">
            <v>0.14000000000000001</v>
          </cell>
          <cell r="E128">
            <v>0</v>
          </cell>
          <cell r="F128">
            <v>0.14000000000000001</v>
          </cell>
          <cell r="G128">
            <v>0</v>
          </cell>
        </row>
        <row r="129">
          <cell r="A129" t="str">
            <v>0203</v>
          </cell>
          <cell r="B129" t="str">
            <v>TOPOGRAFIA E GEODÉSIA - TRANSPORTE DA EQUIPE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</row>
        <row r="130">
          <cell r="A130" t="str">
            <v>020301</v>
          </cell>
          <cell r="B130" t="str">
            <v>Deslocamento interurbano de equipe topográfica / equipe de serviços técnicos especializados</v>
          </cell>
          <cell r="C130" t="str">
            <v>Km</v>
          </cell>
          <cell r="D130">
            <v>2.23</v>
          </cell>
          <cell r="E130">
            <v>0</v>
          </cell>
          <cell r="F130">
            <v>2.23</v>
          </cell>
          <cell r="G130">
            <v>0</v>
          </cell>
        </row>
        <row r="131">
          <cell r="A131" t="str">
            <v>0204</v>
          </cell>
          <cell r="B131" t="str">
            <v>SONDAGEM A PERCUSSÃO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</row>
        <row r="132">
          <cell r="A132" t="str">
            <v>020401</v>
          </cell>
          <cell r="B132" t="str">
            <v>Perfuração em solo</v>
          </cell>
          <cell r="C132" t="str">
            <v>m</v>
          </cell>
          <cell r="D132">
            <v>99.12</v>
          </cell>
          <cell r="E132">
            <v>0</v>
          </cell>
          <cell r="F132">
            <v>99.12</v>
          </cell>
          <cell r="G132">
            <v>0</v>
          </cell>
        </row>
        <row r="133">
          <cell r="A133" t="str">
            <v>020402</v>
          </cell>
          <cell r="B133" t="str">
            <v>Estadia da equipe de sondagem a percussão</v>
          </cell>
          <cell r="C133" t="str">
            <v>m</v>
          </cell>
          <cell r="D133">
            <v>30.86</v>
          </cell>
          <cell r="E133">
            <v>0</v>
          </cell>
          <cell r="F133">
            <v>30.86</v>
          </cell>
          <cell r="G133">
            <v>0</v>
          </cell>
        </row>
        <row r="134">
          <cell r="A134" t="str">
            <v>020403</v>
          </cell>
          <cell r="B134" t="str">
            <v>Transporte de equipe de sondagem a percussão</v>
          </cell>
          <cell r="C134" t="str">
            <v>Km</v>
          </cell>
          <cell r="D134">
            <v>8.7899999999999991</v>
          </cell>
          <cell r="E134">
            <v>0</v>
          </cell>
          <cell r="F134">
            <v>8.7899999999999991</v>
          </cell>
          <cell r="G134">
            <v>0</v>
          </cell>
        </row>
        <row r="135">
          <cell r="A135" t="str">
            <v>0205</v>
          </cell>
          <cell r="B135" t="str">
            <v>SONDAGEM MISTA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</row>
        <row r="136">
          <cell r="A136" t="str">
            <v>020501</v>
          </cell>
          <cell r="B136" t="str">
            <v>Reperfuração em solo</v>
          </cell>
          <cell r="C136" t="str">
            <v>m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</row>
        <row r="137">
          <cell r="A137" t="str">
            <v>020502</v>
          </cell>
          <cell r="B137" t="str">
            <v>Em solo</v>
          </cell>
          <cell r="C137" t="str">
            <v>m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</row>
        <row r="138">
          <cell r="A138" t="str">
            <v>020503</v>
          </cell>
          <cell r="B138" t="str">
            <v>Em rocha alterada - BX</v>
          </cell>
          <cell r="C138" t="str">
            <v>m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</row>
        <row r="139">
          <cell r="A139" t="str">
            <v>020504</v>
          </cell>
          <cell r="B139" t="str">
            <v>Em rocha alterada - NX</v>
          </cell>
          <cell r="C139" t="str">
            <v>m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</row>
        <row r="140">
          <cell r="A140" t="str">
            <v>020505</v>
          </cell>
          <cell r="B140" t="str">
            <v>Em rocha (arenito, siltito, folhelho) - BX</v>
          </cell>
          <cell r="C140" t="str">
            <v>m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</row>
        <row r="141">
          <cell r="A141" t="str">
            <v>020506</v>
          </cell>
          <cell r="B141" t="str">
            <v>Em rocha (arenito, siltito, folhelho) - NX</v>
          </cell>
          <cell r="C141" t="str">
            <v>m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</row>
        <row r="142">
          <cell r="A142" t="str">
            <v>020507</v>
          </cell>
          <cell r="B142" t="str">
            <v>Em rocha (basalto, diabásio) - BX</v>
          </cell>
          <cell r="C142" t="str">
            <v>m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</row>
        <row r="143">
          <cell r="A143" t="str">
            <v>020508</v>
          </cell>
          <cell r="B143" t="str">
            <v>Em rocha (basalto, diabásio) - NX</v>
          </cell>
          <cell r="C143" t="str">
            <v>m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</row>
        <row r="144">
          <cell r="A144" t="str">
            <v>020509</v>
          </cell>
          <cell r="B144" t="str">
            <v>Em rocha (gnaisse, granito, migmatito) - BX</v>
          </cell>
          <cell r="C144" t="str">
            <v>m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</row>
        <row r="145">
          <cell r="A145" t="str">
            <v>020510</v>
          </cell>
          <cell r="B145" t="str">
            <v>Em rocha (gnaisse, granito, migmatito) - NX</v>
          </cell>
          <cell r="C145" t="str">
            <v>m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</row>
        <row r="146">
          <cell r="A146" t="str">
            <v>020511</v>
          </cell>
          <cell r="B146" t="str">
            <v>Estadia de equipe de sondagem mista</v>
          </cell>
          <cell r="C146" t="str">
            <v>m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</row>
        <row r="147">
          <cell r="A147" t="str">
            <v>020512</v>
          </cell>
          <cell r="B147" t="str">
            <v>Transporte de equipe de sondagem mista</v>
          </cell>
          <cell r="C147" t="str">
            <v>km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</row>
        <row r="148">
          <cell r="A148" t="str">
            <v>0206</v>
          </cell>
          <cell r="B148" t="str">
            <v>SONDAGEM A TRADO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</row>
        <row r="149">
          <cell r="A149" t="str">
            <v>020601</v>
          </cell>
          <cell r="B149" t="str">
            <v>Perfuração em solo</v>
          </cell>
          <cell r="C149" t="str">
            <v>m</v>
          </cell>
          <cell r="D149">
            <v>31.24</v>
          </cell>
          <cell r="E149">
            <v>0</v>
          </cell>
          <cell r="F149">
            <v>31.24</v>
          </cell>
          <cell r="G149">
            <v>0</v>
          </cell>
        </row>
        <row r="150">
          <cell r="A150" t="str">
            <v>020602</v>
          </cell>
          <cell r="B150" t="str">
            <v>Estadia de equipe de sondagem a trado</v>
          </cell>
          <cell r="C150" t="str">
            <v>m</v>
          </cell>
          <cell r="D150">
            <v>12</v>
          </cell>
          <cell r="E150">
            <v>0</v>
          </cell>
          <cell r="F150">
            <v>12</v>
          </cell>
          <cell r="G150">
            <v>0</v>
          </cell>
        </row>
        <row r="151">
          <cell r="A151" t="str">
            <v>020603</v>
          </cell>
          <cell r="B151" t="str">
            <v>Transporte de equipe de sondagem a trado</v>
          </cell>
          <cell r="C151" t="str">
            <v>km</v>
          </cell>
          <cell r="D151">
            <v>2.95</v>
          </cell>
          <cell r="E151">
            <v>0</v>
          </cell>
          <cell r="F151">
            <v>2.95</v>
          </cell>
          <cell r="G151">
            <v>0</v>
          </cell>
        </row>
        <row r="152">
          <cell r="A152" t="str">
            <v>0207</v>
          </cell>
          <cell r="B152" t="str">
            <v>CADASTRO DE OBRAS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</row>
        <row r="153">
          <cell r="A153" t="str">
            <v>020701</v>
          </cell>
          <cell r="B153" t="str">
            <v>Cadastro linear de água - CAD</v>
          </cell>
          <cell r="C153" t="str">
            <v>m</v>
          </cell>
          <cell r="D153">
            <v>0.26</v>
          </cell>
          <cell r="E153">
            <v>0</v>
          </cell>
          <cell r="F153">
            <v>0.26</v>
          </cell>
          <cell r="G153">
            <v>73682</v>
          </cell>
        </row>
        <row r="154">
          <cell r="A154" t="str">
            <v>020702</v>
          </cell>
          <cell r="B154" t="str">
            <v>Cadastro linear de esgoto - CAD</v>
          </cell>
          <cell r="C154" t="str">
            <v>m</v>
          </cell>
          <cell r="D154">
            <v>0.26</v>
          </cell>
          <cell r="E154">
            <v>0</v>
          </cell>
          <cell r="F154">
            <v>0.26</v>
          </cell>
          <cell r="G154">
            <v>73682</v>
          </cell>
        </row>
        <row r="155">
          <cell r="A155" t="str">
            <v>020703</v>
          </cell>
          <cell r="B155" t="str">
            <v>Cadastro linear de água - CADAGUA</v>
          </cell>
          <cell r="C155" t="str">
            <v>m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</row>
        <row r="156">
          <cell r="A156" t="str">
            <v>020704</v>
          </cell>
          <cell r="B156" t="str">
            <v>Cadastro linear de esgoto - CADESG</v>
          </cell>
          <cell r="C156" t="str">
            <v>m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</row>
        <row r="157">
          <cell r="A157" t="str">
            <v>020705</v>
          </cell>
          <cell r="B157" t="str">
            <v>Cadastro de obra localizada "as built"</v>
          </cell>
          <cell r="C157" t="str">
            <v>ud</v>
          </cell>
          <cell r="D157">
            <v>74.36</v>
          </cell>
          <cell r="E157">
            <v>0</v>
          </cell>
          <cell r="F157">
            <v>74.36</v>
          </cell>
          <cell r="G157">
            <v>0</v>
          </cell>
        </row>
        <row r="158">
          <cell r="A158" t="str">
            <v>03</v>
          </cell>
          <cell r="B158" t="str">
            <v>SERVIÇOS PRELIMINARES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</row>
        <row r="159">
          <cell r="A159" t="str">
            <v>0301</v>
          </cell>
          <cell r="B159" t="str">
            <v>PESQUISA E REMANEJAMENTO DE INTERFERÊNCIAS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</row>
        <row r="160">
          <cell r="A160" t="str">
            <v>030101</v>
          </cell>
          <cell r="B160" t="str">
            <v>Pesquisa</v>
          </cell>
          <cell r="C160" t="str">
            <v>m3</v>
          </cell>
          <cell r="D160">
            <v>87.51</v>
          </cell>
          <cell r="E160">
            <v>0</v>
          </cell>
          <cell r="F160">
            <v>87.51</v>
          </cell>
          <cell r="G160">
            <v>0</v>
          </cell>
        </row>
        <row r="161">
          <cell r="A161" t="str">
            <v>030102</v>
          </cell>
          <cell r="B161" t="str">
            <v>Remanejamento de galerias DN 200</v>
          </cell>
          <cell r="C161" t="str">
            <v>m</v>
          </cell>
          <cell r="D161">
            <v>32.380000000000003</v>
          </cell>
          <cell r="E161">
            <v>0</v>
          </cell>
          <cell r="F161">
            <v>32.380000000000003</v>
          </cell>
          <cell r="G161">
            <v>0</v>
          </cell>
        </row>
        <row r="162">
          <cell r="A162" t="str">
            <v>030103</v>
          </cell>
          <cell r="B162" t="str">
            <v>Remanejamento de galerias DN 300</v>
          </cell>
          <cell r="C162" t="str">
            <v>m</v>
          </cell>
          <cell r="D162">
            <v>35.200000000000003</v>
          </cell>
          <cell r="E162">
            <v>0</v>
          </cell>
          <cell r="F162">
            <v>35.200000000000003</v>
          </cell>
          <cell r="G162">
            <v>0</v>
          </cell>
        </row>
        <row r="163">
          <cell r="A163" t="str">
            <v>030104</v>
          </cell>
          <cell r="B163" t="str">
            <v>Remanejamento de galerias DN 400</v>
          </cell>
          <cell r="C163" t="str">
            <v>m</v>
          </cell>
          <cell r="D163">
            <v>39.42</v>
          </cell>
          <cell r="E163">
            <v>0</v>
          </cell>
          <cell r="F163">
            <v>39.42</v>
          </cell>
          <cell r="G163">
            <v>0</v>
          </cell>
        </row>
        <row r="164">
          <cell r="A164" t="str">
            <v>030105</v>
          </cell>
          <cell r="B164" t="str">
            <v>Remanejamento de galerias DN 500</v>
          </cell>
          <cell r="C164" t="str">
            <v>m</v>
          </cell>
          <cell r="D164">
            <v>42.56</v>
          </cell>
          <cell r="E164">
            <v>0</v>
          </cell>
          <cell r="F164">
            <v>42.56</v>
          </cell>
          <cell r="G164">
            <v>0</v>
          </cell>
        </row>
        <row r="165">
          <cell r="A165" t="str">
            <v>030106</v>
          </cell>
          <cell r="B165" t="str">
            <v>Remanejamento de galerias DN 600</v>
          </cell>
          <cell r="C165" t="str">
            <v>m</v>
          </cell>
          <cell r="D165">
            <v>49.23</v>
          </cell>
          <cell r="E165">
            <v>0</v>
          </cell>
          <cell r="F165">
            <v>49.23</v>
          </cell>
          <cell r="G165">
            <v>0</v>
          </cell>
        </row>
        <row r="166">
          <cell r="A166" t="str">
            <v>030107</v>
          </cell>
          <cell r="B166" t="str">
            <v>Remanejamento de galerias DN 800</v>
          </cell>
          <cell r="C166" t="str">
            <v>m</v>
          </cell>
          <cell r="D166">
            <v>66</v>
          </cell>
          <cell r="E166">
            <v>0</v>
          </cell>
          <cell r="F166">
            <v>66</v>
          </cell>
          <cell r="G166">
            <v>0</v>
          </cell>
        </row>
        <row r="167">
          <cell r="A167" t="str">
            <v>030108</v>
          </cell>
          <cell r="B167" t="str">
            <v>Remanejamento de galerias DN 1000</v>
          </cell>
          <cell r="C167" t="str">
            <v>m</v>
          </cell>
          <cell r="D167">
            <v>90.51</v>
          </cell>
          <cell r="E167">
            <v>0</v>
          </cell>
          <cell r="F167">
            <v>90.51</v>
          </cell>
          <cell r="G167">
            <v>0</v>
          </cell>
        </row>
        <row r="168">
          <cell r="A168" t="str">
            <v>030109</v>
          </cell>
          <cell r="B168" t="str">
            <v>Remanejamento de galerias DN 1200</v>
          </cell>
          <cell r="C168" t="str">
            <v>m</v>
          </cell>
          <cell r="D168">
            <v>133.08000000000001</v>
          </cell>
          <cell r="E168">
            <v>0</v>
          </cell>
          <cell r="F168">
            <v>133.08000000000001</v>
          </cell>
          <cell r="G168">
            <v>0</v>
          </cell>
        </row>
        <row r="169">
          <cell r="A169" t="str">
            <v>0302</v>
          </cell>
          <cell r="B169" t="str">
            <v>ACESSO PROVISÓRIO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</row>
        <row r="170">
          <cell r="A170" t="str">
            <v>030201</v>
          </cell>
          <cell r="B170" t="str">
            <v>Acesso provisório</v>
          </cell>
          <cell r="C170" t="str">
            <v>m2</v>
          </cell>
          <cell r="D170">
            <v>2.4700000000000002</v>
          </cell>
          <cell r="E170">
            <v>0</v>
          </cell>
          <cell r="F170">
            <v>2.4700000000000002</v>
          </cell>
          <cell r="G170">
            <v>0</v>
          </cell>
        </row>
        <row r="171">
          <cell r="A171" t="str">
            <v>0303</v>
          </cell>
          <cell r="B171" t="str">
            <v>ESTIVA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</row>
        <row r="172">
          <cell r="A172" t="str">
            <v>030301</v>
          </cell>
          <cell r="B172" t="str">
            <v>Estiva de madeira para acesso</v>
          </cell>
          <cell r="C172" t="str">
            <v>m3</v>
          </cell>
          <cell r="D172">
            <v>49.35</v>
          </cell>
          <cell r="E172">
            <v>121.67</v>
          </cell>
          <cell r="F172">
            <v>171.02</v>
          </cell>
          <cell r="G172">
            <v>0</v>
          </cell>
        </row>
        <row r="173">
          <cell r="A173" t="str">
            <v>030302</v>
          </cell>
          <cell r="B173" t="str">
            <v>Estiva de madeira para acesso - com material local</v>
          </cell>
          <cell r="C173" t="str">
            <v>m3</v>
          </cell>
          <cell r="D173">
            <v>125.19</v>
          </cell>
          <cell r="E173">
            <v>0</v>
          </cell>
          <cell r="F173">
            <v>125.19</v>
          </cell>
          <cell r="G173">
            <v>0</v>
          </cell>
        </row>
        <row r="174">
          <cell r="A174" t="str">
            <v>030303</v>
          </cell>
          <cell r="B174" t="str">
            <v>Estiva de madeira para suporte de retroescavadeira</v>
          </cell>
          <cell r="C174" t="str">
            <v>m</v>
          </cell>
          <cell r="D174">
            <v>7.77</v>
          </cell>
          <cell r="E174">
            <v>12.53</v>
          </cell>
          <cell r="F174">
            <v>20.3</v>
          </cell>
          <cell r="G174">
            <v>0</v>
          </cell>
        </row>
        <row r="175">
          <cell r="A175" t="str">
            <v>030304</v>
          </cell>
          <cell r="B175" t="str">
            <v>Estiva de madeira para suporte de escavadeira hidráulica</v>
          </cell>
          <cell r="C175" t="str">
            <v>m</v>
          </cell>
          <cell r="D175">
            <v>9.11</v>
          </cell>
          <cell r="E175">
            <v>3.19</v>
          </cell>
          <cell r="F175">
            <v>12.3</v>
          </cell>
          <cell r="G175">
            <v>0</v>
          </cell>
        </row>
        <row r="176">
          <cell r="A176" t="str">
            <v>0304</v>
          </cell>
          <cell r="B176" t="str">
            <v>PREPARO DO TERRENO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</row>
        <row r="177">
          <cell r="A177" t="str">
            <v>030401</v>
          </cell>
          <cell r="B177" t="str">
            <v>Roçada fina</v>
          </cell>
          <cell r="C177" t="str">
            <v>m2</v>
          </cell>
          <cell r="D177">
            <v>1.32</v>
          </cell>
          <cell r="E177">
            <v>0</v>
          </cell>
          <cell r="F177">
            <v>1.32</v>
          </cell>
          <cell r="G177" t="str">
            <v>73859/002</v>
          </cell>
        </row>
        <row r="178">
          <cell r="A178" t="str">
            <v>030402</v>
          </cell>
          <cell r="B178" t="str">
            <v>Roçada densa</v>
          </cell>
          <cell r="C178" t="str">
            <v>m2</v>
          </cell>
          <cell r="D178">
            <v>1.97</v>
          </cell>
          <cell r="E178">
            <v>0</v>
          </cell>
          <cell r="F178">
            <v>1.97</v>
          </cell>
          <cell r="G178" t="str">
            <v>73822/001</v>
          </cell>
        </row>
        <row r="179">
          <cell r="A179" t="str">
            <v>030403</v>
          </cell>
          <cell r="B179" t="str">
            <v>Raspagem de camada vegetal</v>
          </cell>
          <cell r="C179" t="str">
            <v>m2</v>
          </cell>
          <cell r="D179">
            <v>0.51</v>
          </cell>
          <cell r="E179">
            <v>0</v>
          </cell>
          <cell r="F179">
            <v>0.51</v>
          </cell>
          <cell r="G179" t="str">
            <v>73822/002</v>
          </cell>
        </row>
        <row r="180">
          <cell r="A180" t="str">
            <v>030404</v>
          </cell>
          <cell r="B180" t="str">
            <v>Destoca manual 0 &lt; d &lt;= 15 cm</v>
          </cell>
          <cell r="C180" t="str">
            <v>m2</v>
          </cell>
          <cell r="D180">
            <v>5.43</v>
          </cell>
          <cell r="E180">
            <v>0</v>
          </cell>
          <cell r="F180">
            <v>5.43</v>
          </cell>
          <cell r="G180">
            <v>0</v>
          </cell>
        </row>
        <row r="181">
          <cell r="A181" t="str">
            <v>030405</v>
          </cell>
          <cell r="B181" t="str">
            <v>Destoca manual 15 cm &lt; d &lt;= 30 cm</v>
          </cell>
          <cell r="C181" t="str">
            <v>ud</v>
          </cell>
          <cell r="D181">
            <v>49.35</v>
          </cell>
          <cell r="E181">
            <v>0</v>
          </cell>
          <cell r="F181">
            <v>49.35</v>
          </cell>
          <cell r="G181">
            <v>0</v>
          </cell>
        </row>
        <row r="182">
          <cell r="A182" t="str">
            <v>030406</v>
          </cell>
          <cell r="B182" t="str">
            <v>Destoca manual 30 cm &lt; d &lt;= 75 cm</v>
          </cell>
          <cell r="C182" t="str">
            <v>ud</v>
          </cell>
          <cell r="D182">
            <v>98.7</v>
          </cell>
          <cell r="E182">
            <v>0</v>
          </cell>
          <cell r="F182">
            <v>98.7</v>
          </cell>
          <cell r="G182">
            <v>0</v>
          </cell>
        </row>
        <row r="183">
          <cell r="A183" t="str">
            <v>030407</v>
          </cell>
          <cell r="B183" t="str">
            <v>Destoca mecânica 0 &lt; d &lt;= 15 cm</v>
          </cell>
          <cell r="C183" t="str">
            <v>m2</v>
          </cell>
          <cell r="D183">
            <v>0.81</v>
          </cell>
          <cell r="E183">
            <v>0</v>
          </cell>
          <cell r="F183">
            <v>0.81</v>
          </cell>
          <cell r="G183">
            <v>0</v>
          </cell>
        </row>
        <row r="184">
          <cell r="A184" t="str">
            <v>030408</v>
          </cell>
          <cell r="B184" t="str">
            <v>Destoca mecânica 15 cm &lt; d &lt;= 30 cm</v>
          </cell>
          <cell r="C184" t="str">
            <v>ud</v>
          </cell>
          <cell r="D184">
            <v>11.54</v>
          </cell>
          <cell r="E184">
            <v>0</v>
          </cell>
          <cell r="F184">
            <v>11.54</v>
          </cell>
          <cell r="G184">
            <v>0</v>
          </cell>
        </row>
        <row r="185">
          <cell r="A185" t="str">
            <v>030409</v>
          </cell>
          <cell r="B185" t="str">
            <v>Destoca mecânica 30 cm &lt; d &lt;= 75 cm</v>
          </cell>
          <cell r="C185" t="str">
            <v>ud</v>
          </cell>
          <cell r="D185">
            <v>24.29</v>
          </cell>
          <cell r="E185">
            <v>0</v>
          </cell>
          <cell r="F185">
            <v>24.29</v>
          </cell>
          <cell r="G185">
            <v>0</v>
          </cell>
        </row>
        <row r="186">
          <cell r="A186" t="str">
            <v>0305</v>
          </cell>
          <cell r="B186" t="str">
            <v>SINALIZAÇÃO DE SEGURANCA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</row>
        <row r="187">
          <cell r="A187" t="str">
            <v>030501</v>
          </cell>
          <cell r="B187" t="str">
            <v>Fita plástica</v>
          </cell>
          <cell r="C187" t="str">
            <v>m</v>
          </cell>
          <cell r="D187">
            <v>0.13</v>
          </cell>
          <cell r="E187">
            <v>7.0000000000000007E-2</v>
          </cell>
          <cell r="F187">
            <v>0.2</v>
          </cell>
          <cell r="G187">
            <v>0</v>
          </cell>
        </row>
        <row r="188">
          <cell r="A188" t="str">
            <v>030502</v>
          </cell>
          <cell r="B188" t="str">
            <v>Tapume móvel contínuo</v>
          </cell>
          <cell r="C188" t="str">
            <v>m</v>
          </cell>
          <cell r="D188">
            <v>1.86</v>
          </cell>
          <cell r="E188">
            <v>2.19</v>
          </cell>
          <cell r="F188">
            <v>4.05</v>
          </cell>
          <cell r="G188">
            <v>0</v>
          </cell>
        </row>
        <row r="189">
          <cell r="A189" t="str">
            <v>030503</v>
          </cell>
          <cell r="B189" t="str">
            <v>Tapume móvel descontínuo</v>
          </cell>
          <cell r="C189" t="str">
            <v>m</v>
          </cell>
          <cell r="D189">
            <v>0.93</v>
          </cell>
          <cell r="E189">
            <v>1.08</v>
          </cell>
          <cell r="F189">
            <v>2.0099999999999998</v>
          </cell>
          <cell r="G189">
            <v>0</v>
          </cell>
        </row>
        <row r="190">
          <cell r="A190" t="str">
            <v>030504</v>
          </cell>
          <cell r="B190" t="str">
            <v>Tapume em tela plástica</v>
          </cell>
          <cell r="C190" t="str">
            <v>m</v>
          </cell>
          <cell r="D190">
            <v>0.91</v>
          </cell>
          <cell r="E190">
            <v>0.11</v>
          </cell>
          <cell r="F190">
            <v>1.02</v>
          </cell>
          <cell r="G190">
            <v>0</v>
          </cell>
        </row>
        <row r="191">
          <cell r="A191" t="str">
            <v>0306</v>
          </cell>
          <cell r="B191" t="str">
            <v>SINALIZAÇÃO DE TRÂNSITO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</row>
        <row r="192">
          <cell r="A192" t="str">
            <v>030601</v>
          </cell>
          <cell r="B192" t="str">
            <v>Placa de advertência 1,00 x 1,00 m</v>
          </cell>
          <cell r="C192" t="str">
            <v>ud</v>
          </cell>
          <cell r="D192">
            <v>38.79</v>
          </cell>
          <cell r="E192">
            <v>36.549999999999997</v>
          </cell>
          <cell r="F192">
            <v>75.34</v>
          </cell>
          <cell r="G192">
            <v>0</v>
          </cell>
        </row>
        <row r="193">
          <cell r="A193" t="str">
            <v>030602</v>
          </cell>
          <cell r="B193" t="str">
            <v>Placa de advertência 1,00 x 2,00 m</v>
          </cell>
          <cell r="C193" t="str">
            <v>ud</v>
          </cell>
          <cell r="D193">
            <v>58.83</v>
          </cell>
          <cell r="E193">
            <v>60.02</v>
          </cell>
          <cell r="F193">
            <v>118.85</v>
          </cell>
          <cell r="G193">
            <v>0</v>
          </cell>
        </row>
        <row r="194">
          <cell r="A194" t="str">
            <v>030603</v>
          </cell>
          <cell r="B194" t="str">
            <v>Placa de barragem</v>
          </cell>
          <cell r="C194" t="str">
            <v>m</v>
          </cell>
          <cell r="D194">
            <v>5.25</v>
          </cell>
          <cell r="E194">
            <v>0.93</v>
          </cell>
          <cell r="F194">
            <v>6.18</v>
          </cell>
          <cell r="G194">
            <v>0</v>
          </cell>
        </row>
        <row r="195">
          <cell r="A195" t="str">
            <v>030604</v>
          </cell>
          <cell r="B195" t="str">
            <v>Sinalização com energia elétrica</v>
          </cell>
          <cell r="C195" t="str">
            <v>udxdia</v>
          </cell>
          <cell r="D195">
            <v>3.85</v>
          </cell>
          <cell r="E195">
            <v>4.95</v>
          </cell>
          <cell r="F195">
            <v>8.8000000000000007</v>
          </cell>
          <cell r="G195">
            <v>0</v>
          </cell>
        </row>
        <row r="196">
          <cell r="A196" t="str">
            <v>030605</v>
          </cell>
          <cell r="B196" t="str">
            <v xml:space="preserve">Sinalização com lamparinas a óleo </v>
          </cell>
          <cell r="C196" t="str">
            <v>udxdia</v>
          </cell>
          <cell r="D196">
            <v>2.4700000000000002</v>
          </cell>
          <cell r="E196">
            <v>0</v>
          </cell>
          <cell r="F196">
            <v>2.4700000000000002</v>
          </cell>
          <cell r="G196">
            <v>0</v>
          </cell>
        </row>
        <row r="197">
          <cell r="A197" t="str">
            <v>0307</v>
          </cell>
          <cell r="B197" t="str">
            <v>DEMOLIÇÃO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</row>
        <row r="198">
          <cell r="A198" t="str">
            <v>030701</v>
          </cell>
          <cell r="B198" t="str">
            <v>Alvenaria de tijolos maciços sem reaproveitamento</v>
          </cell>
          <cell r="C198" t="str">
            <v>m3</v>
          </cell>
          <cell r="D198">
            <v>74.22</v>
          </cell>
          <cell r="E198">
            <v>0</v>
          </cell>
          <cell r="F198">
            <v>74.22</v>
          </cell>
          <cell r="G198" t="str">
            <v>73899/001</v>
          </cell>
        </row>
        <row r="199">
          <cell r="A199" t="str">
            <v>030702</v>
          </cell>
          <cell r="B199" t="str">
            <v>Alvenaria de tijolos furados sem reaproveitamento</v>
          </cell>
          <cell r="C199" t="str">
            <v>m3</v>
          </cell>
          <cell r="D199">
            <v>92.77</v>
          </cell>
          <cell r="E199">
            <v>0</v>
          </cell>
          <cell r="F199">
            <v>92.77</v>
          </cell>
          <cell r="G199" t="str">
            <v>73899/002</v>
          </cell>
        </row>
        <row r="200">
          <cell r="A200" t="str">
            <v>030703</v>
          </cell>
          <cell r="B200" t="str">
            <v>Manual de concreto simples</v>
          </cell>
          <cell r="C200" t="str">
            <v>m3</v>
          </cell>
          <cell r="D200">
            <v>222.65</v>
          </cell>
          <cell r="E200">
            <v>0</v>
          </cell>
          <cell r="F200">
            <v>222.65</v>
          </cell>
          <cell r="G200">
            <v>73616</v>
          </cell>
        </row>
        <row r="201">
          <cell r="A201" t="str">
            <v>030704</v>
          </cell>
          <cell r="B201" t="str">
            <v>Mecânica de concreto simples</v>
          </cell>
          <cell r="C201" t="str">
            <v>m3</v>
          </cell>
          <cell r="D201">
            <v>212.62</v>
          </cell>
          <cell r="E201">
            <v>0</v>
          </cell>
          <cell r="F201">
            <v>212.62</v>
          </cell>
          <cell r="G201">
            <v>73616</v>
          </cell>
        </row>
        <row r="202">
          <cell r="A202" t="str">
            <v>030705</v>
          </cell>
          <cell r="B202" t="str">
            <v>Manual de concreto ciclópico</v>
          </cell>
          <cell r="C202" t="str">
            <v>m3</v>
          </cell>
          <cell r="D202">
            <v>333.97</v>
          </cell>
          <cell r="E202">
            <v>0</v>
          </cell>
          <cell r="F202">
            <v>333.97</v>
          </cell>
          <cell r="G202">
            <v>0</v>
          </cell>
        </row>
        <row r="203">
          <cell r="A203" t="str">
            <v>030706</v>
          </cell>
          <cell r="B203" t="str">
            <v>Mecânica de concreto ciclópico</v>
          </cell>
          <cell r="C203" t="str">
            <v>m3</v>
          </cell>
          <cell r="D203">
            <v>318.94</v>
          </cell>
          <cell r="E203">
            <v>0</v>
          </cell>
          <cell r="F203">
            <v>318.94</v>
          </cell>
          <cell r="G203">
            <v>0</v>
          </cell>
        </row>
        <row r="204">
          <cell r="A204" t="str">
            <v>030707</v>
          </cell>
          <cell r="B204" t="str">
            <v>Manual de concreto armado</v>
          </cell>
          <cell r="C204" t="str">
            <v>m3</v>
          </cell>
          <cell r="D204">
            <v>445.3</v>
          </cell>
          <cell r="E204">
            <v>0</v>
          </cell>
          <cell r="F204">
            <v>445.3</v>
          </cell>
          <cell r="G204">
            <v>85364</v>
          </cell>
        </row>
        <row r="205">
          <cell r="A205" t="str">
            <v>030708</v>
          </cell>
          <cell r="B205" t="str">
            <v>Mecânica de concreto armado</v>
          </cell>
          <cell r="C205" t="str">
            <v>m3</v>
          </cell>
          <cell r="D205">
            <v>425.24</v>
          </cell>
          <cell r="E205">
            <v>0</v>
          </cell>
          <cell r="F205">
            <v>425.24</v>
          </cell>
          <cell r="G205">
            <v>0</v>
          </cell>
        </row>
        <row r="206">
          <cell r="A206" t="str">
            <v>030709</v>
          </cell>
          <cell r="B206" t="str">
            <v>Enrocamento</v>
          </cell>
          <cell r="C206" t="str">
            <v>m3</v>
          </cell>
          <cell r="D206">
            <v>111.32</v>
          </cell>
          <cell r="E206">
            <v>0</v>
          </cell>
          <cell r="F206">
            <v>111.32</v>
          </cell>
          <cell r="G206">
            <v>0</v>
          </cell>
        </row>
        <row r="207">
          <cell r="A207" t="str">
            <v>030710</v>
          </cell>
          <cell r="B207" t="str">
            <v>Revestimento de argamassa de cimento</v>
          </cell>
          <cell r="C207" t="str">
            <v>m2</v>
          </cell>
          <cell r="D207">
            <v>18.55</v>
          </cell>
          <cell r="E207">
            <v>0</v>
          </cell>
          <cell r="F207">
            <v>18.55</v>
          </cell>
          <cell r="G207">
            <v>0</v>
          </cell>
        </row>
        <row r="208">
          <cell r="A208" t="str">
            <v>030711</v>
          </cell>
          <cell r="B208" t="str">
            <v>Revestimento de argamassa de cal e areia</v>
          </cell>
          <cell r="C208" t="str">
            <v>m2</v>
          </cell>
          <cell r="D208">
            <v>11.13</v>
          </cell>
          <cell r="E208">
            <v>0</v>
          </cell>
          <cell r="F208">
            <v>11.13</v>
          </cell>
          <cell r="G208" t="str">
            <v>73802/001</v>
          </cell>
        </row>
        <row r="209">
          <cell r="A209" t="str">
            <v>030712</v>
          </cell>
          <cell r="B209" t="str">
            <v>Revestimento de azulejo ou pedra natural</v>
          </cell>
          <cell r="C209" t="str">
            <v>m2</v>
          </cell>
          <cell r="D209">
            <v>18.55</v>
          </cell>
          <cell r="E209">
            <v>0</v>
          </cell>
          <cell r="F209">
            <v>18.55</v>
          </cell>
          <cell r="G209">
            <v>85397</v>
          </cell>
        </row>
        <row r="210">
          <cell r="A210" t="str">
            <v>030713</v>
          </cell>
          <cell r="B210" t="str">
            <v>Piso cimentado sobre lastro de concreto</v>
          </cell>
          <cell r="C210" t="str">
            <v>m2</v>
          </cell>
          <cell r="D210">
            <v>22.26</v>
          </cell>
          <cell r="E210">
            <v>0</v>
          </cell>
          <cell r="F210">
            <v>22.26</v>
          </cell>
          <cell r="G210" t="str">
            <v>73801/002</v>
          </cell>
        </row>
        <row r="211">
          <cell r="A211" t="str">
            <v>030714</v>
          </cell>
          <cell r="B211" t="str">
            <v>Piso em cerâmica</v>
          </cell>
          <cell r="C211" t="str">
            <v>m2</v>
          </cell>
          <cell r="D211">
            <v>12.99</v>
          </cell>
          <cell r="E211">
            <v>0</v>
          </cell>
          <cell r="F211">
            <v>12.99</v>
          </cell>
          <cell r="G211">
            <v>85367</v>
          </cell>
        </row>
        <row r="212">
          <cell r="A212" t="str">
            <v>0308</v>
          </cell>
          <cell r="B212" t="str">
            <v>RETIRADA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</row>
        <row r="213">
          <cell r="A213" t="str">
            <v>030801</v>
          </cell>
          <cell r="B213" t="str">
            <v>Taco de madeira ou parquê, sem reaproveitamento</v>
          </cell>
          <cell r="C213" t="str">
            <v>m2</v>
          </cell>
          <cell r="D213">
            <v>9.2799999999999994</v>
          </cell>
          <cell r="E213">
            <v>0</v>
          </cell>
          <cell r="F213">
            <v>9.2799999999999994</v>
          </cell>
          <cell r="G213">
            <v>72239</v>
          </cell>
        </row>
        <row r="214">
          <cell r="A214" t="str">
            <v>030802</v>
          </cell>
          <cell r="B214" t="str">
            <v>Assoalho simples, sem reaproveitamento</v>
          </cell>
          <cell r="C214" t="str">
            <v>m2</v>
          </cell>
          <cell r="D214">
            <v>7.42</v>
          </cell>
          <cell r="E214">
            <v>0</v>
          </cell>
          <cell r="F214">
            <v>7.42</v>
          </cell>
          <cell r="G214">
            <v>72239</v>
          </cell>
        </row>
        <row r="215">
          <cell r="A215" t="str">
            <v>030803</v>
          </cell>
          <cell r="B215" t="str">
            <v>Forro de madeira ou lambri, sem reaproveitamento</v>
          </cell>
          <cell r="C215" t="str">
            <v>m2</v>
          </cell>
          <cell r="D215">
            <v>5.57</v>
          </cell>
          <cell r="E215">
            <v>0</v>
          </cell>
          <cell r="F215">
            <v>5.57</v>
          </cell>
          <cell r="G215">
            <v>0</v>
          </cell>
        </row>
        <row r="216">
          <cell r="A216" t="str">
            <v>030804</v>
          </cell>
          <cell r="B216" t="str">
            <v>Cobertura com telhas cerâmicas, sem reaproveitamento</v>
          </cell>
          <cell r="C216" t="str">
            <v>m2</v>
          </cell>
          <cell r="D216">
            <v>11.13</v>
          </cell>
          <cell r="E216">
            <v>0</v>
          </cell>
          <cell r="F216">
            <v>11.13</v>
          </cell>
          <cell r="G216">
            <v>72224</v>
          </cell>
        </row>
        <row r="217">
          <cell r="A217" t="str">
            <v>030805</v>
          </cell>
          <cell r="B217" t="str">
            <v>Cobertura com telhas cerâmicas, com reaproveitamento</v>
          </cell>
          <cell r="C217" t="str">
            <v>m2</v>
          </cell>
          <cell r="D217">
            <v>16.18</v>
          </cell>
          <cell r="E217">
            <v>0</v>
          </cell>
          <cell r="F217">
            <v>16.18</v>
          </cell>
          <cell r="G217">
            <v>72230</v>
          </cell>
        </row>
        <row r="218">
          <cell r="A218" t="str">
            <v>030806</v>
          </cell>
          <cell r="B218" t="str">
            <v>Cobertura com telhas de fibrocimento, sem reaproveitamento</v>
          </cell>
          <cell r="C218" t="str">
            <v>m2</v>
          </cell>
          <cell r="D218">
            <v>5.57</v>
          </cell>
          <cell r="E218">
            <v>0</v>
          </cell>
          <cell r="F218">
            <v>5.57</v>
          </cell>
          <cell r="G218">
            <v>72231</v>
          </cell>
        </row>
        <row r="219">
          <cell r="A219" t="str">
            <v>030807</v>
          </cell>
          <cell r="B219" t="str">
            <v>Cobertura com telhas de fibrocimento, com reaproveitamento</v>
          </cell>
          <cell r="C219" t="str">
            <v>m2</v>
          </cell>
          <cell r="D219">
            <v>8.1</v>
          </cell>
          <cell r="E219">
            <v>0</v>
          </cell>
          <cell r="F219">
            <v>8.1</v>
          </cell>
          <cell r="G219">
            <v>72231</v>
          </cell>
        </row>
        <row r="220">
          <cell r="A220" t="str">
            <v>030808</v>
          </cell>
          <cell r="B220" t="str">
            <v>Armação de madeira para telhado, sem reaproveitamento</v>
          </cell>
          <cell r="C220" t="str">
            <v>m2</v>
          </cell>
          <cell r="D220">
            <v>22.26</v>
          </cell>
          <cell r="E220">
            <v>0</v>
          </cell>
          <cell r="F220">
            <v>22.26</v>
          </cell>
          <cell r="G220">
            <v>72228</v>
          </cell>
        </row>
        <row r="221">
          <cell r="A221" t="str">
            <v>030809</v>
          </cell>
          <cell r="B221" t="str">
            <v>Armação de madeira para telhado, com reaproveitamento</v>
          </cell>
          <cell r="C221" t="str">
            <v>m2</v>
          </cell>
          <cell r="D221">
            <v>32.36</v>
          </cell>
          <cell r="E221">
            <v>0</v>
          </cell>
          <cell r="F221">
            <v>32.36</v>
          </cell>
          <cell r="G221">
            <v>0</v>
          </cell>
        </row>
        <row r="222">
          <cell r="A222" t="str">
            <v>030810</v>
          </cell>
          <cell r="B222" t="str">
            <v>Cerca de arame farpado, sem reaproveitamento</v>
          </cell>
          <cell r="C222" t="str">
            <v>m</v>
          </cell>
          <cell r="D222">
            <v>21.58</v>
          </cell>
          <cell r="E222">
            <v>0</v>
          </cell>
          <cell r="F222">
            <v>21.58</v>
          </cell>
          <cell r="G222">
            <v>85379</v>
          </cell>
        </row>
        <row r="223">
          <cell r="A223" t="str">
            <v>030811</v>
          </cell>
          <cell r="B223" t="str">
            <v>Cerca de arame farpado, com reaproveitamento</v>
          </cell>
          <cell r="C223" t="str">
            <v>m</v>
          </cell>
          <cell r="D223">
            <v>26.97</v>
          </cell>
          <cell r="E223">
            <v>0</v>
          </cell>
          <cell r="F223">
            <v>26.97</v>
          </cell>
          <cell r="G223">
            <v>0</v>
          </cell>
        </row>
        <row r="224">
          <cell r="A224" t="str">
            <v>030812</v>
          </cell>
          <cell r="B224" t="str">
            <v>Cerca de tela tipo alambrado, sem reaproveitamento</v>
          </cell>
          <cell r="C224" t="str">
            <v>m</v>
          </cell>
          <cell r="D224">
            <v>16.7</v>
          </cell>
          <cell r="E224">
            <v>0</v>
          </cell>
          <cell r="F224">
            <v>16.7</v>
          </cell>
          <cell r="G224">
            <v>0</v>
          </cell>
        </row>
        <row r="225">
          <cell r="A225" t="str">
            <v>030813</v>
          </cell>
          <cell r="B225" t="str">
            <v>Cerca de tela tipo alambrado, com reaproveitamento</v>
          </cell>
          <cell r="C225" t="str">
            <v>m</v>
          </cell>
          <cell r="D225">
            <v>20.5</v>
          </cell>
          <cell r="E225">
            <v>0</v>
          </cell>
          <cell r="F225">
            <v>20.5</v>
          </cell>
          <cell r="G225">
            <v>0</v>
          </cell>
        </row>
        <row r="226">
          <cell r="A226" t="str">
            <v>030814</v>
          </cell>
          <cell r="B226" t="str">
            <v>Cerca de madeira, sem reaproveitamento</v>
          </cell>
          <cell r="C226" t="str">
            <v>m</v>
          </cell>
          <cell r="D226">
            <v>14.84</v>
          </cell>
          <cell r="E226">
            <v>0</v>
          </cell>
          <cell r="F226">
            <v>14.84</v>
          </cell>
          <cell r="G226">
            <v>0</v>
          </cell>
        </row>
        <row r="227">
          <cell r="A227" t="str">
            <v>030815</v>
          </cell>
          <cell r="B227" t="str">
            <v>Cerca de madeira, com reaproveitamento</v>
          </cell>
          <cell r="C227" t="str">
            <v>m</v>
          </cell>
          <cell r="D227">
            <v>21.58</v>
          </cell>
          <cell r="E227">
            <v>0</v>
          </cell>
          <cell r="F227">
            <v>21.58</v>
          </cell>
          <cell r="G227">
            <v>0</v>
          </cell>
        </row>
        <row r="228">
          <cell r="A228" t="str">
            <v>030816</v>
          </cell>
          <cell r="B228" t="str">
            <v>Portas e janelas, sem reaproveitamento</v>
          </cell>
          <cell r="C228" t="str">
            <v>m2</v>
          </cell>
          <cell r="D228">
            <v>9.2799999999999994</v>
          </cell>
          <cell r="E228">
            <v>0</v>
          </cell>
          <cell r="F228">
            <v>9.2799999999999994</v>
          </cell>
          <cell r="G228">
            <v>0</v>
          </cell>
        </row>
        <row r="229">
          <cell r="A229" t="str">
            <v>030817</v>
          </cell>
          <cell r="B229" t="str">
            <v>Portas e janelas, com reaproveitamento</v>
          </cell>
          <cell r="C229" t="str">
            <v>m2</v>
          </cell>
          <cell r="D229">
            <v>13.49</v>
          </cell>
          <cell r="E229">
            <v>0</v>
          </cell>
          <cell r="F229">
            <v>13.49</v>
          </cell>
          <cell r="G229">
            <v>0</v>
          </cell>
        </row>
        <row r="230">
          <cell r="A230" t="str">
            <v>0309</v>
          </cell>
          <cell r="B230" t="str">
            <v>TRANSPORTE DE ENTULHO</v>
          </cell>
          <cell r="C230">
            <v>0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</row>
        <row r="231">
          <cell r="A231" t="str">
            <v>030901</v>
          </cell>
          <cell r="B231" t="str">
            <v>Com caminhão carroceria</v>
          </cell>
          <cell r="C231" t="str">
            <v>m3</v>
          </cell>
          <cell r="D231">
            <v>29.65</v>
          </cell>
          <cell r="E231">
            <v>0</v>
          </cell>
          <cell r="F231">
            <v>29.65</v>
          </cell>
          <cell r="G231">
            <v>0</v>
          </cell>
        </row>
        <row r="232">
          <cell r="A232" t="str">
            <v>030902</v>
          </cell>
          <cell r="B232" t="str">
            <v>Com sacolão tipo "bag"</v>
          </cell>
          <cell r="C232" t="str">
            <v>ud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</row>
        <row r="233">
          <cell r="A233" t="str">
            <v>030903</v>
          </cell>
          <cell r="B233" t="str">
            <v>Com caçamba tipo "brooks"</v>
          </cell>
          <cell r="C233" t="str">
            <v>ud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</row>
        <row r="234">
          <cell r="A234" t="str">
            <v>04</v>
          </cell>
          <cell r="B234" t="str">
            <v>MOVIMENTO DE SOLOS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</row>
        <row r="235">
          <cell r="A235" t="str">
            <v>0401</v>
          </cell>
          <cell r="B235" t="str">
            <v>ESCAVAÇÃO MANUAL DE VALAS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</row>
        <row r="236">
          <cell r="A236" t="str">
            <v>040101</v>
          </cell>
          <cell r="B236" t="str">
            <v>Em solo arenoso, prof. 0 m &lt; h &lt;= 1m</v>
          </cell>
          <cell r="C236" t="str">
            <v>m3</v>
          </cell>
          <cell r="D236">
            <v>13.16</v>
          </cell>
          <cell r="E236">
            <v>0</v>
          </cell>
          <cell r="F236">
            <v>13.16</v>
          </cell>
          <cell r="G236">
            <v>0</v>
          </cell>
        </row>
        <row r="237">
          <cell r="A237" t="str">
            <v>040102</v>
          </cell>
          <cell r="B237" t="str">
            <v>Em solo arenoso, prof. 1 m &lt; h &lt;= 2 m</v>
          </cell>
          <cell r="C237" t="str">
            <v>m3</v>
          </cell>
          <cell r="D237">
            <v>14.81</v>
          </cell>
          <cell r="E237">
            <v>0</v>
          </cell>
          <cell r="F237">
            <v>14.81</v>
          </cell>
          <cell r="G237">
            <v>0</v>
          </cell>
        </row>
        <row r="238">
          <cell r="A238" t="str">
            <v>040103</v>
          </cell>
          <cell r="B238" t="str">
            <v>Em solo arenoso, prof. 2 m &lt; h &lt;= 3 m</v>
          </cell>
          <cell r="C238" t="str">
            <v>m3</v>
          </cell>
          <cell r="D238">
            <v>19.739999999999998</v>
          </cell>
          <cell r="E238">
            <v>0</v>
          </cell>
          <cell r="F238">
            <v>19.739999999999998</v>
          </cell>
          <cell r="G238">
            <v>0</v>
          </cell>
        </row>
        <row r="239">
          <cell r="A239" t="str">
            <v>040104</v>
          </cell>
          <cell r="B239" t="str">
            <v>Em solo arenoso, prof. 3 m &lt; h &lt;= 4 m</v>
          </cell>
          <cell r="C239" t="str">
            <v>m3</v>
          </cell>
          <cell r="D239">
            <v>26.32</v>
          </cell>
          <cell r="E239">
            <v>0</v>
          </cell>
          <cell r="F239">
            <v>26.32</v>
          </cell>
          <cell r="G239">
            <v>0</v>
          </cell>
        </row>
        <row r="240">
          <cell r="A240" t="str">
            <v>040105</v>
          </cell>
          <cell r="B240" t="str">
            <v>Em solo lamacento, prof. 0 m &lt; h &lt;= 1 m</v>
          </cell>
          <cell r="C240" t="str">
            <v>m3</v>
          </cell>
          <cell r="D240">
            <v>42.77</v>
          </cell>
          <cell r="E240">
            <v>0</v>
          </cell>
          <cell r="F240">
            <v>42.77</v>
          </cell>
          <cell r="G240">
            <v>0</v>
          </cell>
        </row>
        <row r="241">
          <cell r="A241" t="str">
            <v>040106</v>
          </cell>
          <cell r="B241" t="str">
            <v>Em solo lamacento, prof. 1 m &lt; h &lt;= 2 m</v>
          </cell>
          <cell r="C241" t="str">
            <v>m3</v>
          </cell>
          <cell r="D241">
            <v>50.17</v>
          </cell>
          <cell r="E241">
            <v>0</v>
          </cell>
          <cell r="F241">
            <v>50.17</v>
          </cell>
          <cell r="G241">
            <v>0</v>
          </cell>
        </row>
        <row r="242">
          <cell r="A242" t="str">
            <v>040107</v>
          </cell>
          <cell r="B242" t="str">
            <v>Em solo lamacento, prof. 2 m &lt; h &lt;= 3 m</v>
          </cell>
          <cell r="C242" t="str">
            <v>m3</v>
          </cell>
          <cell r="D242">
            <v>57.58</v>
          </cell>
          <cell r="E242">
            <v>0</v>
          </cell>
          <cell r="F242">
            <v>57.58</v>
          </cell>
          <cell r="G242">
            <v>0</v>
          </cell>
        </row>
        <row r="243">
          <cell r="A243" t="str">
            <v>040108</v>
          </cell>
          <cell r="B243" t="str">
            <v>Em solo lamacento, prof. 3 m &lt; h &lt;= 4 m</v>
          </cell>
          <cell r="C243" t="str">
            <v>m3</v>
          </cell>
          <cell r="D243">
            <v>64.98</v>
          </cell>
          <cell r="E243">
            <v>0</v>
          </cell>
          <cell r="F243">
            <v>64.98</v>
          </cell>
          <cell r="G243">
            <v>0</v>
          </cell>
        </row>
        <row r="244">
          <cell r="A244" t="str">
            <v>040109</v>
          </cell>
          <cell r="B244" t="str">
            <v>Em terra compacta, prof. 0 m &lt; h &lt;= 1 m</v>
          </cell>
          <cell r="C244" t="str">
            <v>m3</v>
          </cell>
          <cell r="D244">
            <v>32.9</v>
          </cell>
          <cell r="E244">
            <v>0</v>
          </cell>
          <cell r="F244">
            <v>32.9</v>
          </cell>
          <cell r="G244">
            <v>73481</v>
          </cell>
        </row>
        <row r="245">
          <cell r="A245" t="str">
            <v>040110</v>
          </cell>
          <cell r="B245" t="str">
            <v>Em terra compacta, prof. 1 m &lt; h &lt;= 2 m</v>
          </cell>
          <cell r="C245" t="str">
            <v>m3</v>
          </cell>
          <cell r="D245">
            <v>41.13</v>
          </cell>
          <cell r="E245">
            <v>0</v>
          </cell>
          <cell r="F245">
            <v>41.13</v>
          </cell>
          <cell r="G245">
            <v>73481</v>
          </cell>
        </row>
        <row r="246">
          <cell r="A246" t="str">
            <v>040111</v>
          </cell>
          <cell r="B246" t="str">
            <v>Em terra compacta, prof. 2 m &lt; h &lt;= 3 m</v>
          </cell>
          <cell r="C246" t="str">
            <v>m3</v>
          </cell>
          <cell r="D246">
            <v>46.06</v>
          </cell>
          <cell r="E246">
            <v>0</v>
          </cell>
          <cell r="F246">
            <v>46.06</v>
          </cell>
          <cell r="G246">
            <v>73447</v>
          </cell>
        </row>
        <row r="247">
          <cell r="A247" t="str">
            <v>040112</v>
          </cell>
          <cell r="B247" t="str">
            <v>Em terra compacta, prof. 3 m &lt; h &lt;= 4 m</v>
          </cell>
          <cell r="C247" t="str">
            <v>m3</v>
          </cell>
          <cell r="D247">
            <v>49.35</v>
          </cell>
          <cell r="E247">
            <v>0</v>
          </cell>
          <cell r="F247">
            <v>49.35</v>
          </cell>
          <cell r="G247">
            <v>73447</v>
          </cell>
        </row>
        <row r="248">
          <cell r="A248" t="str">
            <v>040113</v>
          </cell>
          <cell r="B248" t="str">
            <v>Moledo ou cascalho, prof. 0 m &lt; h &lt;= 1 m</v>
          </cell>
          <cell r="C248" t="str">
            <v>m3</v>
          </cell>
          <cell r="D248">
            <v>57.58</v>
          </cell>
          <cell r="E248">
            <v>0</v>
          </cell>
          <cell r="F248">
            <v>57.58</v>
          </cell>
          <cell r="G248">
            <v>0</v>
          </cell>
        </row>
        <row r="249">
          <cell r="A249" t="str">
            <v>040114</v>
          </cell>
          <cell r="B249" t="str">
            <v>Moledo ou cascalho, prof. 1 m &lt; h &lt;= 2 m</v>
          </cell>
          <cell r="C249" t="str">
            <v>m3</v>
          </cell>
          <cell r="D249">
            <v>65.8</v>
          </cell>
          <cell r="E249">
            <v>0</v>
          </cell>
          <cell r="F249">
            <v>65.8</v>
          </cell>
          <cell r="G249">
            <v>0</v>
          </cell>
        </row>
        <row r="250">
          <cell r="A250" t="str">
            <v>040115</v>
          </cell>
          <cell r="B250" t="str">
            <v>Moledo ou cascalho, prof. 2 m &lt; h &lt;= 3 m</v>
          </cell>
          <cell r="C250" t="str">
            <v>m3</v>
          </cell>
          <cell r="D250">
            <v>74.03</v>
          </cell>
          <cell r="E250">
            <v>0</v>
          </cell>
          <cell r="F250">
            <v>74.03</v>
          </cell>
          <cell r="G250">
            <v>0</v>
          </cell>
        </row>
        <row r="251">
          <cell r="A251" t="str">
            <v>040116</v>
          </cell>
          <cell r="B251" t="str">
            <v>Moledo ou cascalho, prof. 3 m &lt; h &lt;= 4 m</v>
          </cell>
          <cell r="C251" t="str">
            <v>m3</v>
          </cell>
          <cell r="D251">
            <v>82.25</v>
          </cell>
          <cell r="E251">
            <v>0</v>
          </cell>
          <cell r="F251">
            <v>82.25</v>
          </cell>
          <cell r="G251">
            <v>0</v>
          </cell>
        </row>
        <row r="252">
          <cell r="A252" t="str">
            <v>0402</v>
          </cell>
          <cell r="B252" t="str">
            <v>ESCAVACAO MECÂNICA DE VALAS EM QUALQUER TIPO DE SOLO, EXCETO ROCHA</v>
          </cell>
          <cell r="C252">
            <v>0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</row>
        <row r="253">
          <cell r="A253" t="str">
            <v>040201</v>
          </cell>
          <cell r="B253" t="str">
            <v xml:space="preserve">Profundidade 0 m &lt; h &lt;= 2 m </v>
          </cell>
          <cell r="C253" t="str">
            <v>m3</v>
          </cell>
          <cell r="D253">
            <v>9.77</v>
          </cell>
          <cell r="E253">
            <v>0</v>
          </cell>
          <cell r="F253">
            <v>9.77</v>
          </cell>
          <cell r="G253">
            <v>72915</v>
          </cell>
        </row>
        <row r="254">
          <cell r="A254" t="str">
            <v>040202</v>
          </cell>
          <cell r="B254" t="str">
            <v>Profundidade 0 m &lt; h &lt;= 4 m</v>
          </cell>
          <cell r="C254" t="str">
            <v>m3</v>
          </cell>
          <cell r="D254">
            <v>11.16</v>
          </cell>
          <cell r="E254">
            <v>0</v>
          </cell>
          <cell r="F254">
            <v>11.16</v>
          </cell>
          <cell r="G254">
            <v>72917</v>
          </cell>
        </row>
        <row r="255">
          <cell r="A255" t="str">
            <v>040203</v>
          </cell>
          <cell r="B255" t="str">
            <v>Profundidade 0 m &lt; h &lt;= 6 m</v>
          </cell>
          <cell r="C255" t="str">
            <v>m3</v>
          </cell>
          <cell r="D255">
            <v>13.03</v>
          </cell>
          <cell r="E255">
            <v>0</v>
          </cell>
          <cell r="F255">
            <v>13.03</v>
          </cell>
          <cell r="G255">
            <v>72918</v>
          </cell>
        </row>
        <row r="256">
          <cell r="A256" t="str">
            <v>040204</v>
          </cell>
          <cell r="B256" t="str">
            <v>Profundidade 0 m &lt; h &lt;= 8 m</v>
          </cell>
          <cell r="C256" t="str">
            <v>m3</v>
          </cell>
          <cell r="D256">
            <v>13.03</v>
          </cell>
          <cell r="E256">
            <v>0</v>
          </cell>
          <cell r="F256">
            <v>13.03</v>
          </cell>
          <cell r="G256">
            <v>72918</v>
          </cell>
        </row>
        <row r="257">
          <cell r="A257" t="str">
            <v>0403</v>
          </cell>
          <cell r="B257" t="str">
            <v>DESMONTE DE ROCHA BRANDA, EM VALAS</v>
          </cell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</row>
        <row r="258">
          <cell r="A258" t="str">
            <v>040301</v>
          </cell>
          <cell r="B258" t="str">
            <v>Com uso de explosivo</v>
          </cell>
          <cell r="C258" t="str">
            <v>m3</v>
          </cell>
          <cell r="D258">
            <v>66.239999999999995</v>
          </cell>
          <cell r="E258">
            <v>22.69</v>
          </cell>
          <cell r="F258">
            <v>88.93</v>
          </cell>
          <cell r="G258">
            <v>0</v>
          </cell>
        </row>
        <row r="259">
          <cell r="A259" t="str">
            <v>040302</v>
          </cell>
          <cell r="B259" t="str">
            <v>Sem uso de explosivo</v>
          </cell>
          <cell r="C259" t="str">
            <v>m3</v>
          </cell>
          <cell r="D259">
            <v>129.34</v>
          </cell>
          <cell r="E259">
            <v>0</v>
          </cell>
          <cell r="F259">
            <v>129.34</v>
          </cell>
          <cell r="G259">
            <v>0</v>
          </cell>
        </row>
        <row r="260">
          <cell r="A260" t="str">
            <v>0404</v>
          </cell>
          <cell r="B260" t="str">
            <v>DESMONTE DE ROCHA DURA, EM VALAS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</row>
        <row r="261">
          <cell r="A261" t="str">
            <v>040401</v>
          </cell>
          <cell r="B261" t="str">
            <v>Com uso de explosivo</v>
          </cell>
          <cell r="C261" t="str">
            <v>m3</v>
          </cell>
          <cell r="D261">
            <v>118.25</v>
          </cell>
          <cell r="E261">
            <v>32.96</v>
          </cell>
          <cell r="F261">
            <v>151.21</v>
          </cell>
          <cell r="G261">
            <v>0</v>
          </cell>
        </row>
        <row r="262">
          <cell r="A262" t="str">
            <v>040402</v>
          </cell>
          <cell r="B262" t="str">
            <v>Sem uso de explosivo</v>
          </cell>
          <cell r="C262" t="str">
            <v>m3</v>
          </cell>
          <cell r="D262">
            <v>202.1</v>
          </cell>
          <cell r="E262">
            <v>0</v>
          </cell>
          <cell r="F262">
            <v>202.1</v>
          </cell>
          <cell r="G262">
            <v>0</v>
          </cell>
        </row>
        <row r="263">
          <cell r="A263" t="str">
            <v>040403</v>
          </cell>
          <cell r="B263" t="str">
            <v>Com martelete hidráulico - manual</v>
          </cell>
          <cell r="C263" t="str">
            <v>m3</v>
          </cell>
          <cell r="D263">
            <v>202.1</v>
          </cell>
          <cell r="E263">
            <v>0</v>
          </cell>
          <cell r="F263">
            <v>202.1</v>
          </cell>
          <cell r="G263">
            <v>0</v>
          </cell>
        </row>
        <row r="264">
          <cell r="A264" t="str">
            <v>040404</v>
          </cell>
          <cell r="B264" t="str">
            <v>Com martelete hidráulico - escavadeira hidráulica</v>
          </cell>
          <cell r="C264" t="str">
            <v>m3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</row>
        <row r="265">
          <cell r="A265" t="str">
            <v>040405</v>
          </cell>
          <cell r="B265" t="str">
            <v>Com uso de argamassa expansiva</v>
          </cell>
          <cell r="C265" t="str">
            <v>m3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</row>
        <row r="266">
          <cell r="A266" t="str">
            <v>040406</v>
          </cell>
          <cell r="B266" t="str">
            <v>Pré-fissuramento</v>
          </cell>
          <cell r="C266" t="str">
            <v>m2</v>
          </cell>
          <cell r="D266">
            <v>8.74</v>
          </cell>
          <cell r="E266">
            <v>11.69</v>
          </cell>
          <cell r="F266">
            <v>20.43</v>
          </cell>
          <cell r="G266">
            <v>0</v>
          </cell>
        </row>
        <row r="267">
          <cell r="A267" t="str">
            <v>0405</v>
          </cell>
          <cell r="B267" t="str">
            <v>RETIRADA DE ROCHA DESMONTADA, EM VALAS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</row>
        <row r="268">
          <cell r="A268" t="str">
            <v>040501</v>
          </cell>
          <cell r="B268" t="str">
            <v>Manual prof. 0 m &lt; h &lt;= 1 m</v>
          </cell>
          <cell r="C268" t="str">
            <v>m3</v>
          </cell>
          <cell r="D268">
            <v>82.25</v>
          </cell>
          <cell r="E268">
            <v>0</v>
          </cell>
          <cell r="F268">
            <v>82.25</v>
          </cell>
          <cell r="G268">
            <v>0</v>
          </cell>
        </row>
        <row r="269">
          <cell r="A269" t="str">
            <v>040502</v>
          </cell>
          <cell r="B269" t="str">
            <v>Manual prof. 1 m &lt; h &lt;= 2 m</v>
          </cell>
          <cell r="C269" t="str">
            <v>m3</v>
          </cell>
          <cell r="D269">
            <v>90.48</v>
          </cell>
          <cell r="E269">
            <v>0</v>
          </cell>
          <cell r="F269">
            <v>90.48</v>
          </cell>
          <cell r="G269">
            <v>0</v>
          </cell>
        </row>
        <row r="270">
          <cell r="A270" t="str">
            <v>040503</v>
          </cell>
          <cell r="B270" t="str">
            <v>Manual prof. 2 m &lt; h &lt;= 3 m</v>
          </cell>
          <cell r="C270" t="str">
            <v>m3</v>
          </cell>
          <cell r="D270">
            <v>98.7</v>
          </cell>
          <cell r="E270">
            <v>0</v>
          </cell>
          <cell r="F270">
            <v>98.7</v>
          </cell>
          <cell r="G270">
            <v>0</v>
          </cell>
        </row>
        <row r="271">
          <cell r="A271" t="str">
            <v>040504</v>
          </cell>
          <cell r="B271" t="str">
            <v>Manual prof. 3 m &lt; h &lt;= 4 m</v>
          </cell>
          <cell r="C271" t="str">
            <v>m3</v>
          </cell>
          <cell r="D271">
            <v>106.93</v>
          </cell>
          <cell r="E271">
            <v>0</v>
          </cell>
          <cell r="F271">
            <v>106.93</v>
          </cell>
          <cell r="G271">
            <v>0</v>
          </cell>
        </row>
        <row r="272">
          <cell r="A272" t="str">
            <v>040505</v>
          </cell>
          <cell r="B272" t="str">
            <v>Mecânica prof. 0 m &lt; h &lt;= 2 m</v>
          </cell>
          <cell r="C272" t="str">
            <v>m3</v>
          </cell>
          <cell r="D272">
            <v>35.4</v>
          </cell>
          <cell r="E272">
            <v>0</v>
          </cell>
          <cell r="F272">
            <v>35.4</v>
          </cell>
          <cell r="G272">
            <v>0</v>
          </cell>
        </row>
        <row r="273">
          <cell r="A273" t="str">
            <v>040506</v>
          </cell>
          <cell r="B273" t="str">
            <v>Mecânica prof. 0 m &lt; h &lt;= 4 m</v>
          </cell>
          <cell r="C273" t="str">
            <v>m3</v>
          </cell>
          <cell r="D273">
            <v>38.909999999999997</v>
          </cell>
          <cell r="E273">
            <v>0</v>
          </cell>
          <cell r="F273">
            <v>38.909999999999997</v>
          </cell>
          <cell r="G273">
            <v>0</v>
          </cell>
        </row>
        <row r="274">
          <cell r="A274" t="str">
            <v>040507</v>
          </cell>
          <cell r="B274" t="str">
            <v>Mecânica prof. 0 m &lt; h &lt;= 6 m</v>
          </cell>
          <cell r="C274" t="str">
            <v>m3</v>
          </cell>
          <cell r="D274">
            <v>37.36</v>
          </cell>
          <cell r="E274">
            <v>0</v>
          </cell>
          <cell r="F274">
            <v>37.36</v>
          </cell>
          <cell r="G274">
            <v>0</v>
          </cell>
        </row>
        <row r="275">
          <cell r="A275" t="str">
            <v>040508</v>
          </cell>
          <cell r="B275" t="str">
            <v>Mecânica prof. 0 m &lt; h &lt;= 8 m</v>
          </cell>
          <cell r="C275" t="str">
            <v>m3</v>
          </cell>
          <cell r="D275">
            <v>40.520000000000003</v>
          </cell>
          <cell r="E275">
            <v>0</v>
          </cell>
          <cell r="F275">
            <v>40.520000000000003</v>
          </cell>
          <cell r="G275">
            <v>0</v>
          </cell>
        </row>
        <row r="276">
          <cell r="A276" t="str">
            <v>0406</v>
          </cell>
          <cell r="B276" t="str">
            <v>ESCAVAÇÃO MANUAL, NÃO EM VALAS, EM QUALQUER TIPO DE SOLO, EXCETO ROCHA</v>
          </cell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</row>
        <row r="277">
          <cell r="A277" t="str">
            <v>040601</v>
          </cell>
          <cell r="B277" t="str">
            <v>Profundidade 0 m &lt; h &lt;= 1 m</v>
          </cell>
          <cell r="C277" t="str">
            <v>m3</v>
          </cell>
          <cell r="D277">
            <v>31.26</v>
          </cell>
          <cell r="E277">
            <v>0</v>
          </cell>
          <cell r="F277">
            <v>31.26</v>
          </cell>
          <cell r="G277">
            <v>79478</v>
          </cell>
        </row>
        <row r="278">
          <cell r="A278" t="str">
            <v>040602</v>
          </cell>
          <cell r="B278" t="str">
            <v>Profundidade 1 m &lt; h &lt;= 2 m</v>
          </cell>
          <cell r="C278" t="str">
            <v>m3</v>
          </cell>
          <cell r="D278">
            <v>39.479999999999997</v>
          </cell>
          <cell r="E278">
            <v>0</v>
          </cell>
          <cell r="F278">
            <v>39.479999999999997</v>
          </cell>
          <cell r="G278">
            <v>79478</v>
          </cell>
        </row>
        <row r="279">
          <cell r="A279" t="str">
            <v>040603</v>
          </cell>
          <cell r="B279" t="str">
            <v>Profundidade 2 m &lt; h &lt;= 3 m</v>
          </cell>
          <cell r="C279" t="str">
            <v>m3</v>
          </cell>
          <cell r="D279">
            <v>44.42</v>
          </cell>
          <cell r="E279">
            <v>0</v>
          </cell>
          <cell r="F279">
            <v>44.42</v>
          </cell>
          <cell r="G279">
            <v>79479</v>
          </cell>
        </row>
        <row r="280">
          <cell r="A280" t="str">
            <v>040604</v>
          </cell>
          <cell r="B280" t="str">
            <v>Profundidade 3 m &lt; h &lt;= 4 m</v>
          </cell>
          <cell r="C280" t="str">
            <v>m3</v>
          </cell>
          <cell r="D280">
            <v>47.71</v>
          </cell>
          <cell r="E280">
            <v>0</v>
          </cell>
          <cell r="F280">
            <v>47.71</v>
          </cell>
          <cell r="G280">
            <v>79479</v>
          </cell>
        </row>
        <row r="281">
          <cell r="A281" t="str">
            <v>0407</v>
          </cell>
          <cell r="B281" t="str">
            <v>ESCAVAÇÃO MECÂNICA, NÃO EM VALAS, EM QUALQUER TIPO DE SOLO, EXCETO ROCHA</v>
          </cell>
          <cell r="C281">
            <v>0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</row>
        <row r="282">
          <cell r="A282" t="str">
            <v>040701</v>
          </cell>
          <cell r="B282" t="str">
            <v>Profundidade 0 m &lt; h &lt;= 2 m</v>
          </cell>
          <cell r="C282" t="str">
            <v>m3</v>
          </cell>
          <cell r="D282">
            <v>7.1</v>
          </cell>
          <cell r="E282">
            <v>0</v>
          </cell>
          <cell r="F282">
            <v>7.1</v>
          </cell>
          <cell r="G282">
            <v>79480</v>
          </cell>
        </row>
        <row r="283">
          <cell r="A283" t="str">
            <v>040702</v>
          </cell>
          <cell r="B283" t="str">
            <v>Profundidade 0 m &lt; h &lt;= 4 m</v>
          </cell>
          <cell r="C283" t="str">
            <v>m3</v>
          </cell>
          <cell r="D283">
            <v>2.2400000000000002</v>
          </cell>
          <cell r="E283">
            <v>0</v>
          </cell>
          <cell r="F283">
            <v>2.2400000000000002</v>
          </cell>
          <cell r="G283">
            <v>83338</v>
          </cell>
        </row>
        <row r="284">
          <cell r="A284" t="str">
            <v>040703</v>
          </cell>
          <cell r="B284" t="str">
            <v>Profundidade 0 m &lt; h &lt;= 6 m</v>
          </cell>
          <cell r="C284" t="str">
            <v>m3</v>
          </cell>
          <cell r="D284">
            <v>6.62</v>
          </cell>
          <cell r="E284">
            <v>0</v>
          </cell>
          <cell r="F284">
            <v>6.62</v>
          </cell>
          <cell r="G284">
            <v>0</v>
          </cell>
        </row>
        <row r="285">
          <cell r="A285" t="str">
            <v>040704</v>
          </cell>
          <cell r="B285" t="str">
            <v>Profundidade 0 m &lt; h &lt;= 8 m</v>
          </cell>
          <cell r="C285" t="str">
            <v>m3</v>
          </cell>
          <cell r="D285">
            <v>7.55</v>
          </cell>
          <cell r="E285">
            <v>0</v>
          </cell>
          <cell r="F285">
            <v>7.55</v>
          </cell>
          <cell r="G285">
            <v>0</v>
          </cell>
        </row>
        <row r="286">
          <cell r="A286" t="str">
            <v>0408</v>
          </cell>
          <cell r="B286" t="str">
            <v>DESMONTE DE ROCHA BRANDA, NÃO EM VALAS</v>
          </cell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</row>
        <row r="287">
          <cell r="A287" t="str">
            <v>040801</v>
          </cell>
          <cell r="B287" t="str">
            <v>Com uso de explosivo</v>
          </cell>
          <cell r="C287" t="str">
            <v>m3</v>
          </cell>
          <cell r="D287">
            <v>45.93</v>
          </cell>
          <cell r="E287">
            <v>22.69</v>
          </cell>
          <cell r="F287">
            <v>68.62</v>
          </cell>
          <cell r="G287">
            <v>0</v>
          </cell>
        </row>
        <row r="288">
          <cell r="A288" t="str">
            <v>040802</v>
          </cell>
          <cell r="B288" t="str">
            <v>Sem uso de explosivo</v>
          </cell>
          <cell r="C288" t="str">
            <v>m3</v>
          </cell>
          <cell r="D288">
            <v>113.18</v>
          </cell>
          <cell r="E288">
            <v>0</v>
          </cell>
          <cell r="F288">
            <v>113.18</v>
          </cell>
          <cell r="G288">
            <v>0</v>
          </cell>
        </row>
        <row r="289">
          <cell r="A289" t="str">
            <v>0409</v>
          </cell>
          <cell r="B289" t="str">
            <v>DESMONTE DE ROCHA DURA, NÃO EM VALAS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</row>
        <row r="290">
          <cell r="A290" t="str">
            <v>040901</v>
          </cell>
          <cell r="B290" t="str">
            <v>Com uso de explosivo</v>
          </cell>
          <cell r="C290" t="str">
            <v>m3</v>
          </cell>
          <cell r="D290">
            <v>81.489999999999995</v>
          </cell>
          <cell r="E290">
            <v>32.96</v>
          </cell>
          <cell r="F290">
            <v>114.45</v>
          </cell>
          <cell r="G290">
            <v>0</v>
          </cell>
        </row>
        <row r="291">
          <cell r="A291" t="str">
            <v>040902</v>
          </cell>
          <cell r="B291" t="str">
            <v>Sem uso de explosivo</v>
          </cell>
          <cell r="C291" t="str">
            <v>m3</v>
          </cell>
          <cell r="D291">
            <v>161.68</v>
          </cell>
          <cell r="E291">
            <v>0</v>
          </cell>
          <cell r="F291">
            <v>161.68</v>
          </cell>
          <cell r="G291">
            <v>0</v>
          </cell>
        </row>
        <row r="292">
          <cell r="A292" t="str">
            <v>0410</v>
          </cell>
          <cell r="B292" t="str">
            <v>RETIRADA DE ROCHA DESMONTADA, NÃO EM VALAS</v>
          </cell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</row>
        <row r="293">
          <cell r="A293" t="str">
            <v>041001</v>
          </cell>
          <cell r="B293" t="str">
            <v>Manual prof. 0 m &lt; h &lt;= 1 m</v>
          </cell>
          <cell r="C293" t="str">
            <v>m3</v>
          </cell>
          <cell r="D293">
            <v>74.03</v>
          </cell>
          <cell r="E293">
            <v>0</v>
          </cell>
          <cell r="F293">
            <v>74.03</v>
          </cell>
          <cell r="G293">
            <v>0</v>
          </cell>
        </row>
        <row r="294">
          <cell r="A294" t="str">
            <v>041002</v>
          </cell>
          <cell r="B294" t="str">
            <v>Manual prof. 1 m &lt; h &lt;= 2 m</v>
          </cell>
          <cell r="C294" t="str">
            <v>m3</v>
          </cell>
          <cell r="D294">
            <v>82.25</v>
          </cell>
          <cell r="E294">
            <v>0</v>
          </cell>
          <cell r="F294">
            <v>82.25</v>
          </cell>
          <cell r="G294">
            <v>0</v>
          </cell>
        </row>
        <row r="295">
          <cell r="A295" t="str">
            <v>041003</v>
          </cell>
          <cell r="B295" t="str">
            <v>Manual prof. 2 m &lt; h &lt;= 3 m</v>
          </cell>
          <cell r="C295" t="str">
            <v>m3</v>
          </cell>
          <cell r="D295">
            <v>90.48</v>
          </cell>
          <cell r="E295">
            <v>0</v>
          </cell>
          <cell r="F295">
            <v>90.48</v>
          </cell>
          <cell r="G295">
            <v>0</v>
          </cell>
        </row>
        <row r="296">
          <cell r="A296" t="str">
            <v>041004</v>
          </cell>
          <cell r="B296" t="str">
            <v>Manual prof. 3 m &lt; h &lt;= 4 m</v>
          </cell>
          <cell r="C296" t="str">
            <v>m3</v>
          </cell>
          <cell r="D296">
            <v>98.7</v>
          </cell>
          <cell r="E296">
            <v>0</v>
          </cell>
          <cell r="F296">
            <v>98.7</v>
          </cell>
          <cell r="G296">
            <v>0</v>
          </cell>
        </row>
        <row r="297">
          <cell r="A297" t="str">
            <v>041005</v>
          </cell>
          <cell r="B297" t="str">
            <v>Mecânica prof. 0 m &lt; h &lt;= 2 m</v>
          </cell>
          <cell r="C297" t="str">
            <v>m3</v>
          </cell>
          <cell r="D297">
            <v>25.97</v>
          </cell>
          <cell r="E297">
            <v>0</v>
          </cell>
          <cell r="F297">
            <v>25.97</v>
          </cell>
          <cell r="G297">
            <v>0</v>
          </cell>
        </row>
        <row r="298">
          <cell r="A298" t="str">
            <v>041006</v>
          </cell>
          <cell r="B298" t="str">
            <v>Mecânica prof. 0 m &lt; h &lt;= 4 m</v>
          </cell>
          <cell r="C298" t="str">
            <v>m3</v>
          </cell>
          <cell r="D298">
            <v>27.17</v>
          </cell>
          <cell r="E298">
            <v>0</v>
          </cell>
          <cell r="F298">
            <v>27.17</v>
          </cell>
          <cell r="G298">
            <v>0</v>
          </cell>
        </row>
        <row r="299">
          <cell r="A299" t="str">
            <v>041007</v>
          </cell>
          <cell r="B299" t="str">
            <v>Mecânica prof. 0 m &lt; h &lt;= 6 m</v>
          </cell>
          <cell r="C299" t="str">
            <v>m3</v>
          </cell>
          <cell r="D299">
            <v>27.01</v>
          </cell>
          <cell r="E299">
            <v>0</v>
          </cell>
          <cell r="F299">
            <v>27.01</v>
          </cell>
          <cell r="G299">
            <v>0</v>
          </cell>
        </row>
        <row r="300">
          <cell r="A300" t="str">
            <v>041008</v>
          </cell>
          <cell r="B300" t="str">
            <v>Mecânica prof. 0 m &lt; h &lt;= 8 m</v>
          </cell>
          <cell r="C300" t="str">
            <v>m3</v>
          </cell>
          <cell r="D300">
            <v>29.13</v>
          </cell>
          <cell r="E300">
            <v>0</v>
          </cell>
          <cell r="F300">
            <v>29.13</v>
          </cell>
          <cell r="G300">
            <v>0</v>
          </cell>
        </row>
        <row r="301">
          <cell r="A301" t="str">
            <v>0411</v>
          </cell>
          <cell r="B301" t="str">
            <v>RETIRADA MECÂNICA DE SOLO LAMACENTO</v>
          </cell>
          <cell r="C301">
            <v>0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</row>
        <row r="302">
          <cell r="A302" t="str">
            <v>041101</v>
          </cell>
          <cell r="B302" t="str">
            <v>Retirada mecânica de solo lamacento</v>
          </cell>
          <cell r="C302" t="str">
            <v>m3</v>
          </cell>
          <cell r="D302">
            <v>5.25</v>
          </cell>
          <cell r="E302">
            <v>0</v>
          </cell>
          <cell r="F302">
            <v>5.25</v>
          </cell>
          <cell r="G302">
            <v>0</v>
          </cell>
        </row>
        <row r="303">
          <cell r="A303" t="str">
            <v>0412</v>
          </cell>
          <cell r="B303" t="str">
            <v>CONFORMAÇÃO DE TALUDES</v>
          </cell>
          <cell r="C303">
            <v>0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</row>
        <row r="304">
          <cell r="A304" t="str">
            <v>041201</v>
          </cell>
          <cell r="B304" t="str">
            <v>Conformação de taludes</v>
          </cell>
          <cell r="C304" t="str">
            <v>m2</v>
          </cell>
          <cell r="D304">
            <v>9.8699999999999992</v>
          </cell>
          <cell r="E304">
            <v>0</v>
          </cell>
          <cell r="F304">
            <v>9.8699999999999992</v>
          </cell>
          <cell r="G304">
            <v>83336</v>
          </cell>
        </row>
        <row r="305">
          <cell r="A305" t="str">
            <v>0413</v>
          </cell>
          <cell r="B305" t="str">
            <v>ATERRO/REATERRO EM VALAS E CAVAS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</row>
        <row r="306">
          <cell r="A306" t="str">
            <v>041301</v>
          </cell>
          <cell r="B306" t="str">
            <v>Manual</v>
          </cell>
          <cell r="C306" t="str">
            <v>m3</v>
          </cell>
          <cell r="D306">
            <v>7.4</v>
          </cell>
          <cell r="E306">
            <v>0</v>
          </cell>
          <cell r="F306">
            <v>7.4</v>
          </cell>
          <cell r="G306">
            <v>0</v>
          </cell>
        </row>
        <row r="307">
          <cell r="A307" t="str">
            <v>041302</v>
          </cell>
          <cell r="B307" t="str">
            <v>Mecânico</v>
          </cell>
          <cell r="C307" t="str">
            <v>m3</v>
          </cell>
          <cell r="D307">
            <v>1.32</v>
          </cell>
          <cell r="E307">
            <v>0</v>
          </cell>
          <cell r="F307">
            <v>1.32</v>
          </cell>
          <cell r="G307">
            <v>0</v>
          </cell>
        </row>
        <row r="308">
          <cell r="A308" t="str">
            <v>0414</v>
          </cell>
          <cell r="B308" t="str">
            <v>COMPACTAÇÃO EM VALAS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</row>
        <row r="309">
          <cell r="A309" t="str">
            <v>041401</v>
          </cell>
          <cell r="B309" t="str">
            <v>Manual</v>
          </cell>
          <cell r="C309" t="str">
            <v>m3</v>
          </cell>
          <cell r="D309">
            <v>20.56</v>
          </cell>
          <cell r="E309">
            <v>0</v>
          </cell>
          <cell r="F309">
            <v>20.56</v>
          </cell>
          <cell r="G309">
            <v>0</v>
          </cell>
        </row>
        <row r="310">
          <cell r="A310" t="str">
            <v>041402</v>
          </cell>
          <cell r="B310" t="str">
            <v>Mecânica</v>
          </cell>
          <cell r="C310" t="str">
            <v>m3</v>
          </cell>
          <cell r="D310">
            <v>4.05</v>
          </cell>
          <cell r="E310">
            <v>0</v>
          </cell>
          <cell r="F310">
            <v>4.05</v>
          </cell>
          <cell r="G310">
            <v>0</v>
          </cell>
        </row>
        <row r="311">
          <cell r="A311" t="str">
            <v>0415</v>
          </cell>
          <cell r="B311" t="str">
            <v>COMPACTAÇÃO NÃO EM VALAS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</row>
        <row r="312">
          <cell r="A312" t="str">
            <v>041501</v>
          </cell>
          <cell r="B312" t="str">
            <v>Sem controle do GC</v>
          </cell>
          <cell r="C312" t="str">
            <v>m3</v>
          </cell>
          <cell r="D312">
            <v>5.0599999999999996</v>
          </cell>
          <cell r="E312">
            <v>0</v>
          </cell>
          <cell r="F312">
            <v>5.0599999999999996</v>
          </cell>
          <cell r="G312" t="str">
            <v>74005/001</v>
          </cell>
        </row>
        <row r="313">
          <cell r="A313" t="str">
            <v>041502</v>
          </cell>
          <cell r="B313" t="str">
            <v>Com controle do GC - 95% PN</v>
          </cell>
          <cell r="C313" t="str">
            <v>m3</v>
          </cell>
          <cell r="D313">
            <v>4.9400000000000004</v>
          </cell>
          <cell r="E313">
            <v>0</v>
          </cell>
          <cell r="F313">
            <v>4.9400000000000004</v>
          </cell>
          <cell r="G313" t="str">
            <v>74005/002</v>
          </cell>
        </row>
        <row r="314">
          <cell r="A314" t="str">
            <v>041503</v>
          </cell>
          <cell r="B314" t="str">
            <v>Com controle do GC - 100% PN</v>
          </cell>
          <cell r="C314" t="str">
            <v>m3</v>
          </cell>
          <cell r="D314">
            <v>4.16</v>
          </cell>
          <cell r="E314">
            <v>0</v>
          </cell>
          <cell r="F314">
            <v>4.16</v>
          </cell>
          <cell r="G314">
            <v>41722</v>
          </cell>
        </row>
        <row r="315">
          <cell r="A315" t="str">
            <v>0416</v>
          </cell>
          <cell r="B315" t="str">
            <v>JAZIDA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</row>
        <row r="316">
          <cell r="A316" t="str">
            <v>041601</v>
          </cell>
          <cell r="B316" t="str">
            <v>Escavação de material em jazidas</v>
          </cell>
          <cell r="C316" t="str">
            <v>m3</v>
          </cell>
          <cell r="D316">
            <v>0</v>
          </cell>
          <cell r="E316">
            <v>4.96</v>
          </cell>
          <cell r="F316">
            <v>4.96</v>
          </cell>
          <cell r="G316" t="str">
            <v>74151/001</v>
          </cell>
        </row>
        <row r="317">
          <cell r="A317" t="str">
            <v>0417</v>
          </cell>
          <cell r="B317" t="str">
            <v>CORTE E ATERRO COMPENSADO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</row>
        <row r="318">
          <cell r="A318" t="str">
            <v>041701</v>
          </cell>
          <cell r="B318" t="str">
            <v>Corte e aterro compensado</v>
          </cell>
          <cell r="C318" t="str">
            <v>m3</v>
          </cell>
          <cell r="D318">
            <v>3.63</v>
          </cell>
          <cell r="E318">
            <v>0</v>
          </cell>
          <cell r="F318">
            <v>3.63</v>
          </cell>
          <cell r="G318">
            <v>79473</v>
          </cell>
        </row>
        <row r="319">
          <cell r="A319" t="str">
            <v>0418</v>
          </cell>
          <cell r="B319" t="str">
            <v>CARGA E DESCARGA DE SOLOS</v>
          </cell>
          <cell r="C319">
            <v>0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</row>
        <row r="320">
          <cell r="A320" t="str">
            <v>041801</v>
          </cell>
          <cell r="B320" t="str">
            <v>Qualquer tipo de solo exceto rocha</v>
          </cell>
          <cell r="C320" t="str">
            <v>m3</v>
          </cell>
          <cell r="D320">
            <v>1.85</v>
          </cell>
          <cell r="E320">
            <v>0</v>
          </cell>
          <cell r="F320">
            <v>1.85</v>
          </cell>
          <cell r="G320" t="str">
            <v>74010/001</v>
          </cell>
        </row>
        <row r="321">
          <cell r="A321" t="str">
            <v>041802</v>
          </cell>
          <cell r="B321" t="str">
            <v>Rocha</v>
          </cell>
          <cell r="C321" t="str">
            <v>m3</v>
          </cell>
          <cell r="D321">
            <v>2.23</v>
          </cell>
          <cell r="E321">
            <v>0</v>
          </cell>
          <cell r="F321">
            <v>2.23</v>
          </cell>
          <cell r="G321">
            <v>0</v>
          </cell>
        </row>
        <row r="322">
          <cell r="A322" t="str">
            <v>0419</v>
          </cell>
          <cell r="B322" t="str">
            <v>TRANSPORTE DE SOLOS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</row>
        <row r="323">
          <cell r="A323" t="str">
            <v>041901</v>
          </cell>
          <cell r="B323" t="str">
            <v>Qualquer tipo de solo, exceto rocha, em rodovia ou rua</v>
          </cell>
          <cell r="C323" t="str">
            <v>m3xkm</v>
          </cell>
          <cell r="D323">
            <v>1</v>
          </cell>
          <cell r="E323">
            <v>0</v>
          </cell>
          <cell r="F323">
            <v>1</v>
          </cell>
          <cell r="G323">
            <v>72887</v>
          </cell>
        </row>
        <row r="324">
          <cell r="A324" t="str">
            <v>041902</v>
          </cell>
          <cell r="B324" t="str">
            <v>Qualquer tipo de solo, exceto rocha, em caminho de serviço</v>
          </cell>
          <cell r="C324" t="str">
            <v>m3xkm</v>
          </cell>
          <cell r="D324">
            <v>2.62</v>
          </cell>
          <cell r="E324">
            <v>0</v>
          </cell>
          <cell r="F324">
            <v>2.62</v>
          </cell>
          <cell r="G324">
            <v>72885</v>
          </cell>
        </row>
        <row r="325">
          <cell r="A325" t="str">
            <v>041903</v>
          </cell>
          <cell r="B325" t="str">
            <v>Rocha em rodovia ou rua</v>
          </cell>
          <cell r="C325" t="str">
            <v>m3xkm</v>
          </cell>
          <cell r="D325">
            <v>1.19</v>
          </cell>
          <cell r="E325">
            <v>0</v>
          </cell>
          <cell r="F325">
            <v>1.19</v>
          </cell>
          <cell r="G325">
            <v>72887</v>
          </cell>
        </row>
        <row r="326">
          <cell r="A326" t="str">
            <v>041904</v>
          </cell>
          <cell r="B326" t="str">
            <v>Rocha em caminho de serviço</v>
          </cell>
          <cell r="C326" t="str">
            <v>m3xkm</v>
          </cell>
          <cell r="D326">
            <v>3.15</v>
          </cell>
          <cell r="E326">
            <v>0</v>
          </cell>
          <cell r="F326">
            <v>3.15</v>
          </cell>
          <cell r="G326">
            <v>72885</v>
          </cell>
        </row>
        <row r="327">
          <cell r="A327" t="str">
            <v>0420</v>
          </cell>
          <cell r="B327" t="str">
            <v>PROTEÇÃO PARA DESMONTE COM USO DE EXPLOSIVO</v>
          </cell>
          <cell r="C327">
            <v>0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</row>
        <row r="328">
          <cell r="A328" t="str">
            <v>042001</v>
          </cell>
          <cell r="B328" t="str">
            <v>Com rede metálica simples 1/2"</v>
          </cell>
          <cell r="C328" t="str">
            <v>m2</v>
          </cell>
          <cell r="D328">
            <v>2.67</v>
          </cell>
          <cell r="E328">
            <v>6.79</v>
          </cell>
          <cell r="F328">
            <v>9.4600000000000009</v>
          </cell>
          <cell r="G328">
            <v>0</v>
          </cell>
        </row>
        <row r="329">
          <cell r="A329" t="str">
            <v>042002</v>
          </cell>
          <cell r="B329" t="str">
            <v>Com rede metálica simples 5/8"</v>
          </cell>
          <cell r="C329" t="str">
            <v>m2</v>
          </cell>
          <cell r="D329">
            <v>3.17</v>
          </cell>
          <cell r="E329">
            <v>6.65</v>
          </cell>
          <cell r="F329">
            <v>9.82</v>
          </cell>
          <cell r="G329">
            <v>0</v>
          </cell>
        </row>
        <row r="330">
          <cell r="A330" t="str">
            <v>042003</v>
          </cell>
          <cell r="B330" t="str">
            <v>Com rede metálica dupla</v>
          </cell>
          <cell r="C330" t="str">
            <v>m2</v>
          </cell>
          <cell r="D330">
            <v>5.85</v>
          </cell>
          <cell r="E330">
            <v>13.38</v>
          </cell>
          <cell r="F330">
            <v>19.23</v>
          </cell>
          <cell r="G330">
            <v>0</v>
          </cell>
        </row>
        <row r="331">
          <cell r="A331" t="str">
            <v>042004</v>
          </cell>
          <cell r="B331" t="str">
            <v>Com terra</v>
          </cell>
          <cell r="C331" t="str">
            <v>m3</v>
          </cell>
          <cell r="D331">
            <v>27.97</v>
          </cell>
          <cell r="E331">
            <v>0</v>
          </cell>
          <cell r="F331">
            <v>27.97</v>
          </cell>
          <cell r="G331">
            <v>0</v>
          </cell>
        </row>
        <row r="332">
          <cell r="A332" t="str">
            <v>0421</v>
          </cell>
          <cell r="B332" t="str">
            <v>TRANSPORTE DE EXPLOSIVOS E ACESSÓRIOS</v>
          </cell>
          <cell r="C332">
            <v>0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</row>
        <row r="333">
          <cell r="A333" t="str">
            <v>042101</v>
          </cell>
          <cell r="B333" t="str">
            <v>Transporte de explosivos e acessórios</v>
          </cell>
          <cell r="C333" t="str">
            <v>ud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</row>
        <row r="334">
          <cell r="A334" t="str">
            <v>0422</v>
          </cell>
          <cell r="B334" t="str">
            <v>CONTROLE TECNOLÓGICO DE SOLOS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</row>
        <row r="335">
          <cell r="A335" t="str">
            <v>042201</v>
          </cell>
          <cell r="B335" t="str">
            <v>Ensaio de compactação</v>
          </cell>
          <cell r="C335" t="str">
            <v>ud</v>
          </cell>
          <cell r="D335">
            <v>177.18</v>
          </cell>
          <cell r="E335">
            <v>0</v>
          </cell>
          <cell r="F335">
            <v>177.18</v>
          </cell>
          <cell r="G335">
            <v>0</v>
          </cell>
        </row>
        <row r="336">
          <cell r="A336" t="str">
            <v>042202</v>
          </cell>
          <cell r="B336" t="str">
            <v>Ensaio de umidade e peso específico seco em campo</v>
          </cell>
          <cell r="C336" t="str">
            <v>ud</v>
          </cell>
          <cell r="D336">
            <v>53.15</v>
          </cell>
          <cell r="E336">
            <v>0</v>
          </cell>
          <cell r="F336">
            <v>53.15</v>
          </cell>
          <cell r="G336">
            <v>0</v>
          </cell>
        </row>
        <row r="337">
          <cell r="A337" t="str">
            <v>042203</v>
          </cell>
          <cell r="B337" t="str">
            <v>Ensaio de massa específica aparente</v>
          </cell>
          <cell r="C337" t="str">
            <v>ud</v>
          </cell>
          <cell r="D337">
            <v>70.87</v>
          </cell>
          <cell r="E337">
            <v>0</v>
          </cell>
          <cell r="F337">
            <v>70.87</v>
          </cell>
          <cell r="G337">
            <v>0</v>
          </cell>
        </row>
        <row r="338">
          <cell r="A338" t="str">
            <v>042204</v>
          </cell>
          <cell r="B338" t="str">
            <v>Ensaio de granulometria</v>
          </cell>
          <cell r="C338" t="str">
            <v>ud</v>
          </cell>
          <cell r="D338">
            <v>168.32</v>
          </cell>
          <cell r="E338">
            <v>0</v>
          </cell>
          <cell r="F338">
            <v>168.32</v>
          </cell>
          <cell r="G338">
            <v>0</v>
          </cell>
        </row>
        <row r="339">
          <cell r="A339" t="str">
            <v>042205</v>
          </cell>
          <cell r="B339" t="str">
            <v>Ensaio de limite de liquidez</v>
          </cell>
          <cell r="C339" t="str">
            <v>ud</v>
          </cell>
          <cell r="D339">
            <v>88.59</v>
          </cell>
          <cell r="E339">
            <v>0</v>
          </cell>
          <cell r="F339">
            <v>88.59</v>
          </cell>
          <cell r="G339">
            <v>0</v>
          </cell>
        </row>
        <row r="340">
          <cell r="A340" t="str">
            <v>042206</v>
          </cell>
          <cell r="B340" t="str">
            <v>Ensaio de limite de plasticidade</v>
          </cell>
          <cell r="C340" t="str">
            <v>ud</v>
          </cell>
          <cell r="D340">
            <v>79.73</v>
          </cell>
          <cell r="E340">
            <v>0</v>
          </cell>
          <cell r="F340">
            <v>79.73</v>
          </cell>
          <cell r="G340">
            <v>0</v>
          </cell>
        </row>
        <row r="341">
          <cell r="A341" t="str">
            <v>042207</v>
          </cell>
          <cell r="B341" t="str">
            <v>Prova de carga em placa</v>
          </cell>
          <cell r="C341" t="str">
            <v>ud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</row>
        <row r="342">
          <cell r="A342" t="str">
            <v>05</v>
          </cell>
          <cell r="B342" t="str">
            <v>ESCORAMENTO</v>
          </cell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</row>
        <row r="343">
          <cell r="A343" t="str">
            <v>0501</v>
          </cell>
          <cell r="B343" t="str">
            <v>ESCORAMENTO DE MADEIRA</v>
          </cell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</row>
        <row r="344">
          <cell r="A344" t="str">
            <v>050101</v>
          </cell>
          <cell r="B344" t="str">
            <v>Pontalete</v>
          </cell>
          <cell r="C344" t="str">
            <v>m2</v>
          </cell>
          <cell r="D344">
            <v>13.63</v>
          </cell>
          <cell r="E344">
            <v>1.18</v>
          </cell>
          <cell r="F344">
            <v>14.81</v>
          </cell>
          <cell r="G344">
            <v>94043</v>
          </cell>
        </row>
        <row r="345">
          <cell r="A345" t="str">
            <v>050102</v>
          </cell>
          <cell r="B345" t="str">
            <v>Descontínuo</v>
          </cell>
          <cell r="C345" t="str">
            <v>m2</v>
          </cell>
          <cell r="D345">
            <v>22.37</v>
          </cell>
          <cell r="E345">
            <v>0.69</v>
          </cell>
          <cell r="F345">
            <v>23.06</v>
          </cell>
          <cell r="G345">
            <v>94055</v>
          </cell>
        </row>
        <row r="346">
          <cell r="A346" t="str">
            <v>050103</v>
          </cell>
          <cell r="B346" t="str">
            <v>Contínuo</v>
          </cell>
          <cell r="C346" t="str">
            <v>m2</v>
          </cell>
          <cell r="D346">
            <v>38.49</v>
          </cell>
          <cell r="E346">
            <v>1.88</v>
          </cell>
          <cell r="F346">
            <v>40.369999999999997</v>
          </cell>
          <cell r="G346">
            <v>0</v>
          </cell>
        </row>
        <row r="347">
          <cell r="A347" t="str">
            <v>0502</v>
          </cell>
          <cell r="B347" t="str">
            <v>ESCORAMENTO METÁLICO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</row>
        <row r="348">
          <cell r="A348" t="str">
            <v>050201</v>
          </cell>
          <cell r="B348" t="str">
            <v>Pontalete metálico</v>
          </cell>
          <cell r="C348" t="str">
            <v>m2</v>
          </cell>
          <cell r="D348">
            <v>8.18</v>
          </cell>
          <cell r="E348">
            <v>0.27</v>
          </cell>
          <cell r="F348">
            <v>8.4499999999999993</v>
          </cell>
          <cell r="G348">
            <v>0</v>
          </cell>
        </row>
        <row r="349">
          <cell r="A349" t="str">
            <v>050202</v>
          </cell>
          <cell r="B349" t="str">
            <v>Contínuo com chapa metálica</v>
          </cell>
          <cell r="C349" t="str">
            <v>m2</v>
          </cell>
          <cell r="D349">
            <v>2</v>
          </cell>
          <cell r="E349">
            <v>1.88</v>
          </cell>
          <cell r="F349">
            <v>3.88</v>
          </cell>
          <cell r="G349">
            <v>0</v>
          </cell>
        </row>
        <row r="350">
          <cell r="A350" t="str">
            <v>050203</v>
          </cell>
          <cell r="B350" t="str">
            <v>Contínuo com chapa e perfis metálicos</v>
          </cell>
          <cell r="C350" t="str">
            <v>m2</v>
          </cell>
          <cell r="D350">
            <v>4.24</v>
          </cell>
          <cell r="E350">
            <v>5.41</v>
          </cell>
          <cell r="F350">
            <v>9.65</v>
          </cell>
          <cell r="G350">
            <v>0</v>
          </cell>
        </row>
        <row r="351">
          <cell r="A351" t="str">
            <v>0503</v>
          </cell>
          <cell r="B351" t="str">
            <v>ESCORAMENTO MISTO</v>
          </cell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</row>
        <row r="352">
          <cell r="A352" t="str">
            <v>050301</v>
          </cell>
          <cell r="B352" t="str">
            <v>Tipo hamburguês</v>
          </cell>
          <cell r="C352" t="str">
            <v>m2</v>
          </cell>
          <cell r="D352">
            <v>134.15</v>
          </cell>
          <cell r="E352">
            <v>10.1</v>
          </cell>
          <cell r="F352">
            <v>144.25</v>
          </cell>
          <cell r="G352">
            <v>83770</v>
          </cell>
        </row>
        <row r="353">
          <cell r="A353" t="str">
            <v>0504</v>
          </cell>
          <cell r="B353" t="str">
            <v>ESCORAMENTO METÁLICO TIPO CAIXA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</row>
        <row r="354">
          <cell r="A354" t="str">
            <v>050401</v>
          </cell>
          <cell r="B354" t="str">
            <v>Com chapa metálica - largura &lt;= 1,50 m</v>
          </cell>
          <cell r="C354" t="str">
            <v>m2</v>
          </cell>
          <cell r="D354">
            <v>4.42</v>
          </cell>
          <cell r="E354">
            <v>1.78</v>
          </cell>
          <cell r="F354">
            <v>6.2</v>
          </cell>
          <cell r="G354">
            <v>0</v>
          </cell>
        </row>
        <row r="355">
          <cell r="A355" t="str">
            <v>050402</v>
          </cell>
          <cell r="B355" t="str">
            <v>Com chapa metálica - 1,50 m &lt; largura &lt;= 2,00 m</v>
          </cell>
          <cell r="C355" t="str">
            <v>m2</v>
          </cell>
          <cell r="D355">
            <v>4.78</v>
          </cell>
          <cell r="E355">
            <v>1.81</v>
          </cell>
          <cell r="F355">
            <v>6.59</v>
          </cell>
          <cell r="G355">
            <v>0</v>
          </cell>
        </row>
        <row r="356">
          <cell r="A356" t="str">
            <v>050403</v>
          </cell>
          <cell r="B356" t="str">
            <v>Com chapa metálica - 2,00 m &lt; largura &lt;= 2,50 m</v>
          </cell>
          <cell r="C356" t="str">
            <v>m2</v>
          </cell>
          <cell r="D356">
            <v>5.17</v>
          </cell>
          <cell r="E356">
            <v>1.89</v>
          </cell>
          <cell r="F356">
            <v>7.06</v>
          </cell>
          <cell r="G356">
            <v>0</v>
          </cell>
        </row>
        <row r="357">
          <cell r="A357" t="str">
            <v>06</v>
          </cell>
          <cell r="B357" t="str">
            <v>ESGOTAMENTO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</row>
        <row r="358">
          <cell r="A358" t="str">
            <v>0601</v>
          </cell>
          <cell r="B358" t="str">
            <v>ESGOTAMENTO COM BOMBAS</v>
          </cell>
          <cell r="C358">
            <v>0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</row>
        <row r="359">
          <cell r="A359" t="str">
            <v>060101</v>
          </cell>
          <cell r="B359" t="str">
            <v>Moto bomba</v>
          </cell>
          <cell r="C359" t="str">
            <v>h</v>
          </cell>
          <cell r="D359">
            <v>5.52</v>
          </cell>
          <cell r="E359">
            <v>0</v>
          </cell>
          <cell r="F359">
            <v>5.52</v>
          </cell>
          <cell r="G359" t="str">
            <v>73891/001</v>
          </cell>
        </row>
        <row r="360">
          <cell r="A360" t="str">
            <v>0602</v>
          </cell>
          <cell r="B360" t="str">
            <v>REBAIXAMENTO DE LENCOL FREÁTICO - PONTEIRAS FILTRANTES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</row>
        <row r="361">
          <cell r="A361" t="str">
            <v>060201</v>
          </cell>
          <cell r="B361" t="str">
            <v>Mobilização e desmobilização (obras)</v>
          </cell>
          <cell r="C361" t="str">
            <v>ud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</row>
        <row r="362">
          <cell r="A362" t="str">
            <v>060202</v>
          </cell>
          <cell r="B362" t="str">
            <v>Mobilização e desmobilização (serviços de manutenção, SAR, etc.)</v>
          </cell>
          <cell r="C362" t="str">
            <v>ud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</row>
        <row r="363">
          <cell r="A363" t="str">
            <v>060203</v>
          </cell>
          <cell r="B363" t="str">
            <v>Cravação de ponteiras</v>
          </cell>
          <cell r="C363" t="str">
            <v>ud</v>
          </cell>
          <cell r="D363">
            <v>16.5</v>
          </cell>
          <cell r="E363">
            <v>0.59</v>
          </cell>
          <cell r="F363">
            <v>17.09</v>
          </cell>
          <cell r="G363">
            <v>0</v>
          </cell>
        </row>
        <row r="364">
          <cell r="A364" t="str">
            <v>060204</v>
          </cell>
          <cell r="B364" t="str">
            <v>Instalação de tubos coletores</v>
          </cell>
          <cell r="C364" t="str">
            <v>m</v>
          </cell>
          <cell r="D364">
            <v>1.94</v>
          </cell>
          <cell r="E364">
            <v>0</v>
          </cell>
          <cell r="F364">
            <v>1.94</v>
          </cell>
          <cell r="G364">
            <v>0</v>
          </cell>
        </row>
        <row r="365">
          <cell r="A365" t="str">
            <v>060205</v>
          </cell>
          <cell r="B365" t="str">
            <v>Operação do conjunto</v>
          </cell>
          <cell r="C365" t="str">
            <v>h</v>
          </cell>
          <cell r="D365">
            <v>22.44</v>
          </cell>
          <cell r="E365">
            <v>5.85</v>
          </cell>
          <cell r="F365">
            <v>28.29</v>
          </cell>
          <cell r="G365">
            <v>0</v>
          </cell>
        </row>
        <row r="366">
          <cell r="A366" t="str">
            <v>0603</v>
          </cell>
          <cell r="B366" t="str">
            <v>REBAIXAMENTO DE LENCOL FREÁTICO - COM POÇOS</v>
          </cell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</row>
        <row r="367">
          <cell r="A367" t="str">
            <v>060301</v>
          </cell>
          <cell r="B367" t="str">
            <v>Tubo de aço DN 300</v>
          </cell>
          <cell r="C367" t="str">
            <v>m</v>
          </cell>
          <cell r="D367">
            <v>50.45</v>
          </cell>
          <cell r="E367">
            <v>25.59</v>
          </cell>
          <cell r="F367">
            <v>76.040000000000006</v>
          </cell>
          <cell r="G367">
            <v>0</v>
          </cell>
        </row>
        <row r="368">
          <cell r="A368" t="str">
            <v>060302</v>
          </cell>
          <cell r="B368" t="str">
            <v>Tubo de aço DN 400</v>
          </cell>
          <cell r="C368" t="str">
            <v>m</v>
          </cell>
          <cell r="D368">
            <v>50.45</v>
          </cell>
          <cell r="E368">
            <v>33.409999999999997</v>
          </cell>
          <cell r="F368">
            <v>83.86</v>
          </cell>
          <cell r="G368">
            <v>0</v>
          </cell>
        </row>
        <row r="369">
          <cell r="A369" t="str">
            <v>060303</v>
          </cell>
          <cell r="B369" t="str">
            <v>Tubo de concreto DN 600</v>
          </cell>
          <cell r="C369" t="str">
            <v>m</v>
          </cell>
          <cell r="D369">
            <v>20.23</v>
          </cell>
          <cell r="E369">
            <v>34.5</v>
          </cell>
          <cell r="F369">
            <v>54.73</v>
          </cell>
          <cell r="G369">
            <v>0</v>
          </cell>
        </row>
        <row r="370">
          <cell r="A370" t="str">
            <v>060304</v>
          </cell>
          <cell r="B370" t="str">
            <v>Tubo de concreto DN 800</v>
          </cell>
          <cell r="C370" t="str">
            <v>m</v>
          </cell>
          <cell r="D370">
            <v>31.62</v>
          </cell>
          <cell r="E370">
            <v>55</v>
          </cell>
          <cell r="F370">
            <v>86.62</v>
          </cell>
          <cell r="G370">
            <v>0</v>
          </cell>
        </row>
        <row r="371">
          <cell r="A371" t="str">
            <v>07</v>
          </cell>
          <cell r="B371" t="str">
            <v>OBRAS DE CONTENÇÃO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</row>
        <row r="372">
          <cell r="A372" t="str">
            <v>0701</v>
          </cell>
          <cell r="B372" t="str">
            <v>ENSECADEIRA</v>
          </cell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</row>
        <row r="373">
          <cell r="A373" t="str">
            <v>070101</v>
          </cell>
          <cell r="B373" t="str">
            <v>Ensecadeira de madeira com parede simples</v>
          </cell>
          <cell r="C373" t="str">
            <v>m2</v>
          </cell>
          <cell r="D373">
            <v>61.41</v>
          </cell>
          <cell r="E373">
            <v>54.45</v>
          </cell>
          <cell r="F373">
            <v>115.86</v>
          </cell>
          <cell r="G373" t="str">
            <v>73890/001</v>
          </cell>
        </row>
        <row r="374">
          <cell r="A374" t="str">
            <v>070102</v>
          </cell>
          <cell r="B374" t="str">
            <v>Ensecadeira de madeira com parede dupla</v>
          </cell>
          <cell r="C374" t="str">
            <v>m2</v>
          </cell>
          <cell r="D374">
            <v>154.5</v>
          </cell>
          <cell r="E374">
            <v>137</v>
          </cell>
          <cell r="F374">
            <v>291.5</v>
          </cell>
          <cell r="G374" t="str">
            <v>73890/002</v>
          </cell>
        </row>
        <row r="375">
          <cell r="A375" t="str">
            <v>070103</v>
          </cell>
          <cell r="B375" t="str">
            <v>Ensecadeira metálica com parede simples</v>
          </cell>
          <cell r="C375" t="str">
            <v>m2</v>
          </cell>
          <cell r="D375">
            <v>72.58</v>
          </cell>
          <cell r="E375">
            <v>6.58</v>
          </cell>
          <cell r="F375">
            <v>79.16</v>
          </cell>
          <cell r="G375">
            <v>0</v>
          </cell>
        </row>
        <row r="376">
          <cell r="A376" t="str">
            <v>070104</v>
          </cell>
          <cell r="B376" t="str">
            <v>Ensecadeira de sacos com areia</v>
          </cell>
          <cell r="C376" t="str">
            <v>m3</v>
          </cell>
          <cell r="D376">
            <v>29.94</v>
          </cell>
          <cell r="E376">
            <v>127.25</v>
          </cell>
          <cell r="F376">
            <v>157.19</v>
          </cell>
          <cell r="G376">
            <v>0</v>
          </cell>
        </row>
        <row r="377">
          <cell r="A377" t="str">
            <v>070105</v>
          </cell>
          <cell r="B377" t="str">
            <v>Ensecadeira de sacos com material local</v>
          </cell>
          <cell r="C377" t="str">
            <v>m3</v>
          </cell>
          <cell r="D377">
            <v>29.94</v>
          </cell>
          <cell r="E377">
            <v>61.25</v>
          </cell>
          <cell r="F377">
            <v>91.19</v>
          </cell>
          <cell r="G377">
            <v>0</v>
          </cell>
        </row>
        <row r="378">
          <cell r="A378" t="str">
            <v>0702</v>
          </cell>
          <cell r="B378" t="str">
            <v>MURO DE ARRIMO</v>
          </cell>
          <cell r="C378">
            <v>0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</row>
        <row r="379">
          <cell r="A379" t="str">
            <v>070201</v>
          </cell>
          <cell r="B379" t="str">
            <v>Alvenaria de pedra argamassada</v>
          </cell>
          <cell r="C379" t="str">
            <v>m3</v>
          </cell>
          <cell r="D379">
            <v>379.16</v>
          </cell>
          <cell r="E379">
            <v>106.94</v>
          </cell>
          <cell r="F379">
            <v>486.1</v>
          </cell>
          <cell r="G379" t="str">
            <v>73844/001</v>
          </cell>
        </row>
        <row r="380">
          <cell r="A380" t="str">
            <v>070202</v>
          </cell>
          <cell r="B380" t="str">
            <v>Alvenaria de tijolo</v>
          </cell>
          <cell r="C380" t="str">
            <v>m3</v>
          </cell>
          <cell r="D380">
            <v>261.37</v>
          </cell>
          <cell r="E380">
            <v>174.24</v>
          </cell>
          <cell r="F380">
            <v>435.61</v>
          </cell>
          <cell r="G380" t="str">
            <v>73844/002</v>
          </cell>
        </row>
        <row r="381">
          <cell r="A381" t="str">
            <v>070203</v>
          </cell>
          <cell r="B381" t="str">
            <v>Concreto ciclópico com 30% de pedra-de-mão</v>
          </cell>
          <cell r="C381" t="str">
            <v>m3</v>
          </cell>
          <cell r="D381">
            <v>203.34</v>
          </cell>
          <cell r="E381">
            <v>114.38</v>
          </cell>
          <cell r="F381">
            <v>317.72000000000003</v>
          </cell>
          <cell r="G381" t="str">
            <v>73843/001</v>
          </cell>
        </row>
        <row r="382">
          <cell r="A382" t="str">
            <v>0703</v>
          </cell>
          <cell r="B382" t="str">
            <v>GABIÃO TIPO CAIXA</v>
          </cell>
          <cell r="C382">
            <v>0</v>
          </cell>
          <cell r="D382">
            <v>0</v>
          </cell>
          <cell r="E382">
            <v>0</v>
          </cell>
          <cell r="F382">
            <v>0</v>
          </cell>
          <cell r="G382">
            <v>0</v>
          </cell>
        </row>
        <row r="383">
          <cell r="A383" t="str">
            <v>070301</v>
          </cell>
          <cell r="B383" t="str">
            <v>Com diafragma - galvanizado</v>
          </cell>
          <cell r="C383" t="str">
            <v>m3</v>
          </cell>
          <cell r="D383">
            <v>72.73</v>
          </cell>
          <cell r="E383">
            <v>400.54</v>
          </cell>
          <cell r="F383">
            <v>473.27</v>
          </cell>
          <cell r="G383">
            <v>0</v>
          </cell>
        </row>
        <row r="384">
          <cell r="A384" t="str">
            <v>070302</v>
          </cell>
          <cell r="B384" t="str">
            <v>Com diafragma - galvanizado plastificado</v>
          </cell>
          <cell r="C384" t="str">
            <v>m3</v>
          </cell>
          <cell r="D384">
            <v>72.73</v>
          </cell>
          <cell r="E384">
            <v>490.62</v>
          </cell>
          <cell r="F384">
            <v>563.35</v>
          </cell>
          <cell r="G384">
            <v>0</v>
          </cell>
        </row>
        <row r="385">
          <cell r="A385" t="str">
            <v>0704</v>
          </cell>
          <cell r="B385" t="str">
            <v>GABIÃO TIPO SACO</v>
          </cell>
          <cell r="C385">
            <v>0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</row>
        <row r="386">
          <cell r="A386" t="str">
            <v>070401</v>
          </cell>
          <cell r="B386" t="str">
            <v>Saco</v>
          </cell>
          <cell r="C386" t="str">
            <v>m3</v>
          </cell>
          <cell r="D386">
            <v>72.73</v>
          </cell>
          <cell r="E386">
            <v>381.19</v>
          </cell>
          <cell r="F386">
            <v>453.92</v>
          </cell>
          <cell r="G386">
            <v>0</v>
          </cell>
        </row>
        <row r="387">
          <cell r="A387" t="str">
            <v>0705</v>
          </cell>
          <cell r="B387" t="str">
            <v>GABIÃO TIPO COLCHÃO RENO</v>
          </cell>
          <cell r="C387">
            <v>0</v>
          </cell>
          <cell r="D387">
            <v>0</v>
          </cell>
          <cell r="E387">
            <v>0</v>
          </cell>
          <cell r="F387">
            <v>0</v>
          </cell>
          <cell r="G387">
            <v>0</v>
          </cell>
        </row>
        <row r="388">
          <cell r="A388" t="str">
            <v>070501</v>
          </cell>
          <cell r="B388" t="str">
            <v>Com altura de 0,17 m</v>
          </cell>
          <cell r="C388" t="str">
            <v>m2</v>
          </cell>
          <cell r="D388">
            <v>27.68</v>
          </cell>
          <cell r="E388">
            <v>126.07</v>
          </cell>
          <cell r="F388">
            <v>153.75</v>
          </cell>
          <cell r="G388">
            <v>92755</v>
          </cell>
        </row>
        <row r="389">
          <cell r="A389" t="str">
            <v>070502</v>
          </cell>
          <cell r="B389" t="str">
            <v>Com altura de 0,23 m</v>
          </cell>
          <cell r="C389" t="str">
            <v>m2</v>
          </cell>
          <cell r="D389">
            <v>31.35</v>
          </cell>
          <cell r="E389">
            <v>142.80000000000001</v>
          </cell>
          <cell r="F389">
            <v>174.15</v>
          </cell>
          <cell r="G389">
            <v>92756</v>
          </cell>
        </row>
        <row r="390">
          <cell r="A390" t="str">
            <v>070503</v>
          </cell>
          <cell r="B390" t="str">
            <v>Com altura de 0,30 m</v>
          </cell>
          <cell r="C390" t="str">
            <v>m2</v>
          </cell>
          <cell r="D390">
            <v>35.81</v>
          </cell>
          <cell r="E390">
            <v>163.12</v>
          </cell>
          <cell r="F390">
            <v>198.93</v>
          </cell>
          <cell r="G390">
            <v>92757</v>
          </cell>
        </row>
        <row r="391">
          <cell r="A391" t="str">
            <v>0706</v>
          </cell>
          <cell r="B391" t="str">
            <v>ENROCAMENTO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</row>
        <row r="392">
          <cell r="A392" t="str">
            <v>070601</v>
          </cell>
          <cell r="B392" t="str">
            <v>Enrocamento com pedra-de-mão</v>
          </cell>
          <cell r="C392" t="str">
            <v>m3</v>
          </cell>
          <cell r="D392">
            <v>61.1</v>
          </cell>
          <cell r="E392">
            <v>81</v>
          </cell>
          <cell r="F392">
            <v>142.1</v>
          </cell>
          <cell r="G392">
            <v>6454</v>
          </cell>
        </row>
        <row r="393">
          <cell r="A393" t="str">
            <v>070602</v>
          </cell>
          <cell r="B393" t="str">
            <v>Enrocamento com pedra-de-mão rejuntada</v>
          </cell>
          <cell r="C393" t="str">
            <v>m3</v>
          </cell>
          <cell r="D393">
            <v>162.54</v>
          </cell>
          <cell r="E393">
            <v>183.29</v>
          </cell>
          <cell r="F393">
            <v>345.83</v>
          </cell>
          <cell r="G393">
            <v>73611</v>
          </cell>
        </row>
        <row r="394">
          <cell r="A394" t="str">
            <v>0707</v>
          </cell>
          <cell r="B394" t="str">
            <v>BOLSA DE GEOSSINTÉTICO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</row>
        <row r="395">
          <cell r="A395" t="str">
            <v>070701</v>
          </cell>
          <cell r="B395" t="str">
            <v>Bolsacreto</v>
          </cell>
          <cell r="C395" t="str">
            <v>m3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</row>
        <row r="396">
          <cell r="A396" t="str">
            <v>070702</v>
          </cell>
          <cell r="B396" t="str">
            <v>Colchacreto</v>
          </cell>
          <cell r="C396" t="str">
            <v>m3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</row>
        <row r="397">
          <cell r="A397" t="str">
            <v>08</v>
          </cell>
          <cell r="B397" t="str">
            <v>FUNDAÇÕES E ESTRUTURAS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</row>
        <row r="398">
          <cell r="A398" t="str">
            <v>0801</v>
          </cell>
          <cell r="B398" t="str">
            <v>ESTACA MOLDADA "IN LOCO"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</row>
        <row r="399">
          <cell r="A399" t="str">
            <v>080101</v>
          </cell>
          <cell r="B399" t="str">
            <v>Perfuração manual Ø 15 cm</v>
          </cell>
          <cell r="C399" t="str">
            <v>m</v>
          </cell>
          <cell r="D399">
            <v>37.11</v>
          </cell>
          <cell r="E399">
            <v>0</v>
          </cell>
          <cell r="F399">
            <v>37.11</v>
          </cell>
          <cell r="G399">
            <v>0</v>
          </cell>
        </row>
        <row r="400">
          <cell r="A400" t="str">
            <v>080102</v>
          </cell>
          <cell r="B400" t="str">
            <v>Perfuração manual Ø 20 cm</v>
          </cell>
          <cell r="C400" t="str">
            <v>m</v>
          </cell>
          <cell r="D400">
            <v>40.82</v>
          </cell>
          <cell r="E400">
            <v>0</v>
          </cell>
          <cell r="F400">
            <v>40.82</v>
          </cell>
          <cell r="G400">
            <v>73426</v>
          </cell>
        </row>
        <row r="401">
          <cell r="A401" t="str">
            <v>080103</v>
          </cell>
          <cell r="B401" t="str">
            <v>Perfuração manual Ø 25 cm</v>
          </cell>
          <cell r="C401" t="str">
            <v>m</v>
          </cell>
          <cell r="D401">
            <v>51.95</v>
          </cell>
          <cell r="E401">
            <v>0</v>
          </cell>
          <cell r="F401">
            <v>51.95</v>
          </cell>
          <cell r="G401">
            <v>72819</v>
          </cell>
        </row>
        <row r="402">
          <cell r="A402" t="str">
            <v>080104</v>
          </cell>
          <cell r="B402" t="str">
            <v>Perfuração mec. rotativa Ø 20 cm</v>
          </cell>
          <cell r="C402" t="str">
            <v>m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</row>
        <row r="403">
          <cell r="A403" t="str">
            <v>080105</v>
          </cell>
          <cell r="B403" t="str">
            <v>Perfuração mec. rotativa Ø 25 cm</v>
          </cell>
          <cell r="C403" t="str">
            <v>m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</row>
        <row r="404">
          <cell r="A404" t="str">
            <v>080106</v>
          </cell>
          <cell r="B404" t="str">
            <v>Perfuração mec. rotativa Ø 30 cm</v>
          </cell>
          <cell r="C404" t="str">
            <v>m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</row>
        <row r="405">
          <cell r="A405" t="str">
            <v>080107</v>
          </cell>
          <cell r="B405" t="str">
            <v>Perfuração mec. rotativa Ø 40 cm</v>
          </cell>
          <cell r="C405" t="str">
            <v>m</v>
          </cell>
          <cell r="D405">
            <v>0</v>
          </cell>
          <cell r="E405">
            <v>0</v>
          </cell>
          <cell r="F405">
            <v>0</v>
          </cell>
          <cell r="G405">
            <v>0</v>
          </cell>
        </row>
        <row r="406">
          <cell r="A406" t="str">
            <v>080108</v>
          </cell>
          <cell r="B406" t="str">
            <v>Perfuração mec. rotativa Ø 50 cm</v>
          </cell>
          <cell r="C406" t="str">
            <v>m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</row>
        <row r="407">
          <cell r="A407" t="str">
            <v>080109</v>
          </cell>
          <cell r="B407" t="str">
            <v>Perfuração mec. rotativa Ø 60 cm</v>
          </cell>
          <cell r="C407" t="str">
            <v>m</v>
          </cell>
          <cell r="D407">
            <v>0</v>
          </cell>
          <cell r="E407">
            <v>0</v>
          </cell>
          <cell r="F407">
            <v>0</v>
          </cell>
          <cell r="G407">
            <v>0</v>
          </cell>
        </row>
        <row r="408">
          <cell r="A408" t="str">
            <v>080110</v>
          </cell>
          <cell r="B408" t="str">
            <v>Perfuração mec. rotativa Ø 70 cm</v>
          </cell>
          <cell r="C408" t="str">
            <v>m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</row>
        <row r="409">
          <cell r="A409" t="str">
            <v>080111</v>
          </cell>
          <cell r="B409" t="str">
            <v xml:space="preserve">Perfuração mec. rotativa Ø 80 cm </v>
          </cell>
          <cell r="C409" t="str">
            <v>m</v>
          </cell>
          <cell r="D409">
            <v>0</v>
          </cell>
          <cell r="E409">
            <v>0</v>
          </cell>
          <cell r="F409">
            <v>0</v>
          </cell>
          <cell r="G409">
            <v>0</v>
          </cell>
        </row>
        <row r="410">
          <cell r="A410" t="str">
            <v>080112</v>
          </cell>
          <cell r="B410" t="str">
            <v>Perfuração mec. rotativa Ø 90 cm</v>
          </cell>
          <cell r="C410" t="str">
            <v>m</v>
          </cell>
          <cell r="D410">
            <v>0</v>
          </cell>
          <cell r="E410">
            <v>0</v>
          </cell>
          <cell r="F410">
            <v>0</v>
          </cell>
          <cell r="G410">
            <v>0</v>
          </cell>
        </row>
        <row r="411">
          <cell r="A411" t="str">
            <v>080113</v>
          </cell>
          <cell r="B411" t="str">
            <v>Perf. mec. rotativa com lama bentonítica Ø 50 cm</v>
          </cell>
          <cell r="C411" t="str">
            <v>m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</row>
        <row r="412">
          <cell r="A412" t="str">
            <v>080114</v>
          </cell>
          <cell r="B412" t="str">
            <v>Perf. mec. rotativa com lama bentonítica Ø 60 cm</v>
          </cell>
          <cell r="C412" t="str">
            <v>m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</row>
        <row r="413">
          <cell r="A413" t="str">
            <v>080115</v>
          </cell>
          <cell r="B413" t="str">
            <v>Perf. mec. rotativa com lama bentonítica Ø 70 cm</v>
          </cell>
          <cell r="C413" t="str">
            <v>m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</row>
        <row r="414">
          <cell r="A414" t="str">
            <v>080116</v>
          </cell>
          <cell r="B414" t="str">
            <v>Perf. mec. rotativa com lama bentonítica Ø 80 cm</v>
          </cell>
          <cell r="C414" t="str">
            <v>m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</row>
        <row r="415">
          <cell r="A415" t="str">
            <v>080117</v>
          </cell>
          <cell r="B415" t="str">
            <v>Perf. mec. rotativa com lama bentonítica Ø 90 cm</v>
          </cell>
          <cell r="C415" t="str">
            <v>m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</row>
        <row r="416">
          <cell r="A416" t="str">
            <v>080118</v>
          </cell>
          <cell r="B416" t="str">
            <v>Perf. mec. "Strauss" com camisa não recuperada Ø 25 cm</v>
          </cell>
          <cell r="C416" t="str">
            <v>m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</row>
        <row r="417">
          <cell r="A417" t="str">
            <v>080119</v>
          </cell>
          <cell r="B417" t="str">
            <v>Perf. mec. "Strauss" com camisa não recuperada Ø 32 cm</v>
          </cell>
          <cell r="C417" t="str">
            <v>m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</row>
        <row r="418">
          <cell r="A418" t="str">
            <v>080120</v>
          </cell>
          <cell r="B418" t="str">
            <v>Perf. mec. "Strauss" com camisa não recuperada Ø 38 cm</v>
          </cell>
          <cell r="C418" t="str">
            <v>m</v>
          </cell>
          <cell r="D418">
            <v>0</v>
          </cell>
          <cell r="E418">
            <v>0</v>
          </cell>
          <cell r="F418">
            <v>0</v>
          </cell>
          <cell r="G418">
            <v>0</v>
          </cell>
        </row>
        <row r="419">
          <cell r="A419" t="str">
            <v>080121</v>
          </cell>
          <cell r="B419" t="str">
            <v>Perf. mec. "Strauss" com camisa não recuperada Ø 42 cm</v>
          </cell>
          <cell r="C419" t="str">
            <v>m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</row>
        <row r="420">
          <cell r="A420" t="str">
            <v>080122</v>
          </cell>
          <cell r="B420" t="str">
            <v>Perf. mec. "Strauss" com camisa não recuperada Ø 46 cm</v>
          </cell>
          <cell r="C420" t="str">
            <v>m</v>
          </cell>
          <cell r="D420">
            <v>0</v>
          </cell>
          <cell r="E420">
            <v>0</v>
          </cell>
          <cell r="F420">
            <v>0</v>
          </cell>
          <cell r="G420">
            <v>0</v>
          </cell>
        </row>
        <row r="421">
          <cell r="A421" t="str">
            <v>080123</v>
          </cell>
          <cell r="B421" t="str">
            <v>Perf. mec. "Strauss" com camisa não recuperada Ø 50 cm</v>
          </cell>
          <cell r="C421" t="str">
            <v>m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</row>
        <row r="422">
          <cell r="A422" t="str">
            <v>080124</v>
          </cell>
          <cell r="B422" t="str">
            <v>Perf. mec. "Strauss" com camisa recuperada Ø 25 cm</v>
          </cell>
          <cell r="C422" t="str">
            <v>m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</row>
        <row r="423">
          <cell r="A423" t="str">
            <v>080125</v>
          </cell>
          <cell r="B423" t="str">
            <v>Perf. mec. "Strauss" com camisa recuperada Ø 32 cm</v>
          </cell>
          <cell r="C423" t="str">
            <v>m</v>
          </cell>
          <cell r="D423">
            <v>0</v>
          </cell>
          <cell r="E423">
            <v>0</v>
          </cell>
          <cell r="F423">
            <v>0</v>
          </cell>
          <cell r="G423">
            <v>0</v>
          </cell>
        </row>
        <row r="424">
          <cell r="A424" t="str">
            <v>080126</v>
          </cell>
          <cell r="B424" t="str">
            <v>Perf. mec. "Strauss" com camisa recuperada Ø 38 cm</v>
          </cell>
          <cell r="C424" t="str">
            <v>m</v>
          </cell>
          <cell r="D424">
            <v>0</v>
          </cell>
          <cell r="E424">
            <v>0</v>
          </cell>
          <cell r="F424">
            <v>0</v>
          </cell>
          <cell r="G424">
            <v>0</v>
          </cell>
        </row>
        <row r="425">
          <cell r="A425" t="str">
            <v>080127</v>
          </cell>
          <cell r="B425" t="str">
            <v>Perf. mec. "Strauss" com camisa recuperada Ø 42 cm</v>
          </cell>
          <cell r="C425" t="str">
            <v>m</v>
          </cell>
          <cell r="D425">
            <v>0</v>
          </cell>
          <cell r="E425">
            <v>0</v>
          </cell>
          <cell r="F425">
            <v>0</v>
          </cell>
          <cell r="G425">
            <v>0</v>
          </cell>
        </row>
        <row r="426">
          <cell r="A426" t="str">
            <v>080128</v>
          </cell>
          <cell r="B426" t="str">
            <v>Perf. mec. "Strauss" com camisa recuperada Ø 46 cm</v>
          </cell>
          <cell r="C426" t="str">
            <v>m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</row>
        <row r="427">
          <cell r="A427" t="str">
            <v>080129</v>
          </cell>
          <cell r="B427" t="str">
            <v>Perf. mec. "Strauss" com camisa recuperada Ø 50 cm</v>
          </cell>
          <cell r="C427" t="str">
            <v>m</v>
          </cell>
          <cell r="D427">
            <v>0</v>
          </cell>
          <cell r="E427">
            <v>0</v>
          </cell>
          <cell r="F427">
            <v>0</v>
          </cell>
          <cell r="G427">
            <v>0</v>
          </cell>
        </row>
        <row r="428">
          <cell r="A428" t="str">
            <v>080130</v>
          </cell>
          <cell r="B428" t="str">
            <v>Perf. mec. "Franki" com camisa não recuperada Ø 30 cm</v>
          </cell>
          <cell r="C428" t="str">
            <v>m</v>
          </cell>
          <cell r="D428">
            <v>0</v>
          </cell>
          <cell r="E428">
            <v>0</v>
          </cell>
          <cell r="F428">
            <v>0</v>
          </cell>
          <cell r="G428">
            <v>0</v>
          </cell>
        </row>
        <row r="429">
          <cell r="A429" t="str">
            <v>080131</v>
          </cell>
          <cell r="B429" t="str">
            <v>Perf. mec. "Franki" com camisa não recuperada Ø 35 cm</v>
          </cell>
          <cell r="C429" t="str">
            <v>m</v>
          </cell>
          <cell r="D429">
            <v>0</v>
          </cell>
          <cell r="E429">
            <v>0</v>
          </cell>
          <cell r="F429">
            <v>0</v>
          </cell>
          <cell r="G429">
            <v>0</v>
          </cell>
        </row>
        <row r="430">
          <cell r="A430" t="str">
            <v>080132</v>
          </cell>
          <cell r="B430" t="str">
            <v>Perf. mec. "Franki" com camisa não recuperada Ø 40 cm</v>
          </cell>
          <cell r="C430" t="str">
            <v>m</v>
          </cell>
          <cell r="D430">
            <v>0</v>
          </cell>
          <cell r="E430">
            <v>0</v>
          </cell>
          <cell r="F430">
            <v>0</v>
          </cell>
          <cell r="G430">
            <v>0</v>
          </cell>
        </row>
        <row r="431">
          <cell r="A431" t="str">
            <v>080133</v>
          </cell>
          <cell r="B431" t="str">
            <v>Perf. mec. "Franki" com camisa não recuperada Ø 45 cm</v>
          </cell>
          <cell r="C431" t="str">
            <v>m</v>
          </cell>
          <cell r="D431">
            <v>0</v>
          </cell>
          <cell r="E431">
            <v>0</v>
          </cell>
          <cell r="F431">
            <v>0</v>
          </cell>
          <cell r="G431">
            <v>0</v>
          </cell>
        </row>
        <row r="432">
          <cell r="A432" t="str">
            <v>080134</v>
          </cell>
          <cell r="B432" t="str">
            <v>Perf. mec. "Franki" com camisa não recuperada Ø 52 cm</v>
          </cell>
          <cell r="C432" t="str">
            <v>m</v>
          </cell>
          <cell r="D432">
            <v>0</v>
          </cell>
          <cell r="E432">
            <v>0</v>
          </cell>
          <cell r="F432">
            <v>0</v>
          </cell>
          <cell r="G432">
            <v>0</v>
          </cell>
        </row>
        <row r="433">
          <cell r="A433" t="str">
            <v>080135</v>
          </cell>
          <cell r="B433" t="str">
            <v>Perf. mec. "Franki" com camisa não recuperada Ø 60 cm</v>
          </cell>
          <cell r="C433" t="str">
            <v>m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</row>
        <row r="434">
          <cell r="A434" t="str">
            <v>080136</v>
          </cell>
          <cell r="B434" t="str">
            <v>Perf. mec. "Franki" com camisa recuperada Ø 30 cm</v>
          </cell>
          <cell r="C434" t="str">
            <v>m</v>
          </cell>
          <cell r="D434">
            <v>0</v>
          </cell>
          <cell r="E434">
            <v>0</v>
          </cell>
          <cell r="F434">
            <v>0</v>
          </cell>
          <cell r="G434">
            <v>0</v>
          </cell>
        </row>
        <row r="435">
          <cell r="A435" t="str">
            <v>080137</v>
          </cell>
          <cell r="B435" t="str">
            <v>Perf. mec. "Franki" com camisa recuperada Ø 35 cm</v>
          </cell>
          <cell r="C435" t="str">
            <v>m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</row>
        <row r="436">
          <cell r="A436" t="str">
            <v>080138</v>
          </cell>
          <cell r="B436" t="str">
            <v>Perf. mec. "Franki" com camisa recuperada Ø 40 cm</v>
          </cell>
          <cell r="C436" t="str">
            <v>m</v>
          </cell>
          <cell r="D436">
            <v>0</v>
          </cell>
          <cell r="E436">
            <v>0</v>
          </cell>
          <cell r="F436">
            <v>0</v>
          </cell>
          <cell r="G436">
            <v>0</v>
          </cell>
        </row>
        <row r="437">
          <cell r="A437" t="str">
            <v>080139</v>
          </cell>
          <cell r="B437" t="str">
            <v>Perf. mec. "Franki" com camisa recuperada Ø 45 cm</v>
          </cell>
          <cell r="C437" t="str">
            <v>m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</row>
        <row r="438">
          <cell r="A438" t="str">
            <v>080140</v>
          </cell>
          <cell r="B438" t="str">
            <v>Perf. mec. "Franki" com camisa recuperada Ø 52 cm</v>
          </cell>
          <cell r="C438" t="str">
            <v>m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</row>
        <row r="439">
          <cell r="A439" t="str">
            <v>080141</v>
          </cell>
          <cell r="B439" t="str">
            <v>Perf. mec. "Franki" com camisa recuperada Ø 60 cm</v>
          </cell>
          <cell r="C439" t="str">
            <v>m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</row>
        <row r="440">
          <cell r="A440" t="str">
            <v>080142</v>
          </cell>
          <cell r="B440" t="str">
            <v>Escavada, injetada (Microestaca, Estaca-raiz) Ø 10 cm</v>
          </cell>
          <cell r="C440" t="str">
            <v>m</v>
          </cell>
          <cell r="D440">
            <v>0</v>
          </cell>
          <cell r="E440">
            <v>0</v>
          </cell>
          <cell r="F440">
            <v>0</v>
          </cell>
          <cell r="G440">
            <v>0</v>
          </cell>
        </row>
        <row r="441">
          <cell r="A441" t="str">
            <v>080143</v>
          </cell>
          <cell r="B441" t="str">
            <v>Escavada, injetada (Microestaca, Estaca-raiz) Ø 12 cm</v>
          </cell>
          <cell r="C441" t="str">
            <v>m</v>
          </cell>
          <cell r="D441">
            <v>0</v>
          </cell>
          <cell r="E441">
            <v>0</v>
          </cell>
          <cell r="F441">
            <v>0</v>
          </cell>
          <cell r="G441">
            <v>0</v>
          </cell>
        </row>
        <row r="442">
          <cell r="A442" t="str">
            <v>080144</v>
          </cell>
          <cell r="B442" t="str">
            <v>Escavada, injetada (Microestaca, Estaca-raiz) Ø 15 cm</v>
          </cell>
          <cell r="C442" t="str">
            <v>m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</row>
        <row r="443">
          <cell r="A443" t="str">
            <v>080145</v>
          </cell>
          <cell r="B443" t="str">
            <v>Escavada, injetada (Microestaca, Estaca-raiz) Ø 20 cm</v>
          </cell>
          <cell r="C443" t="str">
            <v>m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</row>
        <row r="444">
          <cell r="A444" t="str">
            <v>080146</v>
          </cell>
          <cell r="B444" t="str">
            <v>Escavada, injetada (Microestaca, Estaca-raiz) Ø 25 cm</v>
          </cell>
          <cell r="C444" t="str">
            <v>m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</row>
        <row r="445">
          <cell r="A445" t="str">
            <v>080147</v>
          </cell>
          <cell r="B445" t="str">
            <v>Escavada, injetada (Microestaca, Estaca-raiz) Ø 31 cm</v>
          </cell>
          <cell r="C445" t="str">
            <v>m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</row>
        <row r="446">
          <cell r="A446" t="str">
            <v>080148</v>
          </cell>
          <cell r="B446" t="str">
            <v>Escavada, injetada (Microestaca, Estaca-raiz) Ø 41 cm</v>
          </cell>
          <cell r="C446" t="str">
            <v>m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</row>
        <row r="447">
          <cell r="A447" t="str">
            <v>080149</v>
          </cell>
          <cell r="B447" t="str">
            <v>Estaca Hélice contínua Ø 35 cm</v>
          </cell>
          <cell r="C447" t="str">
            <v>m</v>
          </cell>
          <cell r="D447">
            <v>0</v>
          </cell>
          <cell r="E447">
            <v>0</v>
          </cell>
          <cell r="F447">
            <v>0</v>
          </cell>
          <cell r="G447">
            <v>0</v>
          </cell>
        </row>
        <row r="448">
          <cell r="A448" t="str">
            <v>080150</v>
          </cell>
          <cell r="B448" t="str">
            <v>Estaca Hélice contínua Ø 40 cm</v>
          </cell>
          <cell r="C448" t="str">
            <v>m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</row>
        <row r="449">
          <cell r="A449" t="str">
            <v>080151</v>
          </cell>
          <cell r="B449" t="str">
            <v>Estaca Hélice contínua Ø 50 cm</v>
          </cell>
          <cell r="C449" t="str">
            <v>m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</row>
        <row r="450">
          <cell r="A450" t="str">
            <v>080152</v>
          </cell>
          <cell r="B450" t="str">
            <v>Estaca Hélice contínua Ø 60 cm</v>
          </cell>
          <cell r="C450" t="str">
            <v>m</v>
          </cell>
          <cell r="D450">
            <v>0</v>
          </cell>
          <cell r="E450">
            <v>0</v>
          </cell>
          <cell r="F450">
            <v>0</v>
          </cell>
          <cell r="G450">
            <v>0</v>
          </cell>
        </row>
        <row r="451">
          <cell r="A451" t="str">
            <v>080153</v>
          </cell>
          <cell r="B451" t="str">
            <v>Estaca Hélice contínua Ø 70 cm</v>
          </cell>
          <cell r="C451" t="str">
            <v>m</v>
          </cell>
          <cell r="D451">
            <v>0</v>
          </cell>
          <cell r="E451">
            <v>0</v>
          </cell>
          <cell r="F451">
            <v>0</v>
          </cell>
          <cell r="G451">
            <v>0</v>
          </cell>
        </row>
        <row r="452">
          <cell r="A452" t="str">
            <v>080154</v>
          </cell>
          <cell r="B452" t="str">
            <v>Estaca Hélice contínua Ø 80 cm</v>
          </cell>
          <cell r="C452" t="str">
            <v>m</v>
          </cell>
          <cell r="D452">
            <v>0</v>
          </cell>
          <cell r="E452">
            <v>0</v>
          </cell>
          <cell r="F452">
            <v>0</v>
          </cell>
          <cell r="G452">
            <v>0</v>
          </cell>
        </row>
        <row r="453">
          <cell r="A453" t="str">
            <v>080155</v>
          </cell>
          <cell r="B453" t="str">
            <v>Estaca Hélice contínua Ø 90 cm</v>
          </cell>
          <cell r="C453" t="str">
            <v>m</v>
          </cell>
          <cell r="D453">
            <v>0</v>
          </cell>
          <cell r="E453">
            <v>0</v>
          </cell>
          <cell r="F453">
            <v>0</v>
          </cell>
          <cell r="G453">
            <v>0</v>
          </cell>
        </row>
        <row r="454">
          <cell r="A454" t="str">
            <v>080156</v>
          </cell>
          <cell r="B454" t="str">
            <v>Estaca Hélice contínua Ø 100 cm</v>
          </cell>
          <cell r="C454" t="str">
            <v>m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</row>
        <row r="455">
          <cell r="A455" t="str">
            <v>080157</v>
          </cell>
          <cell r="B455" t="str">
            <v>Estaca Hélice contínua Ø 110 cm</v>
          </cell>
          <cell r="C455" t="str">
            <v>m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</row>
        <row r="456">
          <cell r="A456" t="str">
            <v>080158</v>
          </cell>
          <cell r="B456" t="str">
            <v>Estaca Hélice contínua Ø 120 cm</v>
          </cell>
          <cell r="C456" t="str">
            <v>m</v>
          </cell>
          <cell r="D456">
            <v>0</v>
          </cell>
          <cell r="E456">
            <v>0</v>
          </cell>
          <cell r="F456">
            <v>0</v>
          </cell>
          <cell r="G456">
            <v>0</v>
          </cell>
        </row>
        <row r="457">
          <cell r="A457" t="str">
            <v>080159</v>
          </cell>
          <cell r="B457" t="str">
            <v>Estaca Omega Ø 27 cm</v>
          </cell>
          <cell r="C457" t="str">
            <v>m</v>
          </cell>
          <cell r="D457">
            <v>0</v>
          </cell>
          <cell r="E457">
            <v>0</v>
          </cell>
          <cell r="F457">
            <v>0</v>
          </cell>
          <cell r="G457">
            <v>0</v>
          </cell>
        </row>
        <row r="458">
          <cell r="A458" t="str">
            <v>080160</v>
          </cell>
          <cell r="B458" t="str">
            <v>Estaca Omega Ø 32 cm</v>
          </cell>
          <cell r="C458" t="str">
            <v>m</v>
          </cell>
          <cell r="D458">
            <v>0</v>
          </cell>
          <cell r="E458">
            <v>0</v>
          </cell>
          <cell r="F458">
            <v>0</v>
          </cell>
          <cell r="G458">
            <v>0</v>
          </cell>
        </row>
        <row r="459">
          <cell r="A459" t="str">
            <v>080161</v>
          </cell>
          <cell r="B459" t="str">
            <v>Estaca Omega Ø 37 cm</v>
          </cell>
          <cell r="C459" t="str">
            <v>m</v>
          </cell>
          <cell r="D459">
            <v>0</v>
          </cell>
          <cell r="E459">
            <v>0</v>
          </cell>
          <cell r="F459">
            <v>0</v>
          </cell>
          <cell r="G459">
            <v>0</v>
          </cell>
        </row>
        <row r="460">
          <cell r="A460" t="str">
            <v>080162</v>
          </cell>
          <cell r="B460" t="str">
            <v>Estaca Omega Ø 42 cm</v>
          </cell>
          <cell r="C460" t="str">
            <v>m</v>
          </cell>
          <cell r="D460">
            <v>0</v>
          </cell>
          <cell r="E460">
            <v>0</v>
          </cell>
          <cell r="F460">
            <v>0</v>
          </cell>
          <cell r="G460">
            <v>0</v>
          </cell>
        </row>
        <row r="461">
          <cell r="A461" t="str">
            <v>080163</v>
          </cell>
          <cell r="B461" t="str">
            <v>Estaca Omega Ø 47 cm</v>
          </cell>
          <cell r="C461" t="str">
            <v>m</v>
          </cell>
          <cell r="D461">
            <v>0</v>
          </cell>
          <cell r="E461">
            <v>0</v>
          </cell>
          <cell r="F461">
            <v>0</v>
          </cell>
          <cell r="G461">
            <v>0</v>
          </cell>
        </row>
        <row r="462">
          <cell r="A462" t="str">
            <v>080164</v>
          </cell>
          <cell r="B462" t="str">
            <v>Estaca Omega Ø 52 cm</v>
          </cell>
          <cell r="C462" t="str">
            <v>m</v>
          </cell>
          <cell r="D462">
            <v>0</v>
          </cell>
          <cell r="E462">
            <v>0</v>
          </cell>
          <cell r="F462">
            <v>0</v>
          </cell>
          <cell r="G462">
            <v>0</v>
          </cell>
        </row>
        <row r="463">
          <cell r="A463" t="str">
            <v>080165</v>
          </cell>
          <cell r="B463" t="str">
            <v>Estaca Omega Ø 57 cm</v>
          </cell>
          <cell r="C463" t="str">
            <v>m</v>
          </cell>
          <cell r="D463">
            <v>0</v>
          </cell>
          <cell r="E463">
            <v>0</v>
          </cell>
          <cell r="F463">
            <v>0</v>
          </cell>
          <cell r="G463">
            <v>0</v>
          </cell>
        </row>
        <row r="464">
          <cell r="A464" t="str">
            <v>080166</v>
          </cell>
          <cell r="B464" t="str">
            <v>Estaca Omega Ø 62 cm</v>
          </cell>
          <cell r="C464" t="str">
            <v>m</v>
          </cell>
          <cell r="D464">
            <v>0</v>
          </cell>
          <cell r="E464">
            <v>0</v>
          </cell>
          <cell r="F464">
            <v>0</v>
          </cell>
          <cell r="G464">
            <v>0</v>
          </cell>
        </row>
        <row r="465">
          <cell r="A465" t="str">
            <v>0802</v>
          </cell>
          <cell r="B465" t="str">
            <v>TUBULÃO A CÉU ABERTO</v>
          </cell>
          <cell r="C465">
            <v>0</v>
          </cell>
          <cell r="D465">
            <v>0</v>
          </cell>
          <cell r="E465">
            <v>0</v>
          </cell>
          <cell r="F465">
            <v>0</v>
          </cell>
          <cell r="G465">
            <v>0</v>
          </cell>
        </row>
        <row r="466">
          <cell r="A466" t="str">
            <v>080201</v>
          </cell>
          <cell r="B466" t="str">
            <v>Sem camisa</v>
          </cell>
          <cell r="C466" t="str">
            <v>m3</v>
          </cell>
          <cell r="D466">
            <v>689.36</v>
          </cell>
          <cell r="E466">
            <v>0</v>
          </cell>
          <cell r="F466">
            <v>689.36</v>
          </cell>
          <cell r="G466">
            <v>0</v>
          </cell>
        </row>
        <row r="467">
          <cell r="A467" t="str">
            <v>080202</v>
          </cell>
          <cell r="B467" t="str">
            <v>Com camisa de concreto perdida</v>
          </cell>
          <cell r="C467" t="str">
            <v>m3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</row>
        <row r="468">
          <cell r="A468" t="str">
            <v>080203</v>
          </cell>
          <cell r="B468" t="str">
            <v>Com camisa metálica perdida</v>
          </cell>
          <cell r="C468" t="str">
            <v>m3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</row>
        <row r="469">
          <cell r="A469" t="str">
            <v>080204</v>
          </cell>
          <cell r="B469" t="str">
            <v>Com camisa metálica recuperada</v>
          </cell>
          <cell r="C469" t="str">
            <v>m3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</row>
        <row r="470">
          <cell r="A470" t="str">
            <v>0803</v>
          </cell>
          <cell r="B470" t="str">
            <v>TUBULÃO A AR COMPRIMIDO</v>
          </cell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</row>
        <row r="471">
          <cell r="A471" t="str">
            <v>080301</v>
          </cell>
          <cell r="B471" t="str">
            <v>Com camisa metálica perdida</v>
          </cell>
          <cell r="C471" t="str">
            <v>m3</v>
          </cell>
          <cell r="D471">
            <v>0</v>
          </cell>
          <cell r="E471">
            <v>0</v>
          </cell>
          <cell r="F471">
            <v>0</v>
          </cell>
          <cell r="G471">
            <v>0</v>
          </cell>
        </row>
        <row r="472">
          <cell r="A472" t="str">
            <v>080302</v>
          </cell>
          <cell r="B472" t="str">
            <v>Com camisa metálica recuperada</v>
          </cell>
          <cell r="C472" t="str">
            <v>m3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</row>
        <row r="473">
          <cell r="A473" t="str">
            <v>0804</v>
          </cell>
          <cell r="B473" t="str">
            <v>ESTACA PRÉ-FABRICADA DE CONCRETO</v>
          </cell>
          <cell r="C473">
            <v>0</v>
          </cell>
          <cell r="D473">
            <v>0</v>
          </cell>
          <cell r="E473">
            <v>0</v>
          </cell>
          <cell r="F473">
            <v>0</v>
          </cell>
          <cell r="G473">
            <v>0</v>
          </cell>
        </row>
        <row r="474">
          <cell r="A474" t="str">
            <v>080401</v>
          </cell>
          <cell r="B474" t="str">
            <v>Concreto armado 15 x 15 cm</v>
          </cell>
          <cell r="C474" t="str">
            <v>m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</row>
        <row r="475">
          <cell r="A475" t="str">
            <v>080402</v>
          </cell>
          <cell r="B475" t="str">
            <v>Concreto armado 18 x 18 cm</v>
          </cell>
          <cell r="C475" t="str">
            <v>m</v>
          </cell>
          <cell r="D475">
            <v>0</v>
          </cell>
          <cell r="E475">
            <v>0</v>
          </cell>
          <cell r="F475">
            <v>0</v>
          </cell>
          <cell r="G475">
            <v>0</v>
          </cell>
        </row>
        <row r="476">
          <cell r="A476" t="str">
            <v>080403</v>
          </cell>
          <cell r="B476" t="str">
            <v>Concreto armado 20 x 20 cm</v>
          </cell>
          <cell r="C476" t="str">
            <v>m</v>
          </cell>
          <cell r="D476">
            <v>0</v>
          </cell>
          <cell r="E476">
            <v>0</v>
          </cell>
          <cell r="F476">
            <v>0</v>
          </cell>
          <cell r="G476">
            <v>0</v>
          </cell>
        </row>
        <row r="477">
          <cell r="A477" t="str">
            <v>080404</v>
          </cell>
          <cell r="B477" t="str">
            <v>Concreto armado 23 x 23 cm</v>
          </cell>
          <cell r="C477" t="str">
            <v>m</v>
          </cell>
          <cell r="D477">
            <v>0</v>
          </cell>
          <cell r="E477">
            <v>0</v>
          </cell>
          <cell r="F477">
            <v>0</v>
          </cell>
          <cell r="G477">
            <v>0</v>
          </cell>
        </row>
        <row r="478">
          <cell r="A478" t="str">
            <v>080405</v>
          </cell>
          <cell r="B478" t="str">
            <v>Concreto armado 25 x 25 cm</v>
          </cell>
          <cell r="C478" t="str">
            <v>m</v>
          </cell>
          <cell r="D478">
            <v>0</v>
          </cell>
          <cell r="E478">
            <v>0</v>
          </cell>
          <cell r="F478">
            <v>0</v>
          </cell>
          <cell r="G478">
            <v>0</v>
          </cell>
        </row>
        <row r="479">
          <cell r="A479" t="str">
            <v>080406</v>
          </cell>
          <cell r="B479" t="str">
            <v>Concreto armado 28 x 28 cm</v>
          </cell>
          <cell r="C479" t="str">
            <v>m</v>
          </cell>
          <cell r="D479">
            <v>0</v>
          </cell>
          <cell r="E479">
            <v>0</v>
          </cell>
          <cell r="F479">
            <v>0</v>
          </cell>
          <cell r="G479">
            <v>0</v>
          </cell>
        </row>
        <row r="480">
          <cell r="A480" t="str">
            <v>080407</v>
          </cell>
          <cell r="B480" t="str">
            <v>Concreto armado 30 x 30 cm</v>
          </cell>
          <cell r="C480" t="str">
            <v>m</v>
          </cell>
          <cell r="D480">
            <v>0</v>
          </cell>
          <cell r="E480">
            <v>0</v>
          </cell>
          <cell r="F480">
            <v>0</v>
          </cell>
          <cell r="G480">
            <v>0</v>
          </cell>
        </row>
        <row r="481">
          <cell r="A481" t="str">
            <v>080408</v>
          </cell>
          <cell r="B481" t="str">
            <v>Concreto armado 40 x 40 cm</v>
          </cell>
          <cell r="C481" t="str">
            <v>m</v>
          </cell>
          <cell r="D481">
            <v>0</v>
          </cell>
          <cell r="E481">
            <v>0</v>
          </cell>
          <cell r="F481">
            <v>0</v>
          </cell>
          <cell r="G481">
            <v>0</v>
          </cell>
        </row>
        <row r="482">
          <cell r="A482" t="str">
            <v>080409</v>
          </cell>
          <cell r="B482" t="str">
            <v>Concreto armado 50 x 50 cm</v>
          </cell>
          <cell r="C482" t="str">
            <v>m</v>
          </cell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A483" t="str">
            <v>080410</v>
          </cell>
          <cell r="B483" t="str">
            <v>Concreto protendido 16 x 16 cm</v>
          </cell>
          <cell r="C483" t="str">
            <v>m</v>
          </cell>
          <cell r="D483">
            <v>0</v>
          </cell>
          <cell r="E483">
            <v>0</v>
          </cell>
          <cell r="F483">
            <v>0</v>
          </cell>
          <cell r="G483">
            <v>0</v>
          </cell>
        </row>
        <row r="484">
          <cell r="A484" t="str">
            <v>080411</v>
          </cell>
          <cell r="B484" t="str">
            <v>Concreto protendido 18 x 18 cm</v>
          </cell>
          <cell r="C484" t="str">
            <v>m</v>
          </cell>
          <cell r="D484">
            <v>0</v>
          </cell>
          <cell r="E484">
            <v>0</v>
          </cell>
          <cell r="F484">
            <v>0</v>
          </cell>
          <cell r="G484">
            <v>0</v>
          </cell>
        </row>
        <row r="485">
          <cell r="A485" t="str">
            <v>080412</v>
          </cell>
          <cell r="B485" t="str">
            <v>Concreto protendido 20 x 20 cm</v>
          </cell>
          <cell r="C485" t="str">
            <v>m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</row>
        <row r="486">
          <cell r="A486" t="str">
            <v>080413</v>
          </cell>
          <cell r="B486" t="str">
            <v>Concreto protendido 23 x 23 cm</v>
          </cell>
          <cell r="C486" t="str">
            <v>m</v>
          </cell>
          <cell r="D486">
            <v>0</v>
          </cell>
          <cell r="E486">
            <v>0</v>
          </cell>
          <cell r="F486">
            <v>0</v>
          </cell>
          <cell r="G486">
            <v>0</v>
          </cell>
        </row>
        <row r="487">
          <cell r="A487" t="str">
            <v>080414</v>
          </cell>
          <cell r="B487" t="str">
            <v>Concreto protendido 26 x 26 cm</v>
          </cell>
          <cell r="C487" t="str">
            <v>m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</row>
        <row r="488">
          <cell r="A488" t="str">
            <v>080415</v>
          </cell>
          <cell r="B488" t="str">
            <v>Concreto protendido 30 x 30 cm</v>
          </cell>
          <cell r="C488" t="str">
            <v>m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</row>
        <row r="489">
          <cell r="A489" t="str">
            <v>0805</v>
          </cell>
          <cell r="B489" t="str">
            <v>ESTACA METÁLICA</v>
          </cell>
          <cell r="C489">
            <v>0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</row>
        <row r="490">
          <cell r="A490" t="str">
            <v>080501</v>
          </cell>
          <cell r="B490" t="str">
            <v>Com trilhos TR-32 simples (30tf)</v>
          </cell>
          <cell r="C490" t="str">
            <v>m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</row>
        <row r="491">
          <cell r="A491" t="str">
            <v>080502</v>
          </cell>
          <cell r="B491" t="str">
            <v>Com trilhos TR-32 duplo (60tf)</v>
          </cell>
          <cell r="C491" t="str">
            <v>m</v>
          </cell>
          <cell r="D491">
            <v>0</v>
          </cell>
          <cell r="E491">
            <v>0</v>
          </cell>
          <cell r="F491">
            <v>0</v>
          </cell>
          <cell r="G491">
            <v>0</v>
          </cell>
        </row>
        <row r="492">
          <cell r="A492" t="str">
            <v>080503</v>
          </cell>
          <cell r="B492" t="str">
            <v>Com trilhos TR-37 simples (40tf)</v>
          </cell>
          <cell r="C492" t="str">
            <v>m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</row>
        <row r="493">
          <cell r="A493" t="str">
            <v>080504</v>
          </cell>
          <cell r="B493" t="str">
            <v>Com trilhos TR-37 duplo (80tf)</v>
          </cell>
          <cell r="C493" t="str">
            <v>m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</row>
        <row r="494">
          <cell r="A494" t="str">
            <v>080505</v>
          </cell>
          <cell r="B494" t="str">
            <v>Com trilhos TR-45 simples (50tf)</v>
          </cell>
          <cell r="C494" t="str">
            <v>m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</row>
        <row r="495">
          <cell r="A495" t="str">
            <v>080506</v>
          </cell>
          <cell r="B495" t="str">
            <v>Com trilhos TR-45 duplo (100tf)</v>
          </cell>
          <cell r="C495" t="str">
            <v>m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</row>
        <row r="496">
          <cell r="A496" t="str">
            <v>080507</v>
          </cell>
          <cell r="B496" t="str">
            <v>Com trilhos TR-68 simples</v>
          </cell>
          <cell r="C496" t="str">
            <v>m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</row>
        <row r="497">
          <cell r="A497" t="str">
            <v>080508</v>
          </cell>
          <cell r="B497" t="str">
            <v xml:space="preserve">Com trilhos TR-68 duplo </v>
          </cell>
          <cell r="C497" t="str">
            <v>m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</row>
        <row r="498">
          <cell r="A498" t="str">
            <v>0806</v>
          </cell>
          <cell r="B498" t="str">
            <v>EMENDA DE ESTACA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</row>
        <row r="499">
          <cell r="A499" t="str">
            <v>080601</v>
          </cell>
          <cell r="B499" t="str">
            <v>De concreto armado</v>
          </cell>
          <cell r="C499" t="str">
            <v>ud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</row>
        <row r="500">
          <cell r="A500" t="str">
            <v>080602</v>
          </cell>
          <cell r="B500" t="str">
            <v>Metálica simples</v>
          </cell>
          <cell r="C500" t="str">
            <v>ud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</row>
        <row r="501">
          <cell r="A501" t="str">
            <v>080603</v>
          </cell>
          <cell r="B501" t="str">
            <v>Metálica dupla</v>
          </cell>
          <cell r="C501" t="str">
            <v>ud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</row>
        <row r="502">
          <cell r="A502" t="str">
            <v>0807</v>
          </cell>
          <cell r="B502" t="str">
            <v>CORTE E ARRASAMENTO DE ESTACA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</row>
        <row r="503">
          <cell r="A503" t="str">
            <v>080701</v>
          </cell>
          <cell r="B503" t="str">
            <v>De concreto armado</v>
          </cell>
          <cell r="C503" t="str">
            <v>ud</v>
          </cell>
          <cell r="D503">
            <v>59.33</v>
          </cell>
          <cell r="E503">
            <v>0</v>
          </cell>
          <cell r="F503">
            <v>59.33</v>
          </cell>
          <cell r="G503">
            <v>72820</v>
          </cell>
        </row>
        <row r="504">
          <cell r="A504" t="str">
            <v>080702</v>
          </cell>
          <cell r="B504" t="str">
            <v>Metálica simples</v>
          </cell>
          <cell r="C504" t="str">
            <v>ud</v>
          </cell>
          <cell r="D504">
            <v>0</v>
          </cell>
          <cell r="E504">
            <v>0</v>
          </cell>
          <cell r="F504">
            <v>0</v>
          </cell>
          <cell r="G504">
            <v>0</v>
          </cell>
        </row>
        <row r="505">
          <cell r="A505" t="str">
            <v>080703</v>
          </cell>
          <cell r="B505" t="str">
            <v>Metálica dupla</v>
          </cell>
          <cell r="C505" t="str">
            <v>ud</v>
          </cell>
          <cell r="D505">
            <v>0</v>
          </cell>
          <cell r="E505">
            <v>0</v>
          </cell>
          <cell r="F505">
            <v>0</v>
          </cell>
          <cell r="G505">
            <v>0</v>
          </cell>
        </row>
        <row r="506">
          <cell r="A506" t="str">
            <v>0808</v>
          </cell>
          <cell r="B506" t="str">
            <v>FÔRMA PARA LAJE</v>
          </cell>
          <cell r="C506">
            <v>0</v>
          </cell>
          <cell r="D506">
            <v>0</v>
          </cell>
          <cell r="E506">
            <v>0</v>
          </cell>
          <cell r="F506">
            <v>0</v>
          </cell>
          <cell r="G506">
            <v>0</v>
          </cell>
        </row>
        <row r="507">
          <cell r="A507" t="str">
            <v>080801</v>
          </cell>
          <cell r="B507" t="str">
            <v>Chapa resinada e= 12 mm</v>
          </cell>
          <cell r="C507" t="str">
            <v>m2</v>
          </cell>
          <cell r="D507">
            <v>41.18</v>
          </cell>
          <cell r="E507">
            <v>8.98</v>
          </cell>
          <cell r="F507">
            <v>50.16</v>
          </cell>
          <cell r="G507">
            <v>0</v>
          </cell>
        </row>
        <row r="508">
          <cell r="A508" t="str">
            <v>080802</v>
          </cell>
          <cell r="B508" t="str">
            <v>Chapa resinada e= 14 mm</v>
          </cell>
          <cell r="C508" t="str">
            <v>m2</v>
          </cell>
          <cell r="D508">
            <v>41.18</v>
          </cell>
          <cell r="E508">
            <v>9.4600000000000009</v>
          </cell>
          <cell r="F508">
            <v>50.64</v>
          </cell>
          <cell r="G508">
            <v>0</v>
          </cell>
        </row>
        <row r="509">
          <cell r="A509" t="str">
            <v>080803</v>
          </cell>
          <cell r="B509" t="str">
            <v>Chapa resinada e= 18 mm</v>
          </cell>
          <cell r="C509" t="str">
            <v>m2</v>
          </cell>
          <cell r="D509">
            <v>41.18</v>
          </cell>
          <cell r="E509">
            <v>10.199999999999999</v>
          </cell>
          <cell r="F509">
            <v>51.38</v>
          </cell>
          <cell r="G509">
            <v>0</v>
          </cell>
        </row>
        <row r="510">
          <cell r="A510" t="str">
            <v>080804</v>
          </cell>
          <cell r="B510" t="str">
            <v>Chapa plastificada e= 12 mm</v>
          </cell>
          <cell r="C510" t="str">
            <v>m2</v>
          </cell>
          <cell r="D510">
            <v>41.18</v>
          </cell>
          <cell r="E510">
            <v>10.41</v>
          </cell>
          <cell r="F510">
            <v>51.59</v>
          </cell>
          <cell r="G510">
            <v>0</v>
          </cell>
        </row>
        <row r="511">
          <cell r="A511" t="str">
            <v>080805</v>
          </cell>
          <cell r="B511" t="str">
            <v>Chapa plastificada e= 14 mm</v>
          </cell>
          <cell r="C511" t="str">
            <v>m2</v>
          </cell>
          <cell r="D511">
            <v>41.18</v>
          </cell>
          <cell r="E511">
            <v>10.78</v>
          </cell>
          <cell r="F511">
            <v>51.96</v>
          </cell>
          <cell r="G511">
            <v>0</v>
          </cell>
        </row>
        <row r="512">
          <cell r="A512" t="str">
            <v>080806</v>
          </cell>
          <cell r="B512" t="str">
            <v>Chapa plastificada e= 18 mm</v>
          </cell>
          <cell r="C512" t="str">
            <v>m2</v>
          </cell>
          <cell r="D512">
            <v>41.18</v>
          </cell>
          <cell r="E512">
            <v>12.41</v>
          </cell>
          <cell r="F512">
            <v>53.59</v>
          </cell>
          <cell r="G512">
            <v>0</v>
          </cell>
        </row>
        <row r="513">
          <cell r="A513" t="str">
            <v>0809</v>
          </cell>
          <cell r="B513" t="str">
            <v>FÔRMA PARA VIGA, PILAR E PAREDE</v>
          </cell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</row>
        <row r="514">
          <cell r="A514" t="str">
            <v>080901</v>
          </cell>
          <cell r="B514" t="str">
            <v>Plana em madeira não aparelhada</v>
          </cell>
          <cell r="C514" t="str">
            <v>m2</v>
          </cell>
          <cell r="D514">
            <v>48.67</v>
          </cell>
          <cell r="E514">
            <v>34.72</v>
          </cell>
          <cell r="F514">
            <v>83.39</v>
          </cell>
          <cell r="G514">
            <v>0</v>
          </cell>
        </row>
        <row r="515">
          <cell r="A515" t="str">
            <v>080902</v>
          </cell>
          <cell r="B515" t="str">
            <v>Curva em madeira não aparelhada</v>
          </cell>
          <cell r="C515" t="str">
            <v>m2</v>
          </cell>
          <cell r="D515">
            <v>74.88</v>
          </cell>
          <cell r="E515">
            <v>41.11</v>
          </cell>
          <cell r="F515">
            <v>115.99</v>
          </cell>
          <cell r="G515">
            <v>0</v>
          </cell>
        </row>
        <row r="516">
          <cell r="A516" t="str">
            <v>080903</v>
          </cell>
          <cell r="B516" t="str">
            <v>Plana em madeira aparelhada</v>
          </cell>
          <cell r="C516" t="str">
            <v>m2</v>
          </cell>
          <cell r="D516">
            <v>48.67</v>
          </cell>
          <cell r="E516">
            <v>41.51</v>
          </cell>
          <cell r="F516">
            <v>90.18</v>
          </cell>
          <cell r="G516">
            <v>0</v>
          </cell>
        </row>
        <row r="517">
          <cell r="A517" t="str">
            <v>080904</v>
          </cell>
          <cell r="B517" t="str">
            <v>Curva em madeira aparelhada</v>
          </cell>
          <cell r="C517" t="str">
            <v>m2</v>
          </cell>
          <cell r="D517">
            <v>74.88</v>
          </cell>
          <cell r="E517">
            <v>50.11</v>
          </cell>
          <cell r="F517">
            <v>124.99</v>
          </cell>
          <cell r="G517">
            <v>0</v>
          </cell>
        </row>
        <row r="518">
          <cell r="A518" t="str">
            <v>080905</v>
          </cell>
          <cell r="B518" t="str">
            <v>Plana em chapa resinada e= 10 mm</v>
          </cell>
          <cell r="C518" t="str">
            <v>m2</v>
          </cell>
          <cell r="D518">
            <v>41.18</v>
          </cell>
          <cell r="E518">
            <v>25.32</v>
          </cell>
          <cell r="F518">
            <v>66.5</v>
          </cell>
          <cell r="G518">
            <v>0</v>
          </cell>
        </row>
        <row r="519">
          <cell r="A519" t="str">
            <v>080906</v>
          </cell>
          <cell r="B519" t="str">
            <v>Plana em chapa resinada e= 12 mm</v>
          </cell>
          <cell r="C519" t="str">
            <v>m2</v>
          </cell>
          <cell r="D519">
            <v>41.18</v>
          </cell>
          <cell r="E519">
            <v>26.04</v>
          </cell>
          <cell r="F519">
            <v>67.22</v>
          </cell>
          <cell r="G519">
            <v>0</v>
          </cell>
        </row>
        <row r="520">
          <cell r="A520" t="str">
            <v>080907</v>
          </cell>
          <cell r="B520" t="str">
            <v>Plana em chapa resinada e= 14 mm</v>
          </cell>
          <cell r="C520" t="str">
            <v>m2</v>
          </cell>
          <cell r="D520">
            <v>41.18</v>
          </cell>
          <cell r="E520">
            <v>26.42</v>
          </cell>
          <cell r="F520">
            <v>67.599999999999994</v>
          </cell>
          <cell r="G520">
            <v>0</v>
          </cell>
        </row>
        <row r="521">
          <cell r="A521" t="str">
            <v>080908</v>
          </cell>
          <cell r="B521" t="str">
            <v>Plana em chapa resinada e= 18 mm</v>
          </cell>
          <cell r="C521" t="str">
            <v>m2</v>
          </cell>
          <cell r="D521">
            <v>41.18</v>
          </cell>
          <cell r="E521">
            <v>27.01</v>
          </cell>
          <cell r="F521">
            <v>68.19</v>
          </cell>
          <cell r="G521">
            <v>0</v>
          </cell>
        </row>
        <row r="522">
          <cell r="A522" t="str">
            <v>080909</v>
          </cell>
          <cell r="B522" t="str">
            <v>Plana em chapa resinada e= 21 mm</v>
          </cell>
          <cell r="C522" t="str">
            <v>m2</v>
          </cell>
          <cell r="D522">
            <v>41.18</v>
          </cell>
          <cell r="E522">
            <v>27.87</v>
          </cell>
          <cell r="F522">
            <v>69.05</v>
          </cell>
          <cell r="G522">
            <v>0</v>
          </cell>
        </row>
        <row r="523">
          <cell r="A523" t="str">
            <v>080910</v>
          </cell>
          <cell r="B523" t="str">
            <v>Curva em chapa resinada e= 10 mm</v>
          </cell>
          <cell r="C523" t="str">
            <v>m2</v>
          </cell>
          <cell r="D523">
            <v>63.65</v>
          </cell>
          <cell r="E523">
            <v>28.74</v>
          </cell>
          <cell r="F523">
            <v>92.39</v>
          </cell>
          <cell r="G523">
            <v>0</v>
          </cell>
        </row>
        <row r="524">
          <cell r="A524" t="str">
            <v>080911</v>
          </cell>
          <cell r="B524" t="str">
            <v>Curva em chapa resinada e= 12 mm</v>
          </cell>
          <cell r="C524" t="str">
            <v>m2</v>
          </cell>
          <cell r="D524">
            <v>63.65</v>
          </cell>
          <cell r="E524">
            <v>29.93</v>
          </cell>
          <cell r="F524">
            <v>93.58</v>
          </cell>
          <cell r="G524">
            <v>0</v>
          </cell>
        </row>
        <row r="525">
          <cell r="A525" t="str">
            <v>080912</v>
          </cell>
          <cell r="B525" t="str">
            <v>Curva em chapa resinada e= 14 mm</v>
          </cell>
          <cell r="C525" t="str">
            <v>m2</v>
          </cell>
          <cell r="D525">
            <v>63.65</v>
          </cell>
          <cell r="E525">
            <v>30.56</v>
          </cell>
          <cell r="F525">
            <v>94.21</v>
          </cell>
          <cell r="G525">
            <v>0</v>
          </cell>
        </row>
        <row r="526">
          <cell r="A526" t="str">
            <v>080913</v>
          </cell>
          <cell r="B526" t="str">
            <v>Plana em chapa plastificada e= 10 mm</v>
          </cell>
          <cell r="C526" t="str">
            <v>m2</v>
          </cell>
          <cell r="D526">
            <v>41.18</v>
          </cell>
          <cell r="E526">
            <v>26.19</v>
          </cell>
          <cell r="F526">
            <v>67.37</v>
          </cell>
          <cell r="G526">
            <v>0</v>
          </cell>
        </row>
        <row r="527">
          <cell r="A527" t="str">
            <v>080914</v>
          </cell>
          <cell r="B527" t="str">
            <v>Plana em chapa plastificada e= 12 mm</v>
          </cell>
          <cell r="C527" t="str">
            <v>m2</v>
          </cell>
          <cell r="D527">
            <v>41.18</v>
          </cell>
          <cell r="E527">
            <v>26.92</v>
          </cell>
          <cell r="F527">
            <v>68.099999999999994</v>
          </cell>
          <cell r="G527">
            <v>0</v>
          </cell>
        </row>
        <row r="528">
          <cell r="A528" t="str">
            <v>080915</v>
          </cell>
          <cell r="B528" t="str">
            <v>Plana em chapa plastificada e= 14 mm</v>
          </cell>
          <cell r="C528" t="str">
            <v>m2</v>
          </cell>
          <cell r="D528">
            <v>41.18</v>
          </cell>
          <cell r="E528">
            <v>27.22</v>
          </cell>
          <cell r="F528">
            <v>68.400000000000006</v>
          </cell>
          <cell r="G528">
            <v>0</v>
          </cell>
        </row>
        <row r="529">
          <cell r="A529" t="str">
            <v>080916</v>
          </cell>
          <cell r="B529" t="str">
            <v>Plana em chapa plastificada e= 18 mm</v>
          </cell>
          <cell r="C529" t="str">
            <v>m2</v>
          </cell>
          <cell r="D529">
            <v>41.18</v>
          </cell>
          <cell r="E529">
            <v>28.53</v>
          </cell>
          <cell r="F529">
            <v>69.709999999999994</v>
          </cell>
          <cell r="G529">
            <v>0</v>
          </cell>
        </row>
        <row r="530">
          <cell r="A530" t="str">
            <v>080917</v>
          </cell>
          <cell r="B530" t="str">
            <v>Plana em chapa plastificada e= 21 mm</v>
          </cell>
          <cell r="C530" t="str">
            <v>m2</v>
          </cell>
          <cell r="D530">
            <v>41.18</v>
          </cell>
          <cell r="E530">
            <v>29.26</v>
          </cell>
          <cell r="F530">
            <v>70.44</v>
          </cell>
          <cell r="G530">
            <v>0</v>
          </cell>
        </row>
        <row r="531">
          <cell r="A531" t="str">
            <v>080918</v>
          </cell>
          <cell r="B531" t="str">
            <v>Curva em chapa plastificada e= 10 mm</v>
          </cell>
          <cell r="C531" t="str">
            <v>m2</v>
          </cell>
          <cell r="D531">
            <v>63.65</v>
          </cell>
          <cell r="E531">
            <v>30.61</v>
          </cell>
          <cell r="F531">
            <v>94.26</v>
          </cell>
          <cell r="G531">
            <v>0</v>
          </cell>
        </row>
        <row r="532">
          <cell r="A532" t="str">
            <v>080919</v>
          </cell>
          <cell r="B532" t="str">
            <v>Curva em chapa plastificada e= 12 mm</v>
          </cell>
          <cell r="C532" t="str">
            <v>m2</v>
          </cell>
          <cell r="D532">
            <v>63.65</v>
          </cell>
          <cell r="E532">
            <v>31.82</v>
          </cell>
          <cell r="F532">
            <v>95.47</v>
          </cell>
          <cell r="G532">
            <v>0</v>
          </cell>
        </row>
        <row r="533">
          <cell r="A533" t="str">
            <v>080920</v>
          </cell>
          <cell r="B533" t="str">
            <v>Curva em chapa plastificada e= 14 mm</v>
          </cell>
          <cell r="C533" t="str">
            <v>m2</v>
          </cell>
          <cell r="D533">
            <v>63.65</v>
          </cell>
          <cell r="E533">
            <v>32.31</v>
          </cell>
          <cell r="F533">
            <v>95.96</v>
          </cell>
          <cell r="G533">
            <v>0</v>
          </cell>
        </row>
        <row r="534">
          <cell r="A534" t="str">
            <v>0810</v>
          </cell>
          <cell r="B534" t="str">
            <v>FÔRMA PARA FUNDAÇÃO E BALDRAME</v>
          </cell>
          <cell r="C534">
            <v>0</v>
          </cell>
          <cell r="D534">
            <v>0</v>
          </cell>
          <cell r="E534">
            <v>0</v>
          </cell>
          <cell r="F534">
            <v>0</v>
          </cell>
          <cell r="G534">
            <v>0</v>
          </cell>
        </row>
        <row r="535">
          <cell r="A535" t="str">
            <v>081001</v>
          </cell>
          <cell r="B535" t="str">
            <v>Plana em madeira não aparelhada</v>
          </cell>
          <cell r="C535" t="str">
            <v>m2</v>
          </cell>
          <cell r="D535">
            <v>41.18</v>
          </cell>
          <cell r="E535">
            <v>10.26</v>
          </cell>
          <cell r="F535">
            <v>51.44</v>
          </cell>
          <cell r="G535">
            <v>0</v>
          </cell>
        </row>
        <row r="536">
          <cell r="A536" t="str">
            <v>081002</v>
          </cell>
          <cell r="B536" t="str">
            <v>Curva em madeira não aparelhada</v>
          </cell>
          <cell r="C536" t="str">
            <v>m2</v>
          </cell>
          <cell r="D536">
            <v>63.65</v>
          </cell>
          <cell r="E536">
            <v>12.83</v>
          </cell>
          <cell r="F536">
            <v>76.48</v>
          </cell>
          <cell r="G536">
            <v>0</v>
          </cell>
        </row>
        <row r="537">
          <cell r="A537" t="str">
            <v>081003</v>
          </cell>
          <cell r="B537" t="str">
            <v>Plana em chapa resinada e= 10 mm</v>
          </cell>
          <cell r="C537" t="str">
            <v>m2</v>
          </cell>
          <cell r="D537">
            <v>37.44</v>
          </cell>
          <cell r="E537">
            <v>8.0500000000000007</v>
          </cell>
          <cell r="F537">
            <v>45.49</v>
          </cell>
          <cell r="G537">
            <v>0</v>
          </cell>
        </row>
        <row r="538">
          <cell r="A538" t="str">
            <v>081004</v>
          </cell>
          <cell r="B538" t="str">
            <v>Plana em chapa resinada e= 12 mm</v>
          </cell>
          <cell r="C538" t="str">
            <v>m2</v>
          </cell>
          <cell r="D538">
            <v>37.44</v>
          </cell>
          <cell r="E538">
            <v>8.9499999999999993</v>
          </cell>
          <cell r="F538">
            <v>46.39</v>
          </cell>
          <cell r="G538">
            <v>0</v>
          </cell>
        </row>
        <row r="539">
          <cell r="A539" t="str">
            <v>081005</v>
          </cell>
          <cell r="B539" t="str">
            <v>Plana em chapa resinada e= 14 mm</v>
          </cell>
          <cell r="C539" t="str">
            <v>m2</v>
          </cell>
          <cell r="D539">
            <v>37.44</v>
          </cell>
          <cell r="E539">
            <v>9.43</v>
          </cell>
          <cell r="F539">
            <v>46.87</v>
          </cell>
          <cell r="G539">
            <v>0</v>
          </cell>
        </row>
        <row r="540">
          <cell r="A540" t="str">
            <v>081006</v>
          </cell>
          <cell r="B540" t="str">
            <v>Plana em chapa resinada e= 18 mm</v>
          </cell>
          <cell r="C540" t="str">
            <v>m2</v>
          </cell>
          <cell r="D540">
            <v>37.44</v>
          </cell>
          <cell r="E540">
            <v>10.17</v>
          </cell>
          <cell r="F540">
            <v>47.61</v>
          </cell>
          <cell r="G540">
            <v>0</v>
          </cell>
        </row>
        <row r="541">
          <cell r="A541" t="str">
            <v>081007</v>
          </cell>
          <cell r="B541" t="str">
            <v>Plana em chapa resinada e= 21 mm</v>
          </cell>
          <cell r="C541" t="str">
            <v>m2</v>
          </cell>
          <cell r="D541">
            <v>37.44</v>
          </cell>
          <cell r="E541">
            <v>11.24</v>
          </cell>
          <cell r="F541">
            <v>48.68</v>
          </cell>
          <cell r="G541">
            <v>0</v>
          </cell>
        </row>
        <row r="542">
          <cell r="A542" t="str">
            <v>081008</v>
          </cell>
          <cell r="B542" t="str">
            <v>Curva em chapa resinada e= 10 mm</v>
          </cell>
          <cell r="C542" t="str">
            <v>m2</v>
          </cell>
          <cell r="D542">
            <v>56.16</v>
          </cell>
          <cell r="E542">
            <v>8.42</v>
          </cell>
          <cell r="F542">
            <v>64.58</v>
          </cell>
          <cell r="G542">
            <v>0</v>
          </cell>
        </row>
        <row r="543">
          <cell r="A543" t="str">
            <v>081009</v>
          </cell>
          <cell r="B543" t="str">
            <v>Curva em chapa resinada e= 12 mm</v>
          </cell>
          <cell r="C543" t="str">
            <v>m2</v>
          </cell>
          <cell r="D543">
            <v>56.16</v>
          </cell>
          <cell r="E543">
            <v>9.32</v>
          </cell>
          <cell r="F543">
            <v>65.48</v>
          </cell>
          <cell r="G543">
            <v>0</v>
          </cell>
        </row>
        <row r="544">
          <cell r="A544" t="str">
            <v>081010</v>
          </cell>
          <cell r="B544" t="str">
            <v>Curva em chapa resinada e= 14 mm</v>
          </cell>
          <cell r="C544" t="str">
            <v>m2</v>
          </cell>
          <cell r="D544">
            <v>56.16</v>
          </cell>
          <cell r="E544">
            <v>9.8000000000000007</v>
          </cell>
          <cell r="F544">
            <v>65.959999999999994</v>
          </cell>
          <cell r="G544">
            <v>0</v>
          </cell>
        </row>
        <row r="545">
          <cell r="A545" t="str">
            <v>081011</v>
          </cell>
          <cell r="B545" t="str">
            <v>Curva em chapa resinada e= 18 mm</v>
          </cell>
          <cell r="C545" t="str">
            <v>m2</v>
          </cell>
          <cell r="D545">
            <v>56.16</v>
          </cell>
          <cell r="E545">
            <v>10.54</v>
          </cell>
          <cell r="F545">
            <v>66.7</v>
          </cell>
          <cell r="G545">
            <v>0</v>
          </cell>
        </row>
        <row r="546">
          <cell r="A546" t="str">
            <v>0811</v>
          </cell>
          <cell r="B546" t="str">
            <v>FÔRMA PERDIDA</v>
          </cell>
          <cell r="C546">
            <v>0</v>
          </cell>
          <cell r="D546">
            <v>0</v>
          </cell>
          <cell r="E546">
            <v>0</v>
          </cell>
          <cell r="F546">
            <v>0</v>
          </cell>
          <cell r="G546">
            <v>0</v>
          </cell>
        </row>
        <row r="547">
          <cell r="A547" t="str">
            <v>081101</v>
          </cell>
          <cell r="B547" t="str">
            <v>Plana em madeira</v>
          </cell>
          <cell r="C547" t="str">
            <v>m2</v>
          </cell>
          <cell r="D547">
            <v>37.44</v>
          </cell>
          <cell r="E547">
            <v>38.81</v>
          </cell>
          <cell r="F547">
            <v>76.25</v>
          </cell>
          <cell r="G547">
            <v>0</v>
          </cell>
        </row>
        <row r="548">
          <cell r="A548" t="str">
            <v>081102</v>
          </cell>
          <cell r="B548" t="str">
            <v>Plana em chapa resinada e= 10 mm</v>
          </cell>
          <cell r="C548" t="str">
            <v>m2</v>
          </cell>
          <cell r="D548">
            <v>31.82</v>
          </cell>
          <cell r="E548">
            <v>26.34</v>
          </cell>
          <cell r="F548">
            <v>58.16</v>
          </cell>
          <cell r="G548">
            <v>0</v>
          </cell>
        </row>
        <row r="549">
          <cell r="A549" t="str">
            <v>081103</v>
          </cell>
          <cell r="B549" t="str">
            <v>Plana em chapa resinada e= 12 mm</v>
          </cell>
          <cell r="C549" t="str">
            <v>m2</v>
          </cell>
          <cell r="D549">
            <v>31.82</v>
          </cell>
          <cell r="E549">
            <v>29.95</v>
          </cell>
          <cell r="F549">
            <v>61.77</v>
          </cell>
          <cell r="G549">
            <v>0</v>
          </cell>
        </row>
        <row r="550">
          <cell r="A550" t="str">
            <v>081104</v>
          </cell>
          <cell r="B550" t="str">
            <v>Plana em chapa resinada e= 14 mm</v>
          </cell>
          <cell r="C550" t="str">
            <v>m2</v>
          </cell>
          <cell r="D550">
            <v>31.82</v>
          </cell>
          <cell r="E550">
            <v>31.86</v>
          </cell>
          <cell r="F550">
            <v>63.68</v>
          </cell>
          <cell r="G550">
            <v>0</v>
          </cell>
        </row>
        <row r="551">
          <cell r="A551" t="str">
            <v>081105</v>
          </cell>
          <cell r="B551" t="str">
            <v>Plana em chapa resinada e= 18 mm</v>
          </cell>
          <cell r="C551" t="str">
            <v>m2</v>
          </cell>
          <cell r="D551">
            <v>31.82</v>
          </cell>
          <cell r="E551">
            <v>34.82</v>
          </cell>
          <cell r="F551">
            <v>66.64</v>
          </cell>
          <cell r="G551">
            <v>0</v>
          </cell>
        </row>
        <row r="552">
          <cell r="A552" t="str">
            <v>081106</v>
          </cell>
          <cell r="B552" t="str">
            <v>Plana em chapa resinada e= 21 mm</v>
          </cell>
          <cell r="C552" t="str">
            <v>m2</v>
          </cell>
          <cell r="D552">
            <v>31.82</v>
          </cell>
          <cell r="E552">
            <v>39.1</v>
          </cell>
          <cell r="F552">
            <v>70.92</v>
          </cell>
          <cell r="G552">
            <v>0</v>
          </cell>
        </row>
        <row r="553">
          <cell r="A553" t="str">
            <v>0812</v>
          </cell>
          <cell r="B553" t="str">
            <v>FÔRMA DESLIZANTE</v>
          </cell>
          <cell r="C553">
            <v>0</v>
          </cell>
          <cell r="D553">
            <v>0</v>
          </cell>
          <cell r="E553">
            <v>0</v>
          </cell>
          <cell r="F553">
            <v>0</v>
          </cell>
          <cell r="G553">
            <v>0</v>
          </cell>
        </row>
        <row r="554">
          <cell r="A554" t="str">
            <v>081201</v>
          </cell>
          <cell r="B554" t="str">
            <v>Metálica com chapa resinada</v>
          </cell>
          <cell r="C554" t="str">
            <v>m2</v>
          </cell>
          <cell r="D554">
            <v>0</v>
          </cell>
          <cell r="E554">
            <v>0</v>
          </cell>
          <cell r="F554">
            <v>0</v>
          </cell>
          <cell r="G554">
            <v>0</v>
          </cell>
        </row>
        <row r="555">
          <cell r="A555" t="str">
            <v>081202</v>
          </cell>
          <cell r="B555" t="str">
            <v>Metálica</v>
          </cell>
          <cell r="C555" t="str">
            <v>m2</v>
          </cell>
          <cell r="D555">
            <v>0</v>
          </cell>
          <cell r="E555">
            <v>0</v>
          </cell>
          <cell r="F555">
            <v>0</v>
          </cell>
          <cell r="G555">
            <v>0</v>
          </cell>
        </row>
        <row r="556">
          <cell r="A556" t="str">
            <v>0813</v>
          </cell>
          <cell r="B556" t="str">
            <v>FÔRMA TREPANTE</v>
          </cell>
          <cell r="C556">
            <v>0</v>
          </cell>
          <cell r="D556">
            <v>0</v>
          </cell>
          <cell r="E556">
            <v>0</v>
          </cell>
          <cell r="F556">
            <v>0</v>
          </cell>
          <cell r="G556">
            <v>0</v>
          </cell>
        </row>
        <row r="557">
          <cell r="A557" t="str">
            <v>081301</v>
          </cell>
          <cell r="B557" t="str">
            <v>De chapa resinada</v>
          </cell>
          <cell r="C557" t="str">
            <v>m2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</row>
        <row r="558">
          <cell r="A558" t="str">
            <v>081302</v>
          </cell>
          <cell r="B558" t="str">
            <v>Metálica com chapa resinada</v>
          </cell>
          <cell r="C558" t="str">
            <v>m2</v>
          </cell>
          <cell r="D558">
            <v>0</v>
          </cell>
          <cell r="E558">
            <v>0</v>
          </cell>
          <cell r="F558">
            <v>0</v>
          </cell>
          <cell r="G558">
            <v>0</v>
          </cell>
        </row>
        <row r="559">
          <cell r="A559" t="str">
            <v>081303</v>
          </cell>
          <cell r="B559" t="str">
            <v>Metálica</v>
          </cell>
          <cell r="C559" t="str">
            <v>m2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</row>
        <row r="560">
          <cell r="A560" t="str">
            <v>0814</v>
          </cell>
          <cell r="B560" t="str">
            <v>FÔRMA PARA PEÇAS PRÉ MOLDADAS</v>
          </cell>
          <cell r="C560">
            <v>0</v>
          </cell>
          <cell r="D560">
            <v>0</v>
          </cell>
          <cell r="E560">
            <v>0</v>
          </cell>
          <cell r="F560">
            <v>0</v>
          </cell>
          <cell r="G560">
            <v>0</v>
          </cell>
        </row>
        <row r="561">
          <cell r="A561" t="str">
            <v>081401</v>
          </cell>
          <cell r="B561" t="str">
            <v>Em madeira</v>
          </cell>
          <cell r="C561" t="str">
            <v>m2</v>
          </cell>
          <cell r="D561">
            <v>0</v>
          </cell>
          <cell r="E561">
            <v>0</v>
          </cell>
          <cell r="F561">
            <v>0</v>
          </cell>
          <cell r="G561">
            <v>0</v>
          </cell>
        </row>
        <row r="562">
          <cell r="A562" t="str">
            <v>081402</v>
          </cell>
          <cell r="B562" t="str">
            <v>Em chapa resinada e= 12 mm</v>
          </cell>
          <cell r="C562" t="str">
            <v>m2</v>
          </cell>
          <cell r="D562">
            <v>18.72</v>
          </cell>
          <cell r="E562">
            <v>6.43</v>
          </cell>
          <cell r="F562">
            <v>25.15</v>
          </cell>
          <cell r="G562">
            <v>0</v>
          </cell>
        </row>
        <row r="563">
          <cell r="A563" t="str">
            <v>081403</v>
          </cell>
          <cell r="B563" t="str">
            <v>Metálica</v>
          </cell>
          <cell r="C563" t="str">
            <v>m2</v>
          </cell>
          <cell r="D563">
            <v>0</v>
          </cell>
          <cell r="E563">
            <v>0</v>
          </cell>
          <cell r="F563">
            <v>0</v>
          </cell>
          <cell r="G563">
            <v>0</v>
          </cell>
        </row>
        <row r="564">
          <cell r="A564" t="str">
            <v>0815</v>
          </cell>
          <cell r="B564" t="str">
            <v>FÔRMA INDUSTRIALIZADA</v>
          </cell>
          <cell r="C564">
            <v>0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</row>
        <row r="565">
          <cell r="A565" t="str">
            <v>081501</v>
          </cell>
          <cell r="B565" t="str">
            <v>Fôrma industrializada</v>
          </cell>
          <cell r="C565" t="str">
            <v>m2</v>
          </cell>
          <cell r="D565">
            <v>0</v>
          </cell>
          <cell r="E565">
            <v>0</v>
          </cell>
          <cell r="F565">
            <v>0</v>
          </cell>
          <cell r="G565">
            <v>0</v>
          </cell>
        </row>
        <row r="566">
          <cell r="A566" t="str">
            <v>0816</v>
          </cell>
          <cell r="B566" t="str">
            <v>PASSARELA DE SERVIÇO</v>
          </cell>
          <cell r="C566">
            <v>0</v>
          </cell>
          <cell r="D566">
            <v>0</v>
          </cell>
          <cell r="E566">
            <v>0</v>
          </cell>
          <cell r="F566">
            <v>0</v>
          </cell>
          <cell r="G566">
            <v>0</v>
          </cell>
        </row>
        <row r="567">
          <cell r="A567" t="str">
            <v>081601</v>
          </cell>
          <cell r="B567" t="str">
            <v>Passarela de serviço em madeira</v>
          </cell>
          <cell r="C567" t="str">
            <v>m</v>
          </cell>
          <cell r="D567">
            <v>18.72</v>
          </cell>
          <cell r="E567">
            <v>10</v>
          </cell>
          <cell r="F567">
            <v>28.72</v>
          </cell>
          <cell r="G567" t="str">
            <v>74219/001</v>
          </cell>
        </row>
        <row r="568">
          <cell r="A568" t="str">
            <v>0817</v>
          </cell>
          <cell r="B568" t="str">
            <v>RAMPA DE ACESSO</v>
          </cell>
          <cell r="C568">
            <v>0</v>
          </cell>
          <cell r="D568">
            <v>0</v>
          </cell>
          <cell r="E568">
            <v>0</v>
          </cell>
          <cell r="F568">
            <v>0</v>
          </cell>
          <cell r="G568">
            <v>0</v>
          </cell>
        </row>
        <row r="569">
          <cell r="A569" t="str">
            <v>081701</v>
          </cell>
          <cell r="B569" t="str">
            <v>Rampa de acesso em madeira</v>
          </cell>
          <cell r="C569" t="str">
            <v>m3</v>
          </cell>
          <cell r="D569">
            <v>39.26</v>
          </cell>
          <cell r="E569">
            <v>25.31</v>
          </cell>
          <cell r="F569">
            <v>64.569999999999993</v>
          </cell>
          <cell r="G569">
            <v>0</v>
          </cell>
        </row>
        <row r="570">
          <cell r="A570" t="str">
            <v>0818</v>
          </cell>
          <cell r="B570" t="str">
            <v>CIMBRAMENTO</v>
          </cell>
          <cell r="C570">
            <v>0</v>
          </cell>
          <cell r="D570">
            <v>0</v>
          </cell>
          <cell r="E570">
            <v>0</v>
          </cell>
          <cell r="F570">
            <v>0</v>
          </cell>
          <cell r="G570">
            <v>0</v>
          </cell>
        </row>
        <row r="571">
          <cell r="A571" t="str">
            <v>081801</v>
          </cell>
          <cell r="B571" t="str">
            <v>De madeira</v>
          </cell>
          <cell r="C571" t="str">
            <v>m3</v>
          </cell>
          <cell r="D571">
            <v>17.54</v>
          </cell>
          <cell r="E571">
            <v>13.71</v>
          </cell>
          <cell r="F571">
            <v>31.25</v>
          </cell>
          <cell r="G571">
            <v>0</v>
          </cell>
        </row>
        <row r="572">
          <cell r="A572" t="str">
            <v>081802</v>
          </cell>
          <cell r="B572" t="str">
            <v>Metálico</v>
          </cell>
          <cell r="C572" t="str">
            <v>m3</v>
          </cell>
          <cell r="D572">
            <v>0</v>
          </cell>
          <cell r="E572">
            <v>0</v>
          </cell>
          <cell r="F572">
            <v>0</v>
          </cell>
          <cell r="G572">
            <v>0</v>
          </cell>
        </row>
        <row r="573">
          <cell r="A573" t="str">
            <v>0819</v>
          </cell>
          <cell r="B573" t="str">
            <v>ARMADURA</v>
          </cell>
          <cell r="C573">
            <v>0</v>
          </cell>
          <cell r="D573">
            <v>0</v>
          </cell>
          <cell r="E573">
            <v>0</v>
          </cell>
          <cell r="F573">
            <v>0</v>
          </cell>
          <cell r="G573">
            <v>0</v>
          </cell>
        </row>
        <row r="574">
          <cell r="A574" t="str">
            <v>081901</v>
          </cell>
          <cell r="B574" t="str">
            <v>Em aço CA-50</v>
          </cell>
          <cell r="C574" t="str">
            <v>kg</v>
          </cell>
          <cell r="D574">
            <v>2.4500000000000002</v>
          </cell>
          <cell r="E574">
            <v>2.56</v>
          </cell>
          <cell r="F574">
            <v>5.01</v>
          </cell>
          <cell r="G574">
            <v>92781</v>
          </cell>
        </row>
        <row r="575">
          <cell r="A575" t="str">
            <v>081902</v>
          </cell>
          <cell r="B575" t="str">
            <v>Em aço CA-60</v>
          </cell>
          <cell r="C575" t="str">
            <v>kg</v>
          </cell>
          <cell r="D575">
            <v>3.68</v>
          </cell>
          <cell r="E575">
            <v>4.33</v>
          </cell>
          <cell r="F575">
            <v>8.01</v>
          </cell>
          <cell r="G575">
            <v>92768</v>
          </cell>
        </row>
        <row r="576">
          <cell r="A576" t="str">
            <v>0820</v>
          </cell>
          <cell r="B576" t="str">
            <v>COBRIMENTO DE ARMADURA</v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</row>
        <row r="577">
          <cell r="A577" t="str">
            <v>082001</v>
          </cell>
          <cell r="B577" t="str">
            <v>Pastilhas de concreto e= 2,5 cm</v>
          </cell>
          <cell r="C577" t="str">
            <v>ud</v>
          </cell>
          <cell r="D577">
            <v>0</v>
          </cell>
          <cell r="E577">
            <v>0.33</v>
          </cell>
          <cell r="F577">
            <v>0.33</v>
          </cell>
          <cell r="G577">
            <v>0</v>
          </cell>
        </row>
        <row r="578">
          <cell r="A578" t="str">
            <v>082002</v>
          </cell>
          <cell r="B578" t="str">
            <v>Pastilhas de concreto e= 3,0 cm</v>
          </cell>
          <cell r="C578" t="str">
            <v>ud</v>
          </cell>
          <cell r="D578">
            <v>0</v>
          </cell>
          <cell r="E578">
            <v>0.43</v>
          </cell>
          <cell r="F578">
            <v>0.43</v>
          </cell>
          <cell r="G578">
            <v>0</v>
          </cell>
        </row>
        <row r="579">
          <cell r="A579" t="str">
            <v>082003</v>
          </cell>
          <cell r="B579" t="str">
            <v>Pastilhas de concreto e= 3,5 cm</v>
          </cell>
          <cell r="C579" t="str">
            <v>ud</v>
          </cell>
          <cell r="D579">
            <v>0</v>
          </cell>
          <cell r="E579">
            <v>0.44</v>
          </cell>
          <cell r="F579">
            <v>0.44</v>
          </cell>
          <cell r="G579">
            <v>0</v>
          </cell>
        </row>
        <row r="580">
          <cell r="A580" t="str">
            <v>082004</v>
          </cell>
          <cell r="B580" t="str">
            <v>Pastilhas de concreto e= 4,0 cm</v>
          </cell>
          <cell r="C580" t="str">
            <v>ud</v>
          </cell>
          <cell r="D580">
            <v>0</v>
          </cell>
          <cell r="E580">
            <v>0.46</v>
          </cell>
          <cell r="F580">
            <v>0.46</v>
          </cell>
          <cell r="G580">
            <v>0</v>
          </cell>
        </row>
        <row r="581">
          <cell r="A581" t="str">
            <v>082005</v>
          </cell>
          <cell r="B581" t="str">
            <v>Pastilhas de concreto e= 4,5 cm</v>
          </cell>
          <cell r="C581" t="str">
            <v>ud</v>
          </cell>
          <cell r="D581">
            <v>0</v>
          </cell>
          <cell r="E581">
            <v>0.56999999999999995</v>
          </cell>
          <cell r="F581">
            <v>0.56999999999999995</v>
          </cell>
          <cell r="G581">
            <v>0</v>
          </cell>
        </row>
        <row r="582">
          <cell r="A582" t="str">
            <v>082006</v>
          </cell>
          <cell r="B582" t="str">
            <v>Pastilhas de concreto e= 5,0 cm</v>
          </cell>
          <cell r="C582" t="str">
            <v>ud</v>
          </cell>
          <cell r="D582">
            <v>0</v>
          </cell>
          <cell r="E582">
            <v>0.65</v>
          </cell>
          <cell r="F582">
            <v>0.65</v>
          </cell>
          <cell r="G582">
            <v>0</v>
          </cell>
        </row>
        <row r="583">
          <cell r="A583" t="str">
            <v>0821</v>
          </cell>
          <cell r="B583" t="str">
            <v>CONCRETO CONVENCIONAL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</row>
        <row r="584">
          <cell r="A584" t="str">
            <v>082101</v>
          </cell>
          <cell r="B584" t="str">
            <v>Não estrutural</v>
          </cell>
          <cell r="C584" t="str">
            <v>m3</v>
          </cell>
          <cell r="D584">
            <v>214.2</v>
          </cell>
          <cell r="E584">
            <v>140.61000000000001</v>
          </cell>
          <cell r="F584">
            <v>354.81</v>
          </cell>
          <cell r="G584">
            <v>6042</v>
          </cell>
        </row>
        <row r="585">
          <cell r="A585" t="str">
            <v>082102</v>
          </cell>
          <cell r="B585" t="str">
            <v>fck = 15,0 MPa</v>
          </cell>
          <cell r="C585" t="str">
            <v>m3</v>
          </cell>
          <cell r="D585">
            <v>284.58999999999997</v>
          </cell>
          <cell r="E585">
            <v>176.64</v>
          </cell>
          <cell r="F585">
            <v>461.23</v>
          </cell>
          <cell r="G585">
            <v>0</v>
          </cell>
        </row>
        <row r="586">
          <cell r="A586" t="str">
            <v>082103</v>
          </cell>
          <cell r="B586" t="str">
            <v>fck = 20,0 MPa</v>
          </cell>
          <cell r="C586" t="str">
            <v>m3</v>
          </cell>
          <cell r="D586">
            <v>284.58999999999997</v>
          </cell>
          <cell r="E586">
            <v>197.92</v>
          </cell>
          <cell r="F586">
            <v>482.51</v>
          </cell>
          <cell r="G586">
            <v>0</v>
          </cell>
        </row>
        <row r="587">
          <cell r="A587" t="str">
            <v>082104</v>
          </cell>
          <cell r="B587" t="str">
            <v>fck = 25,0 MPa</v>
          </cell>
          <cell r="C587" t="str">
            <v>m3</v>
          </cell>
          <cell r="D587">
            <v>284.58999999999997</v>
          </cell>
          <cell r="E587">
            <v>217.67</v>
          </cell>
          <cell r="F587">
            <v>502.26</v>
          </cell>
          <cell r="G587">
            <v>0</v>
          </cell>
        </row>
        <row r="588">
          <cell r="A588" t="str">
            <v>082105</v>
          </cell>
          <cell r="B588" t="str">
            <v>fck = 30,0 MPa</v>
          </cell>
          <cell r="C588" t="str">
            <v>m3</v>
          </cell>
          <cell r="D588">
            <v>284.58999999999997</v>
          </cell>
          <cell r="E588">
            <v>236.76</v>
          </cell>
          <cell r="F588">
            <v>521.35</v>
          </cell>
          <cell r="G588">
            <v>0</v>
          </cell>
        </row>
        <row r="589">
          <cell r="A589" t="str">
            <v>082106</v>
          </cell>
          <cell r="B589" t="str">
            <v>fck = 35,0 MPa</v>
          </cell>
          <cell r="C589" t="str">
            <v>m3</v>
          </cell>
          <cell r="D589">
            <v>284.58999999999997</v>
          </cell>
          <cell r="E589">
            <v>257.91000000000003</v>
          </cell>
          <cell r="F589">
            <v>542.5</v>
          </cell>
          <cell r="G589">
            <v>0</v>
          </cell>
        </row>
        <row r="590">
          <cell r="A590" t="str">
            <v>082107</v>
          </cell>
          <cell r="B590" t="str">
            <v>fck = 40,0 MPa</v>
          </cell>
          <cell r="C590" t="str">
            <v>m3</v>
          </cell>
          <cell r="D590">
            <v>284.58999999999997</v>
          </cell>
          <cell r="E590">
            <v>280.91000000000003</v>
          </cell>
          <cell r="F590">
            <v>565.5</v>
          </cell>
          <cell r="G590">
            <v>0</v>
          </cell>
        </row>
        <row r="591">
          <cell r="A591" t="str">
            <v>082108</v>
          </cell>
          <cell r="B591" t="str">
            <v>Ciclópico com 30 % de pedra-de-mão</v>
          </cell>
          <cell r="C591" t="str">
            <v>m3</v>
          </cell>
          <cell r="D591">
            <v>205.93</v>
          </cell>
          <cell r="E591">
            <v>137.29</v>
          </cell>
          <cell r="F591">
            <v>343.22</v>
          </cell>
          <cell r="G591">
            <v>73361</v>
          </cell>
        </row>
        <row r="592">
          <cell r="A592" t="str">
            <v>0822</v>
          </cell>
          <cell r="B592" t="str">
            <v>CONCRETO USINADO</v>
          </cell>
          <cell r="C592">
            <v>0</v>
          </cell>
          <cell r="D592">
            <v>0</v>
          </cell>
          <cell r="E592">
            <v>0</v>
          </cell>
          <cell r="F592">
            <v>0</v>
          </cell>
          <cell r="G592">
            <v>0</v>
          </cell>
        </row>
        <row r="593">
          <cell r="A593" t="str">
            <v>082201</v>
          </cell>
          <cell r="B593" t="str">
            <v>fck = 15,0 MPa - slump   5</v>
          </cell>
          <cell r="C593" t="str">
            <v>m3</v>
          </cell>
          <cell r="D593">
            <v>40.92</v>
          </cell>
          <cell r="E593">
            <v>184.65</v>
          </cell>
          <cell r="F593">
            <v>225.57</v>
          </cell>
          <cell r="G593" t="str">
            <v>74138/001</v>
          </cell>
        </row>
        <row r="594">
          <cell r="A594" t="str">
            <v>082202</v>
          </cell>
          <cell r="B594" t="str">
            <v>fck = 15,0 MPa - slump   8</v>
          </cell>
          <cell r="C594" t="str">
            <v>m3</v>
          </cell>
          <cell r="D594">
            <v>40.92</v>
          </cell>
          <cell r="E594">
            <v>202.01</v>
          </cell>
          <cell r="F594">
            <v>242.93</v>
          </cell>
          <cell r="G594" t="str">
            <v>74138/001</v>
          </cell>
        </row>
        <row r="595">
          <cell r="A595" t="str">
            <v>082203</v>
          </cell>
          <cell r="B595" t="str">
            <v>fck = 20,0 MPa - slump   5</v>
          </cell>
          <cell r="C595" t="str">
            <v>m3</v>
          </cell>
          <cell r="D595">
            <v>40.92</v>
          </cell>
          <cell r="E595">
            <v>196.19</v>
          </cell>
          <cell r="F595">
            <v>237.11</v>
          </cell>
          <cell r="G595">
            <v>0</v>
          </cell>
        </row>
        <row r="596">
          <cell r="A596" t="str">
            <v>082204</v>
          </cell>
          <cell r="B596" t="str">
            <v>fck = 20,0 MPa - slump   8</v>
          </cell>
          <cell r="C596" t="str">
            <v>m3</v>
          </cell>
          <cell r="D596">
            <v>40.92</v>
          </cell>
          <cell r="E596">
            <v>209.85</v>
          </cell>
          <cell r="F596">
            <v>250.77</v>
          </cell>
          <cell r="G596">
            <v>0</v>
          </cell>
        </row>
        <row r="597">
          <cell r="A597" t="str">
            <v>082205</v>
          </cell>
          <cell r="B597" t="str">
            <v>fck = 20,0 MPa - slump 12</v>
          </cell>
          <cell r="C597" t="str">
            <v>m3</v>
          </cell>
          <cell r="D597">
            <v>40.92</v>
          </cell>
          <cell r="E597">
            <v>248.03</v>
          </cell>
          <cell r="F597">
            <v>288.95</v>
          </cell>
          <cell r="G597">
            <v>0</v>
          </cell>
        </row>
        <row r="598">
          <cell r="A598" t="str">
            <v>082206</v>
          </cell>
          <cell r="B598" t="str">
            <v>fck = 20,0 MPa - autoadensável</v>
          </cell>
          <cell r="C598" t="str">
            <v>m3</v>
          </cell>
          <cell r="D598">
            <v>40.92</v>
          </cell>
          <cell r="E598">
            <v>230.87</v>
          </cell>
          <cell r="F598">
            <v>271.79000000000002</v>
          </cell>
          <cell r="G598">
            <v>0</v>
          </cell>
        </row>
        <row r="599">
          <cell r="A599" t="str">
            <v>082207</v>
          </cell>
          <cell r="B599" t="str">
            <v>fck = 25,0 MPa - slump   5</v>
          </cell>
          <cell r="C599" t="str">
            <v>m3</v>
          </cell>
          <cell r="D599">
            <v>40.92</v>
          </cell>
          <cell r="E599">
            <v>213.5</v>
          </cell>
          <cell r="F599">
            <v>254.42</v>
          </cell>
          <cell r="G599">
            <v>0</v>
          </cell>
        </row>
        <row r="600">
          <cell r="A600" t="str">
            <v>082208</v>
          </cell>
          <cell r="B600" t="str">
            <v>fck = 25,0 MPa - slump   8</v>
          </cell>
          <cell r="C600" t="str">
            <v>m3</v>
          </cell>
          <cell r="D600">
            <v>40.92</v>
          </cell>
          <cell r="E600">
            <v>219.16</v>
          </cell>
          <cell r="F600">
            <v>260.08</v>
          </cell>
          <cell r="G600">
            <v>0</v>
          </cell>
        </row>
        <row r="601">
          <cell r="A601" t="str">
            <v>082209</v>
          </cell>
          <cell r="B601" t="str">
            <v>fck = 25,0 MPa - slump 12</v>
          </cell>
          <cell r="C601" t="str">
            <v>m3</v>
          </cell>
          <cell r="D601">
            <v>40.92</v>
          </cell>
          <cell r="E601">
            <v>262.91000000000003</v>
          </cell>
          <cell r="F601">
            <v>303.83</v>
          </cell>
          <cell r="G601">
            <v>0</v>
          </cell>
        </row>
        <row r="602">
          <cell r="A602" t="str">
            <v>082210</v>
          </cell>
          <cell r="B602" t="str">
            <v>fck = 25,0 MPa - autoadensável</v>
          </cell>
          <cell r="C602" t="str">
            <v>m3</v>
          </cell>
          <cell r="D602">
            <v>40.92</v>
          </cell>
          <cell r="E602">
            <v>239.12</v>
          </cell>
          <cell r="F602">
            <v>280.04000000000002</v>
          </cell>
          <cell r="G602">
            <v>0</v>
          </cell>
        </row>
        <row r="603">
          <cell r="A603" t="str">
            <v>082211</v>
          </cell>
          <cell r="B603" t="str">
            <v>fck = 30,0 MPa - slump   5</v>
          </cell>
          <cell r="C603" t="str">
            <v>m3</v>
          </cell>
          <cell r="D603">
            <v>40.92</v>
          </cell>
          <cell r="E603">
            <v>223.57</v>
          </cell>
          <cell r="F603">
            <v>264.49</v>
          </cell>
          <cell r="G603">
            <v>0</v>
          </cell>
        </row>
        <row r="604">
          <cell r="A604" t="str">
            <v>082212</v>
          </cell>
          <cell r="B604" t="str">
            <v>fck = 30,0 MPa - slump   8</v>
          </cell>
          <cell r="C604" t="str">
            <v>m3</v>
          </cell>
          <cell r="D604">
            <v>40.92</v>
          </cell>
          <cell r="E604">
            <v>228.52</v>
          </cell>
          <cell r="F604">
            <v>269.44</v>
          </cell>
          <cell r="G604">
            <v>0</v>
          </cell>
        </row>
        <row r="605">
          <cell r="A605" t="str">
            <v>082213</v>
          </cell>
          <cell r="B605" t="str">
            <v>fck = 30,0 MPa - slump 12</v>
          </cell>
          <cell r="C605" t="str">
            <v>m3</v>
          </cell>
          <cell r="D605">
            <v>40.92</v>
          </cell>
          <cell r="E605">
            <v>276.24</v>
          </cell>
          <cell r="F605">
            <v>317.16000000000003</v>
          </cell>
          <cell r="G605">
            <v>0</v>
          </cell>
        </row>
        <row r="606">
          <cell r="A606" t="str">
            <v>082214</v>
          </cell>
          <cell r="B606" t="str">
            <v>fck = 30,0 MPa - autoadensável</v>
          </cell>
          <cell r="C606" t="str">
            <v>m3</v>
          </cell>
          <cell r="D606">
            <v>40.92</v>
          </cell>
          <cell r="E606">
            <v>243.96</v>
          </cell>
          <cell r="F606">
            <v>284.88</v>
          </cell>
          <cell r="G606">
            <v>0</v>
          </cell>
        </row>
        <row r="607">
          <cell r="A607" t="str">
            <v>082215</v>
          </cell>
          <cell r="B607" t="str">
            <v>fck = 35,0 MPa - slump   5</v>
          </cell>
          <cell r="C607" t="str">
            <v>m3</v>
          </cell>
          <cell r="D607">
            <v>40.92</v>
          </cell>
          <cell r="E607">
            <v>239.28</v>
          </cell>
          <cell r="F607">
            <v>280.2</v>
          </cell>
          <cell r="G607">
            <v>0</v>
          </cell>
        </row>
        <row r="608">
          <cell r="A608" t="str">
            <v>082216</v>
          </cell>
          <cell r="B608" t="str">
            <v>fck = 35,0 MPa - slump   8</v>
          </cell>
          <cell r="C608" t="str">
            <v>m3</v>
          </cell>
          <cell r="D608">
            <v>40.92</v>
          </cell>
          <cell r="E608">
            <v>238.71</v>
          </cell>
          <cell r="F608">
            <v>279.63</v>
          </cell>
          <cell r="G608">
            <v>0</v>
          </cell>
        </row>
        <row r="609">
          <cell r="A609" t="str">
            <v>082217</v>
          </cell>
          <cell r="B609" t="str">
            <v>fck = 35,0 MPa - slump 12</v>
          </cell>
          <cell r="C609" t="str">
            <v>m3</v>
          </cell>
          <cell r="D609">
            <v>40.92</v>
          </cell>
          <cell r="E609">
            <v>293.33999999999997</v>
          </cell>
          <cell r="F609">
            <v>334.26</v>
          </cell>
          <cell r="G609">
            <v>0</v>
          </cell>
        </row>
        <row r="610">
          <cell r="A610" t="str">
            <v>082218</v>
          </cell>
          <cell r="B610" t="str">
            <v>fck = 35,0 MPa - autoadensável</v>
          </cell>
          <cell r="C610" t="str">
            <v>m3</v>
          </cell>
          <cell r="D610">
            <v>40.92</v>
          </cell>
          <cell r="E610">
            <v>270.93</v>
          </cell>
          <cell r="F610">
            <v>311.85000000000002</v>
          </cell>
          <cell r="G610">
            <v>0</v>
          </cell>
        </row>
        <row r="611">
          <cell r="A611" t="str">
            <v>082219</v>
          </cell>
          <cell r="B611" t="str">
            <v>fck = 40,0 MPa - slump   5</v>
          </cell>
          <cell r="C611" t="str">
            <v>m3</v>
          </cell>
          <cell r="D611">
            <v>0</v>
          </cell>
          <cell r="E611">
            <v>0</v>
          </cell>
          <cell r="F611">
            <v>0</v>
          </cell>
          <cell r="G611">
            <v>0</v>
          </cell>
        </row>
        <row r="612">
          <cell r="A612" t="str">
            <v>082220</v>
          </cell>
          <cell r="B612" t="str">
            <v>fck = 40,0 MPa - slump   8</v>
          </cell>
          <cell r="C612" t="str">
            <v>m3</v>
          </cell>
          <cell r="D612">
            <v>40.92</v>
          </cell>
          <cell r="E612">
            <v>263.93</v>
          </cell>
          <cell r="F612">
            <v>304.85000000000002</v>
          </cell>
          <cell r="G612">
            <v>0</v>
          </cell>
        </row>
        <row r="613">
          <cell r="A613" t="str">
            <v>082221</v>
          </cell>
          <cell r="B613" t="str">
            <v>fck = 40,0 MPa - slump 12</v>
          </cell>
          <cell r="C613" t="str">
            <v>m3</v>
          </cell>
          <cell r="D613">
            <v>40.92</v>
          </cell>
          <cell r="E613">
            <v>311.12</v>
          </cell>
          <cell r="F613">
            <v>352.04</v>
          </cell>
          <cell r="G613">
            <v>0</v>
          </cell>
        </row>
        <row r="614">
          <cell r="A614" t="str">
            <v>082222</v>
          </cell>
          <cell r="B614" t="str">
            <v>fck = 40,0 MPa - autoadensável</v>
          </cell>
          <cell r="C614" t="str">
            <v>m3</v>
          </cell>
          <cell r="D614">
            <v>40.92</v>
          </cell>
          <cell r="E614">
            <v>293.60000000000002</v>
          </cell>
          <cell r="F614">
            <v>334.52</v>
          </cell>
          <cell r="G614">
            <v>0</v>
          </cell>
        </row>
        <row r="615">
          <cell r="A615" t="str">
            <v>0823</v>
          </cell>
          <cell r="B615" t="str">
            <v>BOMBEAMENTO DE CONCRETO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</row>
        <row r="616">
          <cell r="A616" t="str">
            <v>082301</v>
          </cell>
          <cell r="B616" t="str">
            <v>Bombeamento de concreto usinado</v>
          </cell>
          <cell r="C616" t="str">
            <v>m3</v>
          </cell>
          <cell r="D616">
            <v>4.22</v>
          </cell>
          <cell r="E616">
            <v>24.73</v>
          </cell>
          <cell r="F616">
            <v>28.95</v>
          </cell>
          <cell r="G616">
            <v>0</v>
          </cell>
        </row>
        <row r="617">
          <cell r="A617" t="str">
            <v>0824</v>
          </cell>
          <cell r="B617" t="str">
            <v>ARGAMASSA / NATA DE CIMENTO PARA ESTACA RAIZ / INJETADA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</row>
        <row r="618">
          <cell r="A618" t="str">
            <v>082401</v>
          </cell>
          <cell r="B618" t="str">
            <v>Argamassa de cimento e areia para estaca Raiz</v>
          </cell>
          <cell r="C618" t="str">
            <v>m3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</row>
        <row r="619">
          <cell r="A619" t="str">
            <v>082402</v>
          </cell>
          <cell r="B619" t="str">
            <v>Nata de cimento para estaca Injetada</v>
          </cell>
          <cell r="C619" t="str">
            <v>m3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</row>
        <row r="620">
          <cell r="A620" t="str">
            <v>0825</v>
          </cell>
          <cell r="B620" t="str">
            <v>ADITIVO</v>
          </cell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</row>
        <row r="621">
          <cell r="A621" t="str">
            <v>082501</v>
          </cell>
          <cell r="B621" t="str">
            <v>Plastificante</v>
          </cell>
          <cell r="C621" t="str">
            <v>kg</v>
          </cell>
          <cell r="D621">
            <v>2.1</v>
          </cell>
          <cell r="E621">
            <v>7.15</v>
          </cell>
          <cell r="F621">
            <v>9.25</v>
          </cell>
          <cell r="G621">
            <v>0</v>
          </cell>
        </row>
        <row r="622">
          <cell r="A622" t="str">
            <v>082502</v>
          </cell>
          <cell r="B622" t="str">
            <v>Retardador de tempo de pega</v>
          </cell>
          <cell r="C622" t="str">
            <v>kg</v>
          </cell>
          <cell r="D622">
            <v>2.1</v>
          </cell>
          <cell r="E622">
            <v>4.74</v>
          </cell>
          <cell r="F622">
            <v>6.84</v>
          </cell>
          <cell r="G622">
            <v>0</v>
          </cell>
        </row>
        <row r="623">
          <cell r="A623" t="str">
            <v>082503</v>
          </cell>
          <cell r="B623" t="str">
            <v>Acelerador de tempo de pega</v>
          </cell>
          <cell r="C623" t="str">
            <v>kg</v>
          </cell>
          <cell r="D623">
            <v>2.1</v>
          </cell>
          <cell r="E623">
            <v>9.61</v>
          </cell>
          <cell r="F623">
            <v>11.71</v>
          </cell>
          <cell r="G623">
            <v>0</v>
          </cell>
        </row>
        <row r="624">
          <cell r="A624" t="str">
            <v>082504</v>
          </cell>
          <cell r="B624" t="str">
            <v>Plastificante e retardador (PR)</v>
          </cell>
          <cell r="C624" t="str">
            <v>kg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</row>
        <row r="625">
          <cell r="A625" t="str">
            <v>082505</v>
          </cell>
          <cell r="B625" t="str">
            <v>Plastificante e acelerador (PA)</v>
          </cell>
          <cell r="C625" t="str">
            <v>kg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</row>
        <row r="626">
          <cell r="A626" t="str">
            <v>082506</v>
          </cell>
          <cell r="B626" t="str">
            <v>Incorporador de ar (IAR)</v>
          </cell>
          <cell r="C626" t="str">
            <v>kg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</row>
        <row r="627">
          <cell r="A627" t="str">
            <v>082507</v>
          </cell>
          <cell r="B627" t="str">
            <v>Superplastificante (SP)</v>
          </cell>
          <cell r="C627" t="str">
            <v>kg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A628" t="str">
            <v>082508</v>
          </cell>
          <cell r="B628" t="str">
            <v>Expansor</v>
          </cell>
          <cell r="C628" t="str">
            <v>kg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</row>
        <row r="629">
          <cell r="A629" t="str">
            <v>082509</v>
          </cell>
          <cell r="B629" t="str">
            <v>Impermeabilizante e hidrofugante</v>
          </cell>
          <cell r="C629" t="str">
            <v>kg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</row>
        <row r="630">
          <cell r="A630" t="str">
            <v>082510</v>
          </cell>
          <cell r="B630" t="str">
            <v>Redutor de retração</v>
          </cell>
          <cell r="C630" t="str">
            <v>kg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</row>
        <row r="631">
          <cell r="A631" t="str">
            <v>0826</v>
          </cell>
          <cell r="B631" t="str">
            <v>JUNTA DE DILATAÇÃO</v>
          </cell>
          <cell r="C631">
            <v>0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</row>
        <row r="632">
          <cell r="A632" t="str">
            <v>082601</v>
          </cell>
          <cell r="B632" t="str">
            <v>Junta de dilatação com isopor</v>
          </cell>
          <cell r="C632" t="str">
            <v>m</v>
          </cell>
          <cell r="D632">
            <v>2.14</v>
          </cell>
          <cell r="E632">
            <v>1.64</v>
          </cell>
          <cell r="F632">
            <v>3.78</v>
          </cell>
          <cell r="G632">
            <v>0</v>
          </cell>
        </row>
        <row r="633">
          <cell r="A633" t="str">
            <v>082602</v>
          </cell>
          <cell r="B633" t="str">
            <v>Junta de dilatação com mastique asfáltico</v>
          </cell>
          <cell r="C633" t="str">
            <v>m</v>
          </cell>
          <cell r="D633">
            <v>2.79</v>
          </cell>
          <cell r="E633">
            <v>9.1999999999999993</v>
          </cell>
          <cell r="F633">
            <v>11.99</v>
          </cell>
          <cell r="G633" t="str">
            <v>74121/001</v>
          </cell>
        </row>
        <row r="634">
          <cell r="A634" t="str">
            <v>0827</v>
          </cell>
          <cell r="B634" t="str">
            <v>CURA DO CONCRETO</v>
          </cell>
          <cell r="C634">
            <v>0</v>
          </cell>
          <cell r="D634">
            <v>0</v>
          </cell>
          <cell r="E634">
            <v>0</v>
          </cell>
          <cell r="F634">
            <v>0</v>
          </cell>
          <cell r="G634">
            <v>0</v>
          </cell>
        </row>
        <row r="635">
          <cell r="A635" t="str">
            <v>082701</v>
          </cell>
          <cell r="B635" t="str">
            <v>Lâmina de água</v>
          </cell>
          <cell r="C635" t="str">
            <v>m2</v>
          </cell>
          <cell r="D635">
            <v>0.82</v>
          </cell>
          <cell r="E635">
            <v>0</v>
          </cell>
          <cell r="F635">
            <v>0.82</v>
          </cell>
          <cell r="G635">
            <v>0</v>
          </cell>
        </row>
        <row r="636">
          <cell r="A636" t="str">
            <v>082702</v>
          </cell>
          <cell r="B636" t="str">
            <v>Gotejamento contínuo</v>
          </cell>
          <cell r="C636" t="str">
            <v>m</v>
          </cell>
          <cell r="D636">
            <v>3.94</v>
          </cell>
          <cell r="E636">
            <v>0.33</v>
          </cell>
          <cell r="F636">
            <v>4.2699999999999996</v>
          </cell>
          <cell r="G636">
            <v>0</v>
          </cell>
        </row>
        <row r="637">
          <cell r="A637" t="str">
            <v>082703</v>
          </cell>
          <cell r="B637" t="str">
            <v>Cura química</v>
          </cell>
          <cell r="C637" t="str">
            <v>m2</v>
          </cell>
          <cell r="D637">
            <v>7.49</v>
          </cell>
          <cell r="E637">
            <v>1.89</v>
          </cell>
          <cell r="F637">
            <v>9.3800000000000008</v>
          </cell>
          <cell r="G637">
            <v>0</v>
          </cell>
        </row>
        <row r="638">
          <cell r="A638" t="str">
            <v>0828</v>
          </cell>
          <cell r="B638" t="str">
            <v>GRAUTEAMENTO</v>
          </cell>
          <cell r="C638">
            <v>0</v>
          </cell>
          <cell r="D638">
            <v>0</v>
          </cell>
          <cell r="E638">
            <v>0</v>
          </cell>
          <cell r="F638">
            <v>0</v>
          </cell>
          <cell r="G638">
            <v>0</v>
          </cell>
        </row>
        <row r="639">
          <cell r="A639" t="str">
            <v>082801</v>
          </cell>
          <cell r="B639" t="str">
            <v>Argamassa de grauteamento</v>
          </cell>
          <cell r="C639" t="str">
            <v>m3</v>
          </cell>
          <cell r="D639">
            <v>252.8</v>
          </cell>
          <cell r="E639">
            <v>2877</v>
          </cell>
          <cell r="F639">
            <v>3129.8</v>
          </cell>
          <cell r="G639">
            <v>84100</v>
          </cell>
        </row>
        <row r="640">
          <cell r="A640" t="str">
            <v>082802</v>
          </cell>
          <cell r="B640" t="str">
            <v>Argamassa de grauteamento com pedrisco</v>
          </cell>
          <cell r="C640" t="str">
            <v>m3</v>
          </cell>
          <cell r="D640">
            <v>252.8</v>
          </cell>
          <cell r="E640">
            <v>2080.84</v>
          </cell>
          <cell r="F640">
            <v>2333.64</v>
          </cell>
          <cell r="G640">
            <v>84100</v>
          </cell>
        </row>
        <row r="641">
          <cell r="A641" t="str">
            <v>0829</v>
          </cell>
          <cell r="B641" t="str">
            <v>CONCRETO PROTENDIDO</v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</row>
        <row r="642">
          <cell r="A642" t="str">
            <v>082901</v>
          </cell>
          <cell r="B642" t="str">
            <v>Protensão</v>
          </cell>
          <cell r="C642" t="str">
            <v>kg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</row>
        <row r="643">
          <cell r="A643" t="str">
            <v>0830</v>
          </cell>
          <cell r="B643" t="str">
            <v>PROTEÇÃO E IMPERMEABILIZAÇÃO DAS ESTRUTURAS DE CONCRETO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</row>
        <row r="644">
          <cell r="A644" t="str">
            <v>083001</v>
          </cell>
          <cell r="B644" t="str">
            <v>Impermeabilização flexível com poliuretano ou poliuréia</v>
          </cell>
          <cell r="C644" t="str">
            <v>m2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</row>
        <row r="645">
          <cell r="A645" t="str">
            <v>083002</v>
          </cell>
          <cell r="B645" t="str">
            <v>Impermeabilização flexível com poliuretano</v>
          </cell>
          <cell r="C645" t="str">
            <v>m2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</row>
        <row r="646">
          <cell r="A646" t="str">
            <v>083003</v>
          </cell>
          <cell r="B646" t="str">
            <v>Impermeabilização flexível com poliuréia</v>
          </cell>
          <cell r="C646" t="str">
            <v>m2</v>
          </cell>
          <cell r="D646">
            <v>0</v>
          </cell>
          <cell r="E646">
            <v>0</v>
          </cell>
          <cell r="F646">
            <v>0</v>
          </cell>
          <cell r="G646">
            <v>0</v>
          </cell>
        </row>
        <row r="647">
          <cell r="A647" t="str">
            <v>083004</v>
          </cell>
          <cell r="B647" t="str">
            <v>Impermeabilização com manta asfáltica</v>
          </cell>
          <cell r="C647" t="str">
            <v>m2</v>
          </cell>
          <cell r="D647">
            <v>12.86</v>
          </cell>
          <cell r="E647">
            <v>57.83</v>
          </cell>
          <cell r="F647">
            <v>70.69</v>
          </cell>
          <cell r="G647">
            <v>83738</v>
          </cell>
        </row>
        <row r="648">
          <cell r="A648" t="str">
            <v>083005</v>
          </cell>
          <cell r="B648" t="str">
            <v>Filme de polietileno</v>
          </cell>
          <cell r="C648" t="str">
            <v>m2</v>
          </cell>
          <cell r="D648">
            <v>0.33</v>
          </cell>
          <cell r="E648">
            <v>1.51</v>
          </cell>
          <cell r="F648">
            <v>1.84</v>
          </cell>
          <cell r="G648">
            <v>0</v>
          </cell>
        </row>
        <row r="649">
          <cell r="A649" t="str">
            <v>083006</v>
          </cell>
          <cell r="B649" t="str">
            <v>Impermeabilização com manta autoadesiva em PEAD</v>
          </cell>
          <cell r="C649" t="str">
            <v>m2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</row>
        <row r="650">
          <cell r="A650" t="str">
            <v>083007</v>
          </cell>
          <cell r="B650" t="str">
            <v>Sombreamento - placas de concreto apoiadas em pilaretes</v>
          </cell>
          <cell r="C650" t="str">
            <v>m2</v>
          </cell>
          <cell r="D650">
            <v>98.89</v>
          </cell>
          <cell r="E650">
            <v>49.58</v>
          </cell>
          <cell r="F650">
            <v>148.47</v>
          </cell>
          <cell r="G650">
            <v>0</v>
          </cell>
        </row>
        <row r="651">
          <cell r="A651" t="str">
            <v>083008</v>
          </cell>
          <cell r="B651" t="str">
            <v>Sombreamento - placas de concreto apoiadas em EPS</v>
          </cell>
          <cell r="C651" t="str">
            <v>m2</v>
          </cell>
          <cell r="D651">
            <v>61.4</v>
          </cell>
          <cell r="E651">
            <v>60.07</v>
          </cell>
          <cell r="F651">
            <v>121.47</v>
          </cell>
          <cell r="G651">
            <v>0</v>
          </cell>
        </row>
        <row r="652">
          <cell r="A652" t="str">
            <v>083009</v>
          </cell>
          <cell r="B652" t="str">
            <v>Geomanta tridimensional esp. 10 mm</v>
          </cell>
          <cell r="C652" t="str">
            <v>m2</v>
          </cell>
          <cell r="D652">
            <v>0.66</v>
          </cell>
          <cell r="E652">
            <v>19.96</v>
          </cell>
          <cell r="F652">
            <v>20.62</v>
          </cell>
          <cell r="G652">
            <v>0</v>
          </cell>
        </row>
        <row r="653">
          <cell r="A653" t="str">
            <v>0831</v>
          </cell>
          <cell r="B653" t="str">
            <v>LAJE PRÉ-FABRICADA</v>
          </cell>
          <cell r="C653">
            <v>0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</row>
        <row r="654">
          <cell r="A654" t="str">
            <v>083101</v>
          </cell>
          <cell r="B654" t="str">
            <v>Para forro, vão até 4,00 metros</v>
          </cell>
          <cell r="C654" t="str">
            <v>m2</v>
          </cell>
          <cell r="D654">
            <v>27.45</v>
          </cell>
          <cell r="E654">
            <v>47.45</v>
          </cell>
          <cell r="F654">
            <v>74.900000000000006</v>
          </cell>
          <cell r="G654" t="str">
            <v>74202/001</v>
          </cell>
        </row>
        <row r="655">
          <cell r="A655" t="str">
            <v>083102</v>
          </cell>
          <cell r="B655" t="str">
            <v>Para forro, vão entre 4,01 e 5,50 metros</v>
          </cell>
          <cell r="C655" t="str">
            <v>m2</v>
          </cell>
          <cell r="D655">
            <v>27.45</v>
          </cell>
          <cell r="E655">
            <v>49.82</v>
          </cell>
          <cell r="F655">
            <v>77.27</v>
          </cell>
          <cell r="G655" t="str">
            <v>74202/001</v>
          </cell>
        </row>
        <row r="656">
          <cell r="A656" t="str">
            <v>083103</v>
          </cell>
          <cell r="B656" t="str">
            <v>Para piso, vão até 4,00 metros</v>
          </cell>
          <cell r="C656" t="str">
            <v>m2</v>
          </cell>
          <cell r="D656">
            <v>27.45</v>
          </cell>
          <cell r="E656">
            <v>50.38</v>
          </cell>
          <cell r="F656">
            <v>77.83</v>
          </cell>
          <cell r="G656" t="str">
            <v>74202/002</v>
          </cell>
        </row>
        <row r="657">
          <cell r="A657" t="str">
            <v>083104</v>
          </cell>
          <cell r="B657" t="str">
            <v>Para piso, vão entre 4,01 e 5,50 metros</v>
          </cell>
          <cell r="C657" t="str">
            <v>m2</v>
          </cell>
          <cell r="D657">
            <v>27.45</v>
          </cell>
          <cell r="E657">
            <v>52.07</v>
          </cell>
          <cell r="F657">
            <v>79.52</v>
          </cell>
          <cell r="G657" t="str">
            <v>74202/002</v>
          </cell>
        </row>
        <row r="658">
          <cell r="A658" t="str">
            <v>0832</v>
          </cell>
          <cell r="B658" t="str">
            <v>RECUPERAÇÃO DE ESTRUTURAS DE CONCRETO</v>
          </cell>
          <cell r="C658">
            <v>0</v>
          </cell>
          <cell r="D658">
            <v>0</v>
          </cell>
          <cell r="E658">
            <v>0</v>
          </cell>
          <cell r="F658">
            <v>0</v>
          </cell>
          <cell r="G658">
            <v>0</v>
          </cell>
        </row>
        <row r="659">
          <cell r="A659" t="str">
            <v>083201</v>
          </cell>
          <cell r="B659" t="str">
            <v>Reparos superficiais com argamassa polimérica (prof. até 1,0 cm)</v>
          </cell>
          <cell r="C659" t="str">
            <v>m2</v>
          </cell>
          <cell r="D659">
            <v>107.18</v>
          </cell>
          <cell r="E659">
            <v>68.52</v>
          </cell>
          <cell r="F659">
            <v>175.7</v>
          </cell>
          <cell r="G659">
            <v>83730</v>
          </cell>
        </row>
        <row r="660">
          <cell r="A660" t="str">
            <v>083202</v>
          </cell>
          <cell r="B660" t="str">
            <v>Reparos rasos com argamassa polimérica (prof. até 3,0 cm)</v>
          </cell>
          <cell r="C660" t="str">
            <v>m2</v>
          </cell>
          <cell r="D660">
            <v>94.88</v>
          </cell>
          <cell r="E660">
            <v>80.819999999999993</v>
          </cell>
          <cell r="F660">
            <v>175.7</v>
          </cell>
          <cell r="G660">
            <v>83730</v>
          </cell>
        </row>
        <row r="661">
          <cell r="A661" t="str">
            <v>083203</v>
          </cell>
          <cell r="B661" t="str">
            <v>Reparos semi-profundos com argamassa polimérica (prof. até 5,0 cm)</v>
          </cell>
          <cell r="C661" t="str">
            <v>m2</v>
          </cell>
          <cell r="D661">
            <v>79.069999999999993</v>
          </cell>
          <cell r="E661">
            <v>96.63</v>
          </cell>
          <cell r="F661">
            <v>175.7</v>
          </cell>
          <cell r="G661">
            <v>83730</v>
          </cell>
        </row>
        <row r="662">
          <cell r="A662" t="str">
            <v>083204</v>
          </cell>
          <cell r="B662" t="str">
            <v>Reparos semi-profundos com concreto projetado (prof. até 5,0 cm)</v>
          </cell>
          <cell r="C662" t="str">
            <v>m2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</row>
        <row r="663">
          <cell r="A663" t="str">
            <v>083205</v>
          </cell>
          <cell r="B663" t="str">
            <v>Reparos profundos com graute (prof. até 30,0 cm)</v>
          </cell>
          <cell r="C663" t="str">
            <v>m2</v>
          </cell>
          <cell r="D663">
            <v>454.79</v>
          </cell>
          <cell r="E663">
            <v>629.57000000000005</v>
          </cell>
          <cell r="F663">
            <v>1084.3599999999999</v>
          </cell>
          <cell r="G663">
            <v>0</v>
          </cell>
        </row>
        <row r="664">
          <cell r="A664" t="str">
            <v>083206</v>
          </cell>
          <cell r="B664" t="str">
            <v>Reposição ou reforço de armaduras - Emendas por transpasse</v>
          </cell>
          <cell r="C664" t="str">
            <v>kg</v>
          </cell>
          <cell r="D664">
            <v>3.74</v>
          </cell>
          <cell r="E664">
            <v>3.88</v>
          </cell>
          <cell r="F664">
            <v>7.62</v>
          </cell>
          <cell r="G664">
            <v>0</v>
          </cell>
        </row>
        <row r="665">
          <cell r="A665" t="str">
            <v>083207</v>
          </cell>
          <cell r="B665" t="str">
            <v>Reposição ou reforço de armaduras - Emendas por solda</v>
          </cell>
          <cell r="C665" t="str">
            <v>kg</v>
          </cell>
          <cell r="D665">
            <v>0</v>
          </cell>
          <cell r="E665">
            <v>0</v>
          </cell>
          <cell r="F665">
            <v>0</v>
          </cell>
          <cell r="G665">
            <v>0</v>
          </cell>
        </row>
        <row r="666">
          <cell r="A666" t="str">
            <v>083208</v>
          </cell>
          <cell r="B666" t="str">
            <v>Injeção de gel de poliuretano</v>
          </cell>
          <cell r="C666" t="str">
            <v>m</v>
          </cell>
          <cell r="D666">
            <v>105.98</v>
          </cell>
          <cell r="E666">
            <v>394.04</v>
          </cell>
          <cell r="F666">
            <v>500.02</v>
          </cell>
          <cell r="G666">
            <v>0</v>
          </cell>
        </row>
        <row r="667">
          <cell r="A667" t="str">
            <v>083209</v>
          </cell>
          <cell r="B667" t="str">
            <v>Injeção de espuma e gel de poliuretano</v>
          </cell>
          <cell r="C667" t="str">
            <v>m</v>
          </cell>
          <cell r="D667">
            <v>105.98</v>
          </cell>
          <cell r="E667">
            <v>426</v>
          </cell>
          <cell r="F667">
            <v>531.98</v>
          </cell>
          <cell r="G667">
            <v>0</v>
          </cell>
        </row>
        <row r="668">
          <cell r="A668" t="str">
            <v>083210</v>
          </cell>
          <cell r="B668" t="str">
            <v>Mobilização e desmobilização para serviços de recuperação estrutural</v>
          </cell>
          <cell r="C668" t="str">
            <v>ud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</row>
        <row r="669">
          <cell r="A669" t="str">
            <v>0833</v>
          </cell>
          <cell r="B669" t="str">
            <v>CONTROLE TECNOLÓGICO DE ESTACAS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</row>
        <row r="670">
          <cell r="A670" t="str">
            <v>083301</v>
          </cell>
          <cell r="B670" t="str">
            <v>Verificação de integridade de estaca - PIT</v>
          </cell>
          <cell r="C670" t="str">
            <v>ud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</row>
        <row r="671">
          <cell r="A671" t="str">
            <v>083302</v>
          </cell>
          <cell r="B671" t="str">
            <v>Prova de carga estática em estaca até 20 tf</v>
          </cell>
          <cell r="C671" t="str">
            <v>ud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</row>
        <row r="672">
          <cell r="A672" t="str">
            <v>083303</v>
          </cell>
          <cell r="B672" t="str">
            <v>Prova de carga estática em estaca de 21 até 30 tf</v>
          </cell>
          <cell r="C672" t="str">
            <v>ud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</row>
        <row r="673">
          <cell r="A673" t="str">
            <v>083304</v>
          </cell>
          <cell r="B673" t="str">
            <v>Prova de carga estática em estaca de 31 até 40 tf</v>
          </cell>
          <cell r="C673" t="str">
            <v>ud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</row>
        <row r="674">
          <cell r="A674" t="str">
            <v>083305</v>
          </cell>
          <cell r="B674" t="str">
            <v>Prova de carga estática em estaca de 41 até 50 tf</v>
          </cell>
          <cell r="C674" t="str">
            <v>ud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</row>
        <row r="675">
          <cell r="A675" t="str">
            <v>083306</v>
          </cell>
          <cell r="B675" t="str">
            <v>Prova de carga estática em estaca de 51 até 60 tf</v>
          </cell>
          <cell r="C675" t="str">
            <v>ud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</row>
        <row r="676">
          <cell r="A676" t="str">
            <v>083307</v>
          </cell>
          <cell r="B676" t="str">
            <v>Prova de carga estática em estaca de 61 até 100 tf</v>
          </cell>
          <cell r="C676" t="str">
            <v>ud</v>
          </cell>
          <cell r="D676">
            <v>0</v>
          </cell>
          <cell r="E676">
            <v>0</v>
          </cell>
          <cell r="F676">
            <v>0</v>
          </cell>
          <cell r="G676">
            <v>0</v>
          </cell>
        </row>
        <row r="677">
          <cell r="A677" t="str">
            <v>083308</v>
          </cell>
          <cell r="B677" t="str">
            <v>Prova de carga estática em estaca acima de 100 tf</v>
          </cell>
          <cell r="C677" t="str">
            <v>ud</v>
          </cell>
          <cell r="D677">
            <v>0</v>
          </cell>
          <cell r="E677">
            <v>0</v>
          </cell>
          <cell r="F677">
            <v>0</v>
          </cell>
          <cell r="G677">
            <v>0</v>
          </cell>
        </row>
        <row r="678">
          <cell r="A678" t="str">
            <v>083309</v>
          </cell>
          <cell r="B678" t="str">
            <v>Prova de carga dinâmica em estaca até 20 tf</v>
          </cell>
          <cell r="C678" t="str">
            <v>ud</v>
          </cell>
          <cell r="D678">
            <v>0</v>
          </cell>
          <cell r="E678">
            <v>0</v>
          </cell>
          <cell r="F678">
            <v>0</v>
          </cell>
          <cell r="G678">
            <v>0</v>
          </cell>
        </row>
        <row r="679">
          <cell r="A679" t="str">
            <v>083310</v>
          </cell>
          <cell r="B679" t="str">
            <v>Prova de carga dinâmica em estaca de 21 até 30 tf</v>
          </cell>
          <cell r="C679" t="str">
            <v>ud</v>
          </cell>
          <cell r="D679">
            <v>0</v>
          </cell>
          <cell r="E679">
            <v>0</v>
          </cell>
          <cell r="F679">
            <v>0</v>
          </cell>
          <cell r="G679">
            <v>0</v>
          </cell>
        </row>
        <row r="680">
          <cell r="A680" t="str">
            <v>083311</v>
          </cell>
          <cell r="B680" t="str">
            <v>Prova de carga dinâmica em estaca de 31 até 40 tf</v>
          </cell>
          <cell r="C680" t="str">
            <v>ud</v>
          </cell>
          <cell r="D680">
            <v>0</v>
          </cell>
          <cell r="E680">
            <v>0</v>
          </cell>
          <cell r="F680">
            <v>0</v>
          </cell>
          <cell r="G680">
            <v>0</v>
          </cell>
        </row>
        <row r="681">
          <cell r="A681" t="str">
            <v>083312</v>
          </cell>
          <cell r="B681" t="str">
            <v>Prova de carga dinâmica em estaca de 41 até 50 tf</v>
          </cell>
          <cell r="C681" t="str">
            <v>ud</v>
          </cell>
          <cell r="D681">
            <v>0</v>
          </cell>
          <cell r="E681">
            <v>0</v>
          </cell>
          <cell r="F681">
            <v>0</v>
          </cell>
          <cell r="G681">
            <v>0</v>
          </cell>
        </row>
        <row r="682">
          <cell r="A682" t="str">
            <v>083313</v>
          </cell>
          <cell r="B682" t="str">
            <v>Prova de carga dinâmica em estaca de 51 até 60 tf</v>
          </cell>
          <cell r="C682" t="str">
            <v>ud</v>
          </cell>
          <cell r="D682">
            <v>0</v>
          </cell>
          <cell r="E682">
            <v>0</v>
          </cell>
          <cell r="F682">
            <v>0</v>
          </cell>
          <cell r="G682">
            <v>0</v>
          </cell>
        </row>
        <row r="683">
          <cell r="A683" t="str">
            <v>083314</v>
          </cell>
          <cell r="B683" t="str">
            <v>Prova de carga dinâmica em estaca de 61 até 100 tf</v>
          </cell>
          <cell r="C683" t="str">
            <v>ud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</row>
        <row r="684">
          <cell r="A684" t="str">
            <v>083315</v>
          </cell>
          <cell r="B684" t="str">
            <v>Prova de carga dinâmica em estaca acima de 100 tf</v>
          </cell>
          <cell r="C684" t="str">
            <v>ud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</row>
        <row r="685">
          <cell r="A685" t="str">
            <v>0834</v>
          </cell>
          <cell r="B685" t="str">
            <v>CONTROLE TECNOLÓGICO DO CONCRETO</v>
          </cell>
          <cell r="C685">
            <v>0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</row>
        <row r="686">
          <cell r="A686" t="str">
            <v>083401</v>
          </cell>
          <cell r="B686" t="str">
            <v>Dosagem</v>
          </cell>
          <cell r="C686" t="str">
            <v>ud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</row>
        <row r="687">
          <cell r="A687" t="str">
            <v>083402</v>
          </cell>
          <cell r="B687" t="str">
            <v>Controle de resistência do concreto</v>
          </cell>
          <cell r="C687" t="str">
            <v>ud</v>
          </cell>
          <cell r="D687">
            <v>0</v>
          </cell>
          <cell r="E687">
            <v>0</v>
          </cell>
          <cell r="F687">
            <v>0</v>
          </cell>
          <cell r="G687">
            <v>0</v>
          </cell>
        </row>
        <row r="688">
          <cell r="A688" t="str">
            <v>09</v>
          </cell>
          <cell r="B688" t="str">
            <v>ASSENTAMENTOS</v>
          </cell>
          <cell r="C688">
            <v>0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</row>
        <row r="689">
          <cell r="A689" t="str">
            <v>0901</v>
          </cell>
          <cell r="B689" t="str">
            <v>TUBULAÇÃO DE PVC JE / JEI PARA ÁGUA</v>
          </cell>
          <cell r="C689">
            <v>0</v>
          </cell>
          <cell r="D689">
            <v>0</v>
          </cell>
          <cell r="E689">
            <v>0</v>
          </cell>
          <cell r="F689">
            <v>0</v>
          </cell>
          <cell r="G689">
            <v>0</v>
          </cell>
        </row>
        <row r="690">
          <cell r="A690" t="str">
            <v>090101</v>
          </cell>
          <cell r="B690" t="str">
            <v>DN 50</v>
          </cell>
          <cell r="C690" t="str">
            <v>m</v>
          </cell>
          <cell r="D690">
            <v>0.66</v>
          </cell>
          <cell r="E690">
            <v>0.02</v>
          </cell>
          <cell r="F690">
            <v>0.68</v>
          </cell>
          <cell r="G690">
            <v>97124</v>
          </cell>
        </row>
        <row r="691">
          <cell r="A691" t="str">
            <v>090102</v>
          </cell>
          <cell r="B691" t="str">
            <v>DN 75</v>
          </cell>
          <cell r="C691" t="str">
            <v>m</v>
          </cell>
          <cell r="D691">
            <v>0.93</v>
          </cell>
          <cell r="E691">
            <v>0.03</v>
          </cell>
          <cell r="F691">
            <v>0.96</v>
          </cell>
          <cell r="G691">
            <v>97125</v>
          </cell>
        </row>
        <row r="692">
          <cell r="A692" t="str">
            <v>090103</v>
          </cell>
          <cell r="B692" t="str">
            <v>DN 100</v>
          </cell>
          <cell r="C692" t="str">
            <v>m</v>
          </cell>
          <cell r="D692">
            <v>1.19</v>
          </cell>
          <cell r="E692">
            <v>0.04</v>
          </cell>
          <cell r="F692">
            <v>1.23</v>
          </cell>
          <cell r="G692">
            <v>97126</v>
          </cell>
        </row>
        <row r="693">
          <cell r="A693" t="str">
            <v>090104</v>
          </cell>
          <cell r="B693" t="str">
            <v>DN 150</v>
          </cell>
          <cell r="C693" t="str">
            <v>m</v>
          </cell>
          <cell r="D693">
            <v>3.7</v>
          </cell>
          <cell r="E693">
            <v>0.16</v>
          </cell>
          <cell r="F693">
            <v>3.86</v>
          </cell>
          <cell r="G693" t="str">
            <v>73888/004</v>
          </cell>
        </row>
        <row r="694">
          <cell r="A694" t="str">
            <v>090105</v>
          </cell>
          <cell r="B694" t="str">
            <v>DN 200</v>
          </cell>
          <cell r="C694" t="str">
            <v>m</v>
          </cell>
          <cell r="D694">
            <v>4.5</v>
          </cell>
          <cell r="E694">
            <v>0.22</v>
          </cell>
          <cell r="F694">
            <v>4.72</v>
          </cell>
          <cell r="G694" t="str">
            <v>73888/005</v>
          </cell>
        </row>
        <row r="695">
          <cell r="A695" t="str">
            <v>090106</v>
          </cell>
          <cell r="B695" t="str">
            <v>DN 250</v>
          </cell>
          <cell r="C695" t="str">
            <v>m</v>
          </cell>
          <cell r="D695">
            <v>5.44</v>
          </cell>
          <cell r="E695">
            <v>0.26</v>
          </cell>
          <cell r="F695">
            <v>5.7</v>
          </cell>
          <cell r="G695" t="str">
            <v>73888/006</v>
          </cell>
        </row>
        <row r="696">
          <cell r="A696" t="str">
            <v>090107</v>
          </cell>
          <cell r="B696" t="str">
            <v>DN 300</v>
          </cell>
          <cell r="C696" t="str">
            <v>m</v>
          </cell>
          <cell r="D696">
            <v>6.99</v>
          </cell>
          <cell r="E696">
            <v>0.31</v>
          </cell>
          <cell r="F696">
            <v>7.3</v>
          </cell>
          <cell r="G696" t="str">
            <v>73888/007</v>
          </cell>
        </row>
        <row r="697">
          <cell r="A697" t="str">
            <v>090108</v>
          </cell>
          <cell r="B697" t="str">
            <v>DN 400</v>
          </cell>
          <cell r="C697" t="str">
            <v>m</v>
          </cell>
          <cell r="D697">
            <v>11.27</v>
          </cell>
          <cell r="E697">
            <v>0.4</v>
          </cell>
          <cell r="F697">
            <v>11.67</v>
          </cell>
          <cell r="G697" t="str">
            <v>73888/009</v>
          </cell>
        </row>
        <row r="698">
          <cell r="A698" t="str">
            <v>090109</v>
          </cell>
          <cell r="B698" t="str">
            <v>DN 500</v>
          </cell>
          <cell r="C698" t="str">
            <v>m</v>
          </cell>
          <cell r="D698">
            <v>13.36</v>
          </cell>
          <cell r="E698">
            <v>0.56000000000000005</v>
          </cell>
          <cell r="F698">
            <v>13.92</v>
          </cell>
          <cell r="G698" t="str">
            <v>73888/010</v>
          </cell>
        </row>
        <row r="699">
          <cell r="A699" t="str">
            <v>090110</v>
          </cell>
          <cell r="B699" t="str">
            <v>DN 600</v>
          </cell>
          <cell r="C699" t="str">
            <v>m</v>
          </cell>
          <cell r="D699">
            <v>15.85</v>
          </cell>
          <cell r="E699">
            <v>0.63</v>
          </cell>
          <cell r="F699">
            <v>16.48</v>
          </cell>
          <cell r="G699" t="str">
            <v>73888/011</v>
          </cell>
        </row>
        <row r="700">
          <cell r="A700" t="str">
            <v>090111</v>
          </cell>
          <cell r="B700" t="str">
            <v>DN 700</v>
          </cell>
          <cell r="C700" t="str">
            <v>m</v>
          </cell>
          <cell r="D700">
            <v>18.38</v>
          </cell>
          <cell r="E700">
            <v>0.71</v>
          </cell>
          <cell r="F700">
            <v>19.09</v>
          </cell>
          <cell r="G700" t="str">
            <v>73888/012</v>
          </cell>
        </row>
        <row r="701">
          <cell r="A701" t="str">
            <v>090112</v>
          </cell>
          <cell r="B701" t="str">
            <v>DN 800</v>
          </cell>
          <cell r="C701" t="str">
            <v>m</v>
          </cell>
          <cell r="D701">
            <v>21.15</v>
          </cell>
          <cell r="E701">
            <v>0.79</v>
          </cell>
          <cell r="F701">
            <v>21.94</v>
          </cell>
          <cell r="G701" t="str">
            <v>73888/013</v>
          </cell>
        </row>
        <row r="702">
          <cell r="A702" t="str">
            <v>090113</v>
          </cell>
          <cell r="B702" t="str">
            <v>DN 900</v>
          </cell>
          <cell r="C702" t="str">
            <v>m</v>
          </cell>
          <cell r="D702">
            <v>24.03</v>
          </cell>
          <cell r="E702">
            <v>0.95</v>
          </cell>
          <cell r="F702">
            <v>24.98</v>
          </cell>
          <cell r="G702" t="str">
            <v>73888/014</v>
          </cell>
        </row>
        <row r="703">
          <cell r="A703" t="str">
            <v>090114</v>
          </cell>
          <cell r="B703" t="str">
            <v>DN 1000</v>
          </cell>
          <cell r="C703" t="str">
            <v>m</v>
          </cell>
          <cell r="D703">
            <v>27.01</v>
          </cell>
          <cell r="E703">
            <v>1.03</v>
          </cell>
          <cell r="F703">
            <v>28.04</v>
          </cell>
          <cell r="G703" t="str">
            <v>73888/015</v>
          </cell>
        </row>
        <row r="704">
          <cell r="A704" t="str">
            <v>0902</v>
          </cell>
          <cell r="B704" t="str">
            <v>TUBULAÇÃO DE PVC JE / JEI PARA ESGOTO</v>
          </cell>
          <cell r="C704">
            <v>0</v>
          </cell>
          <cell r="D704">
            <v>0</v>
          </cell>
          <cell r="E704">
            <v>0</v>
          </cell>
          <cell r="F704">
            <v>0</v>
          </cell>
          <cell r="G704">
            <v>0</v>
          </cell>
        </row>
        <row r="705">
          <cell r="A705" t="str">
            <v>090201</v>
          </cell>
          <cell r="B705" t="str">
            <v>DN 100</v>
          </cell>
          <cell r="C705" t="str">
            <v>m</v>
          </cell>
          <cell r="D705">
            <v>2.13</v>
          </cell>
          <cell r="E705">
            <v>0.04</v>
          </cell>
          <cell r="F705">
            <v>2.17</v>
          </cell>
          <cell r="G705">
            <v>90733</v>
          </cell>
        </row>
        <row r="706">
          <cell r="A706" t="str">
            <v>090202</v>
          </cell>
          <cell r="B706" t="str">
            <v>DN 150</v>
          </cell>
          <cell r="C706" t="str">
            <v>m</v>
          </cell>
          <cell r="D706">
            <v>2.56</v>
          </cell>
          <cell r="E706">
            <v>0.08</v>
          </cell>
          <cell r="F706">
            <v>2.64</v>
          </cell>
          <cell r="G706">
            <v>90734</v>
          </cell>
        </row>
        <row r="707">
          <cell r="A707" t="str">
            <v>090203</v>
          </cell>
          <cell r="B707" t="str">
            <v>DN 200</v>
          </cell>
          <cell r="C707" t="str">
            <v>m</v>
          </cell>
          <cell r="D707">
            <v>3.01</v>
          </cell>
          <cell r="E707">
            <v>0.13</v>
          </cell>
          <cell r="F707">
            <v>3.14</v>
          </cell>
          <cell r="G707">
            <v>90735</v>
          </cell>
        </row>
        <row r="708">
          <cell r="A708" t="str">
            <v>090204</v>
          </cell>
          <cell r="B708" t="str">
            <v>DN 250</v>
          </cell>
          <cell r="C708" t="str">
            <v>m</v>
          </cell>
          <cell r="D708">
            <v>3.48</v>
          </cell>
          <cell r="E708">
            <v>0.14000000000000001</v>
          </cell>
          <cell r="F708">
            <v>3.62</v>
          </cell>
          <cell r="G708">
            <v>90736</v>
          </cell>
        </row>
        <row r="709">
          <cell r="A709" t="str">
            <v>090205</v>
          </cell>
          <cell r="B709" t="str">
            <v>DN 300</v>
          </cell>
          <cell r="C709" t="str">
            <v>m</v>
          </cell>
          <cell r="D709">
            <v>3.94</v>
          </cell>
          <cell r="E709">
            <v>0.16</v>
          </cell>
          <cell r="F709">
            <v>4.0999999999999996</v>
          </cell>
          <cell r="G709">
            <v>90737</v>
          </cell>
        </row>
        <row r="710">
          <cell r="A710" t="str">
            <v>090206</v>
          </cell>
          <cell r="B710" t="str">
            <v>DN 400</v>
          </cell>
          <cell r="C710" t="str">
            <v>m</v>
          </cell>
          <cell r="D710">
            <v>9.9700000000000006</v>
          </cell>
          <cell r="E710">
            <v>0.31</v>
          </cell>
          <cell r="F710">
            <v>10.28</v>
          </cell>
          <cell r="G710">
            <v>90739</v>
          </cell>
        </row>
        <row r="711">
          <cell r="A711" t="str">
            <v>090207</v>
          </cell>
          <cell r="B711" t="str">
            <v>DN 500</v>
          </cell>
          <cell r="C711" t="str">
            <v>m</v>
          </cell>
          <cell r="D711">
            <v>13.9</v>
          </cell>
          <cell r="E711">
            <v>0.56000000000000005</v>
          </cell>
          <cell r="F711">
            <v>14.46</v>
          </cell>
          <cell r="G711" t="str">
            <v>73888/010</v>
          </cell>
        </row>
        <row r="712">
          <cell r="A712" t="str">
            <v>090208</v>
          </cell>
          <cell r="B712" t="str">
            <v>DN 600</v>
          </cell>
          <cell r="C712" t="str">
            <v>m</v>
          </cell>
          <cell r="D712">
            <v>16.39</v>
          </cell>
          <cell r="E712">
            <v>0.63</v>
          </cell>
          <cell r="F712">
            <v>17.02</v>
          </cell>
          <cell r="G712" t="str">
            <v>73888/011</v>
          </cell>
        </row>
        <row r="713">
          <cell r="A713" t="str">
            <v>090209</v>
          </cell>
          <cell r="B713" t="str">
            <v>DN 700</v>
          </cell>
          <cell r="C713" t="str">
            <v>m</v>
          </cell>
          <cell r="D713">
            <v>18.91</v>
          </cell>
          <cell r="E713">
            <v>0.71</v>
          </cell>
          <cell r="F713">
            <v>19.62</v>
          </cell>
          <cell r="G713" t="str">
            <v>73888/012</v>
          </cell>
        </row>
        <row r="714">
          <cell r="A714" t="str">
            <v>090210</v>
          </cell>
          <cell r="B714" t="str">
            <v>DN 800</v>
          </cell>
          <cell r="C714" t="str">
            <v>m</v>
          </cell>
          <cell r="D714">
            <v>21.69</v>
          </cell>
          <cell r="E714">
            <v>0.87</v>
          </cell>
          <cell r="F714">
            <v>22.56</v>
          </cell>
          <cell r="G714" t="str">
            <v>73888/013</v>
          </cell>
        </row>
        <row r="715">
          <cell r="A715" t="str">
            <v>090211</v>
          </cell>
          <cell r="B715" t="str">
            <v>DN 900</v>
          </cell>
          <cell r="C715" t="str">
            <v>m</v>
          </cell>
          <cell r="D715">
            <v>24.57</v>
          </cell>
          <cell r="E715">
            <v>0.95</v>
          </cell>
          <cell r="F715">
            <v>25.52</v>
          </cell>
          <cell r="G715" t="str">
            <v>73888/014</v>
          </cell>
        </row>
        <row r="716">
          <cell r="A716" t="str">
            <v>090212</v>
          </cell>
          <cell r="B716" t="str">
            <v>DN 1000</v>
          </cell>
          <cell r="C716" t="str">
            <v>m</v>
          </cell>
          <cell r="D716">
            <v>27.55</v>
          </cell>
          <cell r="E716">
            <v>1.03</v>
          </cell>
          <cell r="F716">
            <v>28.58</v>
          </cell>
          <cell r="G716" t="str">
            <v>73888/015</v>
          </cell>
        </row>
        <row r="717">
          <cell r="A717" t="str">
            <v>0903</v>
          </cell>
          <cell r="B717" t="str">
            <v>TUBULAÇÃO DE PVC JS</v>
          </cell>
          <cell r="C717">
            <v>0</v>
          </cell>
          <cell r="D717">
            <v>0</v>
          </cell>
          <cell r="E717">
            <v>0</v>
          </cell>
          <cell r="F717">
            <v>0</v>
          </cell>
          <cell r="G717">
            <v>0</v>
          </cell>
        </row>
        <row r="718">
          <cell r="A718" t="str">
            <v>090301</v>
          </cell>
          <cell r="B718" t="str">
            <v>Diam. 20 mm</v>
          </cell>
          <cell r="C718" t="str">
            <v>m</v>
          </cell>
          <cell r="D718">
            <v>1.1499999999999999</v>
          </cell>
          <cell r="E718">
            <v>0.55000000000000004</v>
          </cell>
          <cell r="F718">
            <v>1.7</v>
          </cell>
          <cell r="G718">
            <v>0</v>
          </cell>
        </row>
        <row r="719">
          <cell r="A719" t="str">
            <v>090302</v>
          </cell>
          <cell r="B719" t="str">
            <v>Diam. 25 mm</v>
          </cell>
          <cell r="C719" t="str">
            <v>m</v>
          </cell>
          <cell r="D719">
            <v>1.1499999999999999</v>
          </cell>
          <cell r="E719">
            <v>0.56999999999999995</v>
          </cell>
          <cell r="F719">
            <v>1.72</v>
          </cell>
          <cell r="G719">
            <v>0</v>
          </cell>
        </row>
        <row r="720">
          <cell r="A720" t="str">
            <v>090303</v>
          </cell>
          <cell r="B720" t="str">
            <v>Diam. 32 mm</v>
          </cell>
          <cell r="C720" t="str">
            <v>m</v>
          </cell>
          <cell r="D720">
            <v>1.27</v>
          </cell>
          <cell r="E720">
            <v>0.6</v>
          </cell>
          <cell r="F720">
            <v>1.87</v>
          </cell>
          <cell r="G720">
            <v>0</v>
          </cell>
        </row>
        <row r="721">
          <cell r="A721" t="str">
            <v>090304</v>
          </cell>
          <cell r="B721" t="str">
            <v>Diam. 40 mm</v>
          </cell>
          <cell r="C721" t="str">
            <v>m</v>
          </cell>
          <cell r="D721">
            <v>1.41</v>
          </cell>
          <cell r="E721">
            <v>0.64</v>
          </cell>
          <cell r="F721">
            <v>2.0499999999999998</v>
          </cell>
          <cell r="G721">
            <v>0</v>
          </cell>
        </row>
        <row r="722">
          <cell r="A722" t="str">
            <v>090305</v>
          </cell>
          <cell r="B722" t="str">
            <v>Diam. 50 mm</v>
          </cell>
          <cell r="C722" t="str">
            <v>m</v>
          </cell>
          <cell r="D722">
            <v>1.61</v>
          </cell>
          <cell r="E722">
            <v>0.64</v>
          </cell>
          <cell r="F722">
            <v>2.25</v>
          </cell>
          <cell r="G722">
            <v>0</v>
          </cell>
        </row>
        <row r="723">
          <cell r="A723" t="str">
            <v>0904</v>
          </cell>
          <cell r="B723" t="str">
            <v>TUBULAÇÃO DE PEAD</v>
          </cell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</row>
        <row r="724">
          <cell r="A724" t="str">
            <v>090401</v>
          </cell>
          <cell r="B724" t="str">
            <v xml:space="preserve">DE 20 mm </v>
          </cell>
          <cell r="C724" t="str">
            <v>m</v>
          </cell>
          <cell r="D724">
            <v>0.4</v>
          </cell>
          <cell r="E724">
            <v>0</v>
          </cell>
          <cell r="F724">
            <v>0.4</v>
          </cell>
          <cell r="G724" t="str">
            <v>73888/001</v>
          </cell>
        </row>
        <row r="725">
          <cell r="A725" t="str">
            <v>090402</v>
          </cell>
          <cell r="B725" t="str">
            <v>DE 25 mm</v>
          </cell>
          <cell r="C725" t="str">
            <v>m</v>
          </cell>
          <cell r="D725">
            <v>0.4</v>
          </cell>
          <cell r="E725">
            <v>0</v>
          </cell>
          <cell r="F725">
            <v>0.4</v>
          </cell>
          <cell r="G725" t="str">
            <v>73888/001</v>
          </cell>
        </row>
        <row r="726">
          <cell r="A726" t="str">
            <v>090403</v>
          </cell>
          <cell r="B726" t="str">
            <v>DE 32 mm</v>
          </cell>
          <cell r="C726" t="str">
            <v>m</v>
          </cell>
          <cell r="D726">
            <v>0.5</v>
          </cell>
          <cell r="E726">
            <v>0</v>
          </cell>
          <cell r="F726">
            <v>0.5</v>
          </cell>
          <cell r="G726" t="str">
            <v>73888/001</v>
          </cell>
        </row>
        <row r="727">
          <cell r="A727" t="str">
            <v>090404</v>
          </cell>
          <cell r="B727" t="str">
            <v>DE 40 mm</v>
          </cell>
          <cell r="C727" t="str">
            <v>m</v>
          </cell>
          <cell r="D727">
            <v>0.52</v>
          </cell>
          <cell r="E727">
            <v>0</v>
          </cell>
          <cell r="F727">
            <v>0.52</v>
          </cell>
          <cell r="G727" t="str">
            <v>73888/001</v>
          </cell>
        </row>
        <row r="728">
          <cell r="A728" t="str">
            <v>090405</v>
          </cell>
          <cell r="B728" t="str">
            <v>DE 50 mm</v>
          </cell>
          <cell r="C728" t="str">
            <v>m</v>
          </cell>
          <cell r="D728">
            <v>0.66</v>
          </cell>
          <cell r="E728">
            <v>0</v>
          </cell>
          <cell r="F728">
            <v>0.66</v>
          </cell>
          <cell r="G728" t="str">
            <v>73888/001</v>
          </cell>
        </row>
        <row r="729">
          <cell r="A729" t="str">
            <v>090406</v>
          </cell>
          <cell r="B729" t="str">
            <v>DE 63 mm</v>
          </cell>
          <cell r="C729" t="str">
            <v>m</v>
          </cell>
          <cell r="D729">
            <v>0.72</v>
          </cell>
          <cell r="E729">
            <v>0</v>
          </cell>
          <cell r="F729">
            <v>0.72</v>
          </cell>
          <cell r="G729" t="str">
            <v>73888/001</v>
          </cell>
        </row>
        <row r="730">
          <cell r="A730" t="str">
            <v>090407</v>
          </cell>
          <cell r="B730" t="str">
            <v>DE 75 mm</v>
          </cell>
          <cell r="C730" t="str">
            <v>m</v>
          </cell>
          <cell r="D730">
            <v>0.82</v>
          </cell>
          <cell r="E730">
            <v>0</v>
          </cell>
          <cell r="F730">
            <v>0.82</v>
          </cell>
          <cell r="G730" t="str">
            <v>73888/002</v>
          </cell>
        </row>
        <row r="731">
          <cell r="A731" t="str">
            <v>090408</v>
          </cell>
          <cell r="B731" t="str">
            <v>DE 90 mm</v>
          </cell>
          <cell r="C731" t="str">
            <v>m</v>
          </cell>
          <cell r="D731">
            <v>0.87</v>
          </cell>
          <cell r="E731">
            <v>0</v>
          </cell>
          <cell r="F731">
            <v>0.87</v>
          </cell>
          <cell r="G731" t="str">
            <v>73888/002</v>
          </cell>
        </row>
        <row r="732">
          <cell r="A732" t="str">
            <v>090409</v>
          </cell>
          <cell r="B732" t="str">
            <v>DE 110 mm</v>
          </cell>
          <cell r="C732" t="str">
            <v>m</v>
          </cell>
          <cell r="D732">
            <v>1.71</v>
          </cell>
          <cell r="E732">
            <v>0</v>
          </cell>
          <cell r="F732">
            <v>1.71</v>
          </cell>
          <cell r="G732" t="str">
            <v>73888/003</v>
          </cell>
        </row>
        <row r="733">
          <cell r="A733" t="str">
            <v>090410</v>
          </cell>
          <cell r="B733" t="str">
            <v>DE 125 mm</v>
          </cell>
          <cell r="C733" t="str">
            <v>m</v>
          </cell>
          <cell r="D733">
            <v>1.85</v>
          </cell>
          <cell r="E733">
            <v>0</v>
          </cell>
          <cell r="F733">
            <v>1.85</v>
          </cell>
          <cell r="G733" t="str">
            <v>73888/003</v>
          </cell>
        </row>
        <row r="734">
          <cell r="A734" t="str">
            <v>090411</v>
          </cell>
          <cell r="B734" t="str">
            <v>DE 140 mm</v>
          </cell>
          <cell r="C734" t="str">
            <v>m</v>
          </cell>
          <cell r="D734">
            <v>2.33</v>
          </cell>
          <cell r="E734">
            <v>0</v>
          </cell>
          <cell r="F734">
            <v>2.33</v>
          </cell>
          <cell r="G734" t="str">
            <v>73888/004</v>
          </cell>
        </row>
        <row r="735">
          <cell r="A735" t="str">
            <v>090412</v>
          </cell>
          <cell r="B735" t="str">
            <v>DE 160 mm</v>
          </cell>
          <cell r="C735" t="str">
            <v>m</v>
          </cell>
          <cell r="D735">
            <v>2.33</v>
          </cell>
          <cell r="E735">
            <v>0</v>
          </cell>
          <cell r="F735">
            <v>2.33</v>
          </cell>
          <cell r="G735" t="str">
            <v>73888/004</v>
          </cell>
        </row>
        <row r="736">
          <cell r="A736" t="str">
            <v>090413</v>
          </cell>
          <cell r="B736" t="str">
            <v>DE 180 mm</v>
          </cell>
          <cell r="C736" t="str">
            <v>m</v>
          </cell>
          <cell r="D736">
            <v>2.77</v>
          </cell>
          <cell r="E736">
            <v>0</v>
          </cell>
          <cell r="F736">
            <v>2.77</v>
          </cell>
          <cell r="G736" t="str">
            <v>73888/004</v>
          </cell>
        </row>
        <row r="737">
          <cell r="A737" t="str">
            <v>090414</v>
          </cell>
          <cell r="B737" t="str">
            <v>DE 200 mm</v>
          </cell>
          <cell r="C737" t="str">
            <v>m</v>
          </cell>
          <cell r="D737">
            <v>2.77</v>
          </cell>
          <cell r="E737">
            <v>0</v>
          </cell>
          <cell r="F737">
            <v>2.77</v>
          </cell>
          <cell r="G737" t="str">
            <v>73888/005</v>
          </cell>
        </row>
        <row r="738">
          <cell r="A738" t="str">
            <v>090415</v>
          </cell>
          <cell r="B738" t="str">
            <v>DE 225 mm</v>
          </cell>
          <cell r="C738" t="str">
            <v>m</v>
          </cell>
          <cell r="D738">
            <v>2.95</v>
          </cell>
          <cell r="E738">
            <v>0</v>
          </cell>
          <cell r="F738">
            <v>2.95</v>
          </cell>
          <cell r="G738" t="str">
            <v>73888/005</v>
          </cell>
        </row>
        <row r="739">
          <cell r="A739" t="str">
            <v>090416</v>
          </cell>
          <cell r="B739" t="str">
            <v>DE 250 mm</v>
          </cell>
          <cell r="C739" t="str">
            <v>m</v>
          </cell>
          <cell r="D739">
            <v>3.54</v>
          </cell>
          <cell r="E739">
            <v>0</v>
          </cell>
          <cell r="F739">
            <v>3.54</v>
          </cell>
          <cell r="G739" t="str">
            <v>73888/006</v>
          </cell>
        </row>
        <row r="740">
          <cell r="A740" t="str">
            <v>090417</v>
          </cell>
          <cell r="B740" t="str">
            <v>DE 280 mm</v>
          </cell>
          <cell r="C740" t="str">
            <v>m</v>
          </cell>
          <cell r="D740">
            <v>4.1900000000000004</v>
          </cell>
          <cell r="E740">
            <v>0</v>
          </cell>
          <cell r="F740">
            <v>4.1900000000000004</v>
          </cell>
          <cell r="G740" t="str">
            <v>73888/006</v>
          </cell>
        </row>
        <row r="741">
          <cell r="A741" t="str">
            <v>090418</v>
          </cell>
          <cell r="B741" t="str">
            <v>DE 315 mm</v>
          </cell>
          <cell r="C741" t="str">
            <v>m</v>
          </cell>
          <cell r="D741">
            <v>4.57</v>
          </cell>
          <cell r="E741">
            <v>0</v>
          </cell>
          <cell r="F741">
            <v>4.57</v>
          </cell>
          <cell r="G741" t="str">
            <v>73888/007</v>
          </cell>
        </row>
        <row r="742">
          <cell r="A742" t="str">
            <v>090419</v>
          </cell>
          <cell r="B742" t="str">
            <v>DE 355 mm</v>
          </cell>
          <cell r="C742" t="str">
            <v>m</v>
          </cell>
          <cell r="D742">
            <v>5.73</v>
          </cell>
          <cell r="E742">
            <v>0</v>
          </cell>
          <cell r="F742">
            <v>5.73</v>
          </cell>
          <cell r="G742" t="str">
            <v>73888/008</v>
          </cell>
        </row>
        <row r="743">
          <cell r="A743" t="str">
            <v>090420</v>
          </cell>
          <cell r="B743" t="str">
            <v>DE 400 mm</v>
          </cell>
          <cell r="C743" t="str">
            <v>m</v>
          </cell>
          <cell r="D743">
            <v>9.35</v>
          </cell>
          <cell r="E743">
            <v>0</v>
          </cell>
          <cell r="F743">
            <v>9.35</v>
          </cell>
          <cell r="G743" t="str">
            <v>73888/009</v>
          </cell>
        </row>
        <row r="744">
          <cell r="A744" t="str">
            <v>090421</v>
          </cell>
          <cell r="B744" t="str">
            <v>DE 450 mm</v>
          </cell>
          <cell r="C744" t="str">
            <v>m</v>
          </cell>
          <cell r="D744">
            <v>9.66</v>
          </cell>
          <cell r="E744">
            <v>0</v>
          </cell>
          <cell r="F744">
            <v>9.66</v>
          </cell>
          <cell r="G744" t="str">
            <v>73888/009</v>
          </cell>
        </row>
        <row r="745">
          <cell r="A745" t="str">
            <v>090422</v>
          </cell>
          <cell r="B745" t="str">
            <v>DE 500 mm</v>
          </cell>
          <cell r="C745" t="str">
            <v>m</v>
          </cell>
          <cell r="D745">
            <v>11.25</v>
          </cell>
          <cell r="E745">
            <v>0</v>
          </cell>
          <cell r="F745">
            <v>11.25</v>
          </cell>
          <cell r="G745" t="str">
            <v>73888/010</v>
          </cell>
        </row>
        <row r="746">
          <cell r="A746" t="str">
            <v>090423</v>
          </cell>
          <cell r="B746" t="str">
            <v>DE 560 mm</v>
          </cell>
          <cell r="C746" t="str">
            <v>m</v>
          </cell>
          <cell r="D746">
            <v>11.56</v>
          </cell>
          <cell r="E746">
            <v>0</v>
          </cell>
          <cell r="F746">
            <v>11.56</v>
          </cell>
          <cell r="G746" t="str">
            <v>73888/010</v>
          </cell>
        </row>
        <row r="747">
          <cell r="A747" t="str">
            <v>090424</v>
          </cell>
          <cell r="B747" t="str">
            <v>DE 630 mm</v>
          </cell>
          <cell r="C747" t="str">
            <v>m</v>
          </cell>
          <cell r="D747">
            <v>13.05</v>
          </cell>
          <cell r="E747">
            <v>0</v>
          </cell>
          <cell r="F747">
            <v>13.05</v>
          </cell>
          <cell r="G747" t="str">
            <v>73888/011</v>
          </cell>
        </row>
        <row r="748">
          <cell r="A748" t="str">
            <v>090425</v>
          </cell>
          <cell r="B748" t="str">
            <v>DE 680 mm</v>
          </cell>
          <cell r="C748" t="str">
            <v>m</v>
          </cell>
          <cell r="D748">
            <v>15.05</v>
          </cell>
          <cell r="E748">
            <v>0</v>
          </cell>
          <cell r="F748">
            <v>15.05</v>
          </cell>
          <cell r="G748" t="str">
            <v>73888/012</v>
          </cell>
        </row>
        <row r="749">
          <cell r="A749" t="str">
            <v>090426</v>
          </cell>
          <cell r="B749" t="str">
            <v>DE 710 mm</v>
          </cell>
          <cell r="C749" t="str">
            <v>m</v>
          </cell>
          <cell r="D749">
            <v>15.38</v>
          </cell>
          <cell r="E749">
            <v>0</v>
          </cell>
          <cell r="F749">
            <v>15.38</v>
          </cell>
          <cell r="G749" t="str">
            <v>73888/012</v>
          </cell>
        </row>
        <row r="750">
          <cell r="A750" t="str">
            <v>090427</v>
          </cell>
          <cell r="B750" t="str">
            <v>DE 730 mm</v>
          </cell>
          <cell r="C750" t="str">
            <v>m</v>
          </cell>
          <cell r="D750">
            <v>15.38</v>
          </cell>
          <cell r="E750">
            <v>0</v>
          </cell>
          <cell r="F750">
            <v>15.38</v>
          </cell>
          <cell r="G750" t="str">
            <v>73888/012</v>
          </cell>
        </row>
        <row r="751">
          <cell r="A751" t="str">
            <v>090428</v>
          </cell>
          <cell r="B751" t="str">
            <v>DE 800 mm</v>
          </cell>
          <cell r="C751" t="str">
            <v>m</v>
          </cell>
          <cell r="D751">
            <v>17.52</v>
          </cell>
          <cell r="E751">
            <v>0</v>
          </cell>
          <cell r="F751">
            <v>17.52</v>
          </cell>
          <cell r="G751" t="str">
            <v>73888/013</v>
          </cell>
        </row>
        <row r="752">
          <cell r="A752" t="str">
            <v>090429</v>
          </cell>
          <cell r="B752" t="str">
            <v>DE 900 mm</v>
          </cell>
          <cell r="C752" t="str">
            <v>m</v>
          </cell>
          <cell r="D752">
            <v>20.12</v>
          </cell>
          <cell r="E752">
            <v>0</v>
          </cell>
          <cell r="F752">
            <v>20.12</v>
          </cell>
          <cell r="G752" t="str">
            <v>73888/014</v>
          </cell>
        </row>
        <row r="753">
          <cell r="A753" t="str">
            <v>090430</v>
          </cell>
          <cell r="B753" t="str">
            <v>DE 1000 mm</v>
          </cell>
          <cell r="C753" t="str">
            <v>m</v>
          </cell>
          <cell r="D753">
            <v>22.63</v>
          </cell>
          <cell r="E753">
            <v>0</v>
          </cell>
          <cell r="F753">
            <v>22.63</v>
          </cell>
          <cell r="G753" t="str">
            <v>73888/015</v>
          </cell>
        </row>
        <row r="754">
          <cell r="A754" t="str">
            <v>090431</v>
          </cell>
          <cell r="B754" t="str">
            <v>DE 1200 mm</v>
          </cell>
          <cell r="C754" t="str">
            <v>m</v>
          </cell>
          <cell r="D754">
            <v>25.64</v>
          </cell>
          <cell r="E754">
            <v>0</v>
          </cell>
          <cell r="F754">
            <v>25.64</v>
          </cell>
          <cell r="G754" t="str">
            <v>73888/015</v>
          </cell>
        </row>
        <row r="755">
          <cell r="A755" t="str">
            <v>0905</v>
          </cell>
          <cell r="B755" t="str">
            <v>TUBULAÇÃO DE RPVC / PRFV JE PARA ÁGUA</v>
          </cell>
          <cell r="C755">
            <v>0</v>
          </cell>
          <cell r="D755">
            <v>0</v>
          </cell>
          <cell r="E755">
            <v>0</v>
          </cell>
          <cell r="F755">
            <v>0</v>
          </cell>
          <cell r="G755">
            <v>0</v>
          </cell>
        </row>
        <row r="756">
          <cell r="A756" t="str">
            <v>090501</v>
          </cell>
          <cell r="B756" t="str">
            <v>DN 100</v>
          </cell>
          <cell r="C756" t="str">
            <v>m</v>
          </cell>
          <cell r="D756">
            <v>3.05</v>
          </cell>
          <cell r="E756">
            <v>0.1</v>
          </cell>
          <cell r="F756">
            <v>3.15</v>
          </cell>
          <cell r="G756" t="str">
            <v>73888/003</v>
          </cell>
        </row>
        <row r="757">
          <cell r="A757" t="str">
            <v>090502</v>
          </cell>
          <cell r="B757" t="str">
            <v>DN 150</v>
          </cell>
          <cell r="C757" t="str">
            <v>m</v>
          </cell>
          <cell r="D757">
            <v>3.87</v>
          </cell>
          <cell r="E757">
            <v>0.16</v>
          </cell>
          <cell r="F757">
            <v>4.03</v>
          </cell>
          <cell r="G757" t="str">
            <v>73888/004</v>
          </cell>
        </row>
        <row r="758">
          <cell r="A758" t="str">
            <v>090503</v>
          </cell>
          <cell r="B758" t="str">
            <v>DN 200</v>
          </cell>
          <cell r="C758" t="str">
            <v>m</v>
          </cell>
          <cell r="D758">
            <v>4.7</v>
          </cell>
          <cell r="E758">
            <v>0.22</v>
          </cell>
          <cell r="F758">
            <v>4.92</v>
          </cell>
          <cell r="G758" t="str">
            <v>73888/005</v>
          </cell>
        </row>
        <row r="759">
          <cell r="A759" t="str">
            <v>090504</v>
          </cell>
          <cell r="B759" t="str">
            <v>DN 250</v>
          </cell>
          <cell r="C759" t="str">
            <v>m</v>
          </cell>
          <cell r="D759">
            <v>5.66</v>
          </cell>
          <cell r="E759">
            <v>0.26</v>
          </cell>
          <cell r="F759">
            <v>5.92</v>
          </cell>
          <cell r="G759" t="str">
            <v>73888/006</v>
          </cell>
        </row>
        <row r="760">
          <cell r="A760" t="str">
            <v>090505</v>
          </cell>
          <cell r="B760" t="str">
            <v>DN 300</v>
          </cell>
          <cell r="C760" t="str">
            <v>m</v>
          </cell>
          <cell r="D760">
            <v>7.26</v>
          </cell>
          <cell r="E760">
            <v>0.31</v>
          </cell>
          <cell r="F760">
            <v>7.57</v>
          </cell>
          <cell r="G760" t="str">
            <v>73888/007</v>
          </cell>
        </row>
        <row r="761">
          <cell r="A761" t="str">
            <v>090506</v>
          </cell>
          <cell r="B761" t="str">
            <v>DN 400</v>
          </cell>
          <cell r="C761" t="str">
            <v>m</v>
          </cell>
          <cell r="D761">
            <v>11.68</v>
          </cell>
          <cell r="E761">
            <v>0.4</v>
          </cell>
          <cell r="F761">
            <v>12.08</v>
          </cell>
          <cell r="G761" t="str">
            <v>73888/009</v>
          </cell>
        </row>
        <row r="762">
          <cell r="A762" t="str">
            <v>090507</v>
          </cell>
          <cell r="B762" t="str">
            <v>DN 500</v>
          </cell>
          <cell r="C762" t="str">
            <v>m</v>
          </cell>
          <cell r="D762">
            <v>13.79</v>
          </cell>
          <cell r="E762">
            <v>0.56000000000000005</v>
          </cell>
          <cell r="F762">
            <v>14.35</v>
          </cell>
          <cell r="G762" t="str">
            <v>73888/010</v>
          </cell>
        </row>
        <row r="763">
          <cell r="A763" t="str">
            <v>090508</v>
          </cell>
          <cell r="B763" t="str">
            <v>DN 600</v>
          </cell>
          <cell r="C763" t="str">
            <v>m</v>
          </cell>
          <cell r="D763">
            <v>16.32</v>
          </cell>
          <cell r="E763">
            <v>0.63</v>
          </cell>
          <cell r="F763">
            <v>16.95</v>
          </cell>
          <cell r="G763" t="str">
            <v>73888/011</v>
          </cell>
        </row>
        <row r="764">
          <cell r="A764" t="str">
            <v>090509</v>
          </cell>
          <cell r="B764" t="str">
            <v>DN 700</v>
          </cell>
          <cell r="C764" t="str">
            <v>m</v>
          </cell>
          <cell r="D764">
            <v>18.899999999999999</v>
          </cell>
          <cell r="E764">
            <v>0.71</v>
          </cell>
          <cell r="F764">
            <v>19.61</v>
          </cell>
          <cell r="G764" t="str">
            <v>73888/012</v>
          </cell>
        </row>
        <row r="765">
          <cell r="A765" t="str">
            <v>090510</v>
          </cell>
          <cell r="B765" t="str">
            <v>DN 800</v>
          </cell>
          <cell r="C765" t="str">
            <v>m</v>
          </cell>
          <cell r="D765">
            <v>21.72</v>
          </cell>
          <cell r="E765">
            <v>0.79</v>
          </cell>
          <cell r="F765">
            <v>22.51</v>
          </cell>
          <cell r="G765" t="str">
            <v>73888/013</v>
          </cell>
        </row>
        <row r="766">
          <cell r="A766" t="str">
            <v>0906</v>
          </cell>
          <cell r="B766" t="str">
            <v>TUBULAÇÃO DE RPVC / PRFV JE PARA ESGOTO</v>
          </cell>
          <cell r="C766">
            <v>0</v>
          </cell>
          <cell r="D766">
            <v>0</v>
          </cell>
          <cell r="E766">
            <v>0</v>
          </cell>
          <cell r="F766">
            <v>0</v>
          </cell>
          <cell r="G766">
            <v>0</v>
          </cell>
        </row>
        <row r="767">
          <cell r="A767" t="str">
            <v>090601</v>
          </cell>
          <cell r="B767" t="str">
            <v>DN 100</v>
          </cell>
          <cell r="C767" t="str">
            <v>m</v>
          </cell>
          <cell r="D767">
            <v>4.1900000000000004</v>
          </cell>
          <cell r="E767">
            <v>0.1</v>
          </cell>
          <cell r="F767">
            <v>4.29</v>
          </cell>
          <cell r="G767" t="str">
            <v>73888/003</v>
          </cell>
        </row>
        <row r="768">
          <cell r="A768" t="str">
            <v>090602</v>
          </cell>
          <cell r="B768" t="str">
            <v>DN 150</v>
          </cell>
          <cell r="C768" t="str">
            <v>m</v>
          </cell>
          <cell r="D768">
            <v>1.72</v>
          </cell>
          <cell r="E768">
            <v>0.05</v>
          </cell>
          <cell r="F768">
            <v>1.77</v>
          </cell>
          <cell r="G768">
            <v>97134</v>
          </cell>
        </row>
        <row r="769">
          <cell r="A769" t="str">
            <v>090603</v>
          </cell>
          <cell r="B769" t="str">
            <v>DN 200</v>
          </cell>
          <cell r="C769" t="str">
            <v>m</v>
          </cell>
          <cell r="D769">
            <v>3.59</v>
          </cell>
          <cell r="E769">
            <v>0.11</v>
          </cell>
          <cell r="F769">
            <v>3.7</v>
          </cell>
          <cell r="G769">
            <v>97135</v>
          </cell>
        </row>
        <row r="770">
          <cell r="A770" t="str">
            <v>090604</v>
          </cell>
          <cell r="B770" t="str">
            <v>DN 250</v>
          </cell>
          <cell r="C770" t="str">
            <v>m</v>
          </cell>
          <cell r="D770">
            <v>4.3600000000000003</v>
          </cell>
          <cell r="E770">
            <v>0.18</v>
          </cell>
          <cell r="F770">
            <v>4.54</v>
          </cell>
          <cell r="G770">
            <v>97136</v>
          </cell>
        </row>
        <row r="771">
          <cell r="A771" t="str">
            <v>090605</v>
          </cell>
          <cell r="B771" t="str">
            <v>DN 300</v>
          </cell>
          <cell r="C771" t="str">
            <v>m</v>
          </cell>
          <cell r="D771">
            <v>5.19</v>
          </cell>
          <cell r="E771">
            <v>0.22</v>
          </cell>
          <cell r="F771">
            <v>5.41</v>
          </cell>
          <cell r="G771">
            <v>97137</v>
          </cell>
        </row>
        <row r="772">
          <cell r="A772" t="str">
            <v>090606</v>
          </cell>
          <cell r="B772" t="str">
            <v>DN 400</v>
          </cell>
          <cell r="C772" t="str">
            <v>m</v>
          </cell>
          <cell r="D772">
            <v>6.91</v>
          </cell>
          <cell r="E772">
            <v>0.21</v>
          </cell>
          <cell r="F772">
            <v>7.12</v>
          </cell>
          <cell r="G772">
            <v>97139</v>
          </cell>
        </row>
        <row r="773">
          <cell r="A773" t="str">
            <v>090607</v>
          </cell>
          <cell r="B773" t="str">
            <v>DN 500</v>
          </cell>
          <cell r="C773" t="str">
            <v>m</v>
          </cell>
          <cell r="D773">
            <v>8.48</v>
          </cell>
          <cell r="E773">
            <v>0.35</v>
          </cell>
          <cell r="F773">
            <v>8.83</v>
          </cell>
          <cell r="G773">
            <v>97140</v>
          </cell>
        </row>
        <row r="774">
          <cell r="A774" t="str">
            <v>090608</v>
          </cell>
          <cell r="B774" t="str">
            <v>DN 600</v>
          </cell>
          <cell r="C774" t="str">
            <v>m</v>
          </cell>
          <cell r="D774">
            <v>16.88</v>
          </cell>
          <cell r="E774">
            <v>0.63</v>
          </cell>
          <cell r="F774">
            <v>17.510000000000002</v>
          </cell>
          <cell r="G774" t="str">
            <v>73888/011</v>
          </cell>
        </row>
        <row r="775">
          <cell r="A775" t="str">
            <v>090609</v>
          </cell>
          <cell r="B775" t="str">
            <v>DN 700</v>
          </cell>
          <cell r="C775" t="str">
            <v>m</v>
          </cell>
          <cell r="D775">
            <v>19.47</v>
          </cell>
          <cell r="E775">
            <v>0.71</v>
          </cell>
          <cell r="F775">
            <v>20.18</v>
          </cell>
          <cell r="G775" t="str">
            <v>73888/012</v>
          </cell>
        </row>
        <row r="776">
          <cell r="A776" t="str">
            <v>090610</v>
          </cell>
          <cell r="B776" t="str">
            <v>DN 800</v>
          </cell>
          <cell r="C776" t="str">
            <v>m</v>
          </cell>
          <cell r="D776">
            <v>22.29</v>
          </cell>
          <cell r="E776">
            <v>0.87</v>
          </cell>
          <cell r="F776">
            <v>23.16</v>
          </cell>
          <cell r="G776" t="str">
            <v>73888/013</v>
          </cell>
        </row>
        <row r="777">
          <cell r="A777" t="str">
            <v>090611</v>
          </cell>
          <cell r="B777" t="str">
            <v>DN 1000</v>
          </cell>
          <cell r="C777" t="str">
            <v>m</v>
          </cell>
          <cell r="D777">
            <v>28.27</v>
          </cell>
          <cell r="E777">
            <v>1.03</v>
          </cell>
          <cell r="F777">
            <v>29.3</v>
          </cell>
          <cell r="G777" t="str">
            <v>73888/015</v>
          </cell>
        </row>
        <row r="778">
          <cell r="A778" t="str">
            <v>0907</v>
          </cell>
          <cell r="B778" t="str">
            <v>TUBULAÇÃO DE FERRO DUCTIL JE / JE2GS / JTI</v>
          </cell>
          <cell r="C778">
            <v>0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</row>
        <row r="779">
          <cell r="A779" t="str">
            <v>090701</v>
          </cell>
          <cell r="B779" t="str">
            <v>DN 80</v>
          </cell>
          <cell r="C779" t="str">
            <v>m</v>
          </cell>
          <cell r="D779">
            <v>3.57</v>
          </cell>
          <cell r="E779">
            <v>7.0000000000000007E-2</v>
          </cell>
          <cell r="F779">
            <v>3.64</v>
          </cell>
          <cell r="G779">
            <v>97157</v>
          </cell>
        </row>
        <row r="780">
          <cell r="A780" t="str">
            <v>090702</v>
          </cell>
          <cell r="B780" t="str">
            <v>DN 100</v>
          </cell>
          <cell r="C780" t="str">
            <v>m</v>
          </cell>
          <cell r="D780">
            <v>4</v>
          </cell>
          <cell r="E780">
            <v>0.08</v>
          </cell>
          <cell r="F780">
            <v>4.08</v>
          </cell>
          <cell r="G780">
            <v>97158</v>
          </cell>
        </row>
        <row r="781">
          <cell r="A781" t="str">
            <v>090703</v>
          </cell>
          <cell r="B781" t="str">
            <v>DN 150</v>
          </cell>
          <cell r="C781" t="str">
            <v>m</v>
          </cell>
          <cell r="D781">
            <v>5.07</v>
          </cell>
          <cell r="E781">
            <v>0.1</v>
          </cell>
          <cell r="F781">
            <v>5.17</v>
          </cell>
          <cell r="G781">
            <v>97159</v>
          </cell>
        </row>
        <row r="782">
          <cell r="A782" t="str">
            <v>090704</v>
          </cell>
          <cell r="B782" t="str">
            <v>DN 200</v>
          </cell>
          <cell r="C782" t="str">
            <v>m</v>
          </cell>
          <cell r="D782">
            <v>6.11</v>
          </cell>
          <cell r="E782">
            <v>0.12</v>
          </cell>
          <cell r="F782">
            <v>6.23</v>
          </cell>
          <cell r="G782">
            <v>97160</v>
          </cell>
        </row>
        <row r="783">
          <cell r="A783" t="str">
            <v>090705</v>
          </cell>
          <cell r="B783" t="str">
            <v>DN 250</v>
          </cell>
          <cell r="C783" t="str">
            <v>m</v>
          </cell>
          <cell r="D783">
            <v>7.17</v>
          </cell>
          <cell r="E783">
            <v>0.15</v>
          </cell>
          <cell r="F783">
            <v>7.32</v>
          </cell>
          <cell r="G783">
            <v>97161</v>
          </cell>
        </row>
        <row r="784">
          <cell r="A784" t="str">
            <v>090706</v>
          </cell>
          <cell r="B784" t="str">
            <v>DN 300</v>
          </cell>
          <cell r="C784" t="str">
            <v>m</v>
          </cell>
          <cell r="D784">
            <v>8.26</v>
          </cell>
          <cell r="E784">
            <v>0.17</v>
          </cell>
          <cell r="F784">
            <v>8.43</v>
          </cell>
          <cell r="G784">
            <v>97162</v>
          </cell>
        </row>
        <row r="785">
          <cell r="A785" t="str">
            <v>090707</v>
          </cell>
          <cell r="B785" t="str">
            <v>DN 350</v>
          </cell>
          <cell r="C785" t="str">
            <v>m</v>
          </cell>
          <cell r="D785">
            <v>9.32</v>
          </cell>
          <cell r="E785">
            <v>0.19</v>
          </cell>
          <cell r="F785">
            <v>9.51</v>
          </cell>
          <cell r="G785">
            <v>97163</v>
          </cell>
        </row>
        <row r="786">
          <cell r="A786" t="str">
            <v>090708</v>
          </cell>
          <cell r="B786" t="str">
            <v>DN 400</v>
          </cell>
          <cell r="C786" t="str">
            <v>m</v>
          </cell>
          <cell r="D786">
            <v>10.39</v>
          </cell>
          <cell r="E786">
            <v>0.21</v>
          </cell>
          <cell r="F786">
            <v>10.6</v>
          </cell>
          <cell r="G786">
            <v>97164</v>
          </cell>
        </row>
        <row r="787">
          <cell r="A787" t="str">
            <v>090709</v>
          </cell>
          <cell r="B787" t="str">
            <v>DN 450</v>
          </cell>
          <cell r="C787" t="str">
            <v>m</v>
          </cell>
          <cell r="D787">
            <v>11.49</v>
          </cell>
          <cell r="E787">
            <v>0.23</v>
          </cell>
          <cell r="F787">
            <v>11.72</v>
          </cell>
          <cell r="G787">
            <v>97165</v>
          </cell>
        </row>
        <row r="788">
          <cell r="A788" t="str">
            <v>090710</v>
          </cell>
          <cell r="B788" t="str">
            <v>DN 500</v>
          </cell>
          <cell r="C788" t="str">
            <v>m</v>
          </cell>
          <cell r="D788">
            <v>13.98</v>
          </cell>
          <cell r="E788">
            <v>0.28999999999999998</v>
          </cell>
          <cell r="F788">
            <v>14.27</v>
          </cell>
          <cell r="G788">
            <v>97166</v>
          </cell>
        </row>
        <row r="789">
          <cell r="A789" t="str">
            <v>090711</v>
          </cell>
          <cell r="B789" t="str">
            <v>DN 600</v>
          </cell>
          <cell r="C789" t="str">
            <v>m</v>
          </cell>
          <cell r="D789">
            <v>16.36</v>
          </cell>
          <cell r="E789">
            <v>0.33</v>
          </cell>
          <cell r="F789">
            <v>16.690000000000001</v>
          </cell>
          <cell r="G789">
            <v>97167</v>
          </cell>
        </row>
        <row r="790">
          <cell r="A790" t="str">
            <v>090712</v>
          </cell>
          <cell r="B790" t="str">
            <v>DN 700</v>
          </cell>
          <cell r="C790" t="str">
            <v>m</v>
          </cell>
          <cell r="D790">
            <v>18.59</v>
          </cell>
          <cell r="E790">
            <v>0.38</v>
          </cell>
          <cell r="F790">
            <v>18.97</v>
          </cell>
          <cell r="G790">
            <v>97168</v>
          </cell>
        </row>
        <row r="791">
          <cell r="A791" t="str">
            <v>090713</v>
          </cell>
          <cell r="B791" t="str">
            <v>DN 800</v>
          </cell>
          <cell r="C791" t="str">
            <v>m</v>
          </cell>
          <cell r="D791">
            <v>20.9</v>
          </cell>
          <cell r="E791">
            <v>0.43</v>
          </cell>
          <cell r="F791">
            <v>21.33</v>
          </cell>
          <cell r="G791">
            <v>97169</v>
          </cell>
        </row>
        <row r="792">
          <cell r="A792" t="str">
            <v>090714</v>
          </cell>
          <cell r="B792" t="str">
            <v>DN 900</v>
          </cell>
          <cell r="C792" t="str">
            <v>m</v>
          </cell>
          <cell r="D792">
            <v>23.23</v>
          </cell>
          <cell r="E792">
            <v>0.47</v>
          </cell>
          <cell r="F792">
            <v>23.7</v>
          </cell>
          <cell r="G792">
            <v>97170</v>
          </cell>
        </row>
        <row r="793">
          <cell r="A793" t="str">
            <v>090715</v>
          </cell>
          <cell r="B793" t="str">
            <v>DN 1000</v>
          </cell>
          <cell r="C793" t="str">
            <v>m</v>
          </cell>
          <cell r="D793">
            <v>25.57</v>
          </cell>
          <cell r="E793">
            <v>0.52</v>
          </cell>
          <cell r="F793">
            <v>26.09</v>
          </cell>
          <cell r="G793">
            <v>97171</v>
          </cell>
        </row>
        <row r="794">
          <cell r="A794" t="str">
            <v>090716</v>
          </cell>
          <cell r="B794" t="str">
            <v>DN 1200</v>
          </cell>
          <cell r="C794" t="str">
            <v>m</v>
          </cell>
          <cell r="D794">
            <v>30.47</v>
          </cell>
          <cell r="E794">
            <v>0.62</v>
          </cell>
          <cell r="F794">
            <v>31.09</v>
          </cell>
          <cell r="G794">
            <v>97172</v>
          </cell>
        </row>
        <row r="795">
          <cell r="A795" t="str">
            <v>0908</v>
          </cell>
          <cell r="B795" t="str">
            <v>TUBULAÇÃO DE AÇO JE</v>
          </cell>
          <cell r="C795">
            <v>0</v>
          </cell>
          <cell r="D795">
            <v>0</v>
          </cell>
          <cell r="E795">
            <v>0</v>
          </cell>
          <cell r="F795">
            <v>0</v>
          </cell>
          <cell r="G795">
            <v>0</v>
          </cell>
        </row>
        <row r="796">
          <cell r="A796" t="str">
            <v>090801</v>
          </cell>
          <cell r="B796" t="str">
            <v>DN 150</v>
          </cell>
          <cell r="C796" t="str">
            <v>m</v>
          </cell>
          <cell r="D796">
            <v>7.99</v>
          </cell>
          <cell r="E796">
            <v>0.16</v>
          </cell>
          <cell r="F796">
            <v>8.15</v>
          </cell>
          <cell r="G796" t="str">
            <v>73839/001</v>
          </cell>
        </row>
        <row r="797">
          <cell r="A797" t="str">
            <v>090802</v>
          </cell>
          <cell r="B797" t="str">
            <v>DN 200</v>
          </cell>
          <cell r="C797" t="str">
            <v>m</v>
          </cell>
          <cell r="D797">
            <v>10.220000000000001</v>
          </cell>
          <cell r="E797">
            <v>0.22</v>
          </cell>
          <cell r="F797">
            <v>10.44</v>
          </cell>
          <cell r="G797" t="str">
            <v>73839/002</v>
          </cell>
        </row>
        <row r="798">
          <cell r="A798" t="str">
            <v>090803</v>
          </cell>
          <cell r="B798" t="str">
            <v>DN 250</v>
          </cell>
          <cell r="C798" t="str">
            <v>m</v>
          </cell>
          <cell r="D798">
            <v>12.48</v>
          </cell>
          <cell r="E798">
            <v>0.26</v>
          </cell>
          <cell r="F798">
            <v>12.74</v>
          </cell>
          <cell r="G798" t="str">
            <v>73839/003</v>
          </cell>
        </row>
        <row r="799">
          <cell r="A799" t="str">
            <v>090804</v>
          </cell>
          <cell r="B799" t="str">
            <v>DN 300</v>
          </cell>
          <cell r="C799" t="str">
            <v>m</v>
          </cell>
          <cell r="D799">
            <v>14.27</v>
          </cell>
          <cell r="E799">
            <v>0.31</v>
          </cell>
          <cell r="F799">
            <v>14.58</v>
          </cell>
          <cell r="G799" t="str">
            <v>73839/004</v>
          </cell>
        </row>
        <row r="800">
          <cell r="A800" t="str">
            <v>090805</v>
          </cell>
          <cell r="B800" t="str">
            <v>DN 350</v>
          </cell>
          <cell r="C800" t="str">
            <v>m</v>
          </cell>
          <cell r="D800">
            <v>16.82</v>
          </cell>
          <cell r="E800">
            <v>0.36</v>
          </cell>
          <cell r="F800">
            <v>17.18</v>
          </cell>
          <cell r="G800" t="str">
            <v>73839/005</v>
          </cell>
        </row>
        <row r="801">
          <cell r="A801" t="str">
            <v>090806</v>
          </cell>
          <cell r="B801" t="str">
            <v>DN 400</v>
          </cell>
          <cell r="C801" t="str">
            <v>m</v>
          </cell>
          <cell r="D801">
            <v>19.32</v>
          </cell>
          <cell r="E801">
            <v>0.4</v>
          </cell>
          <cell r="F801">
            <v>19.72</v>
          </cell>
          <cell r="G801" t="str">
            <v>73839/006</v>
          </cell>
        </row>
        <row r="802">
          <cell r="A802" t="str">
            <v>090807</v>
          </cell>
          <cell r="B802" t="str">
            <v>DN 450</v>
          </cell>
          <cell r="C802" t="str">
            <v>m</v>
          </cell>
          <cell r="D802">
            <v>21.9</v>
          </cell>
          <cell r="E802">
            <v>0.43</v>
          </cell>
          <cell r="F802">
            <v>22.33</v>
          </cell>
          <cell r="G802" t="str">
            <v>73839/007</v>
          </cell>
        </row>
        <row r="803">
          <cell r="A803" t="str">
            <v>090808</v>
          </cell>
          <cell r="B803" t="str">
            <v>DN 500</v>
          </cell>
          <cell r="C803" t="str">
            <v>m</v>
          </cell>
          <cell r="D803">
            <v>24.34</v>
          </cell>
          <cell r="E803">
            <v>0.56000000000000005</v>
          </cell>
          <cell r="F803">
            <v>24.9</v>
          </cell>
          <cell r="G803" t="str">
            <v>73839/008</v>
          </cell>
        </row>
        <row r="804">
          <cell r="A804" t="str">
            <v>090809</v>
          </cell>
          <cell r="B804" t="str">
            <v>DN 600</v>
          </cell>
          <cell r="C804" t="str">
            <v>m</v>
          </cell>
          <cell r="D804">
            <v>29.73</v>
          </cell>
          <cell r="E804">
            <v>0.63</v>
          </cell>
          <cell r="F804">
            <v>30.36</v>
          </cell>
          <cell r="G804" t="str">
            <v>73839/009</v>
          </cell>
        </row>
        <row r="805">
          <cell r="A805" t="str">
            <v>090810</v>
          </cell>
          <cell r="B805" t="str">
            <v>DN 700</v>
          </cell>
          <cell r="C805" t="str">
            <v>m</v>
          </cell>
          <cell r="D805">
            <v>37.979999999999997</v>
          </cell>
          <cell r="E805">
            <v>0.71</v>
          </cell>
          <cell r="F805">
            <v>38.69</v>
          </cell>
          <cell r="G805" t="str">
            <v>73839/010</v>
          </cell>
        </row>
        <row r="806">
          <cell r="A806" t="str">
            <v>090811</v>
          </cell>
          <cell r="B806" t="str">
            <v>DN 800</v>
          </cell>
          <cell r="C806" t="str">
            <v>m</v>
          </cell>
          <cell r="D806">
            <v>44.12</v>
          </cell>
          <cell r="E806">
            <v>0.87</v>
          </cell>
          <cell r="F806">
            <v>44.99</v>
          </cell>
          <cell r="G806" t="str">
            <v>73839/011</v>
          </cell>
        </row>
        <row r="807">
          <cell r="A807" t="str">
            <v>090812</v>
          </cell>
          <cell r="B807" t="str">
            <v>DN 900</v>
          </cell>
          <cell r="C807" t="str">
            <v>m</v>
          </cell>
          <cell r="D807">
            <v>51.59</v>
          </cell>
          <cell r="E807">
            <v>0.95</v>
          </cell>
          <cell r="F807">
            <v>52.54</v>
          </cell>
          <cell r="G807" t="str">
            <v>73839/016</v>
          </cell>
        </row>
        <row r="808">
          <cell r="A808" t="str">
            <v>090813</v>
          </cell>
          <cell r="B808" t="str">
            <v>DN 1000</v>
          </cell>
          <cell r="C808" t="str">
            <v>m</v>
          </cell>
          <cell r="D808">
            <v>56.37</v>
          </cell>
          <cell r="E808">
            <v>1.03</v>
          </cell>
          <cell r="F808">
            <v>57.4</v>
          </cell>
          <cell r="G808" t="str">
            <v>73839/013</v>
          </cell>
        </row>
        <row r="809">
          <cell r="A809" t="str">
            <v>090814</v>
          </cell>
          <cell r="B809" t="str">
            <v>DN 1100</v>
          </cell>
          <cell r="C809" t="str">
            <v>m</v>
          </cell>
          <cell r="D809">
            <v>66.64</v>
          </cell>
          <cell r="E809">
            <v>1.1599999999999999</v>
          </cell>
          <cell r="F809">
            <v>67.8</v>
          </cell>
          <cell r="G809" t="str">
            <v>73839/014</v>
          </cell>
        </row>
        <row r="810">
          <cell r="A810" t="str">
            <v>090815</v>
          </cell>
          <cell r="B810" t="str">
            <v>DN 1200</v>
          </cell>
          <cell r="C810" t="str">
            <v>m</v>
          </cell>
          <cell r="D810">
            <v>78.16</v>
          </cell>
          <cell r="E810">
            <v>1.26</v>
          </cell>
          <cell r="F810">
            <v>79.42</v>
          </cell>
          <cell r="G810" t="str">
            <v>73839/015</v>
          </cell>
        </row>
        <row r="811">
          <cell r="A811" t="str">
            <v>0909</v>
          </cell>
          <cell r="B811" t="str">
            <v>TUBULAÇÃO DE AÇO JS</v>
          </cell>
          <cell r="C811">
            <v>0</v>
          </cell>
          <cell r="D811">
            <v>0</v>
          </cell>
          <cell r="E811">
            <v>0</v>
          </cell>
          <cell r="F811">
            <v>0</v>
          </cell>
          <cell r="G811">
            <v>0</v>
          </cell>
        </row>
        <row r="812">
          <cell r="A812" t="str">
            <v>090901</v>
          </cell>
          <cell r="B812" t="str">
            <v>DN 600</v>
          </cell>
          <cell r="C812" t="str">
            <v>m</v>
          </cell>
          <cell r="D812">
            <v>19</v>
          </cell>
          <cell r="E812">
            <v>8.5299999999999994</v>
          </cell>
          <cell r="F812">
            <v>27.53</v>
          </cell>
          <cell r="G812">
            <v>97173</v>
          </cell>
        </row>
        <row r="813">
          <cell r="A813" t="str">
            <v>090902</v>
          </cell>
          <cell r="B813" t="str">
            <v>DN 700</v>
          </cell>
          <cell r="C813" t="str">
            <v>m</v>
          </cell>
          <cell r="D813">
            <v>21.33</v>
          </cell>
          <cell r="E813">
            <v>10.51</v>
          </cell>
          <cell r="F813">
            <v>31.84</v>
          </cell>
          <cell r="G813">
            <v>97174</v>
          </cell>
        </row>
        <row r="814">
          <cell r="A814" t="str">
            <v>090903</v>
          </cell>
          <cell r="B814" t="str">
            <v>DN 800</v>
          </cell>
          <cell r="C814" t="str">
            <v>m</v>
          </cell>
          <cell r="D814">
            <v>24.59</v>
          </cell>
          <cell r="E814">
            <v>11.57</v>
          </cell>
          <cell r="F814">
            <v>36.159999999999997</v>
          </cell>
          <cell r="G814">
            <v>97175</v>
          </cell>
        </row>
        <row r="815">
          <cell r="A815" t="str">
            <v>090904</v>
          </cell>
          <cell r="B815" t="str">
            <v>DN 900</v>
          </cell>
          <cell r="C815" t="str">
            <v>m</v>
          </cell>
          <cell r="D815">
            <v>27.53</v>
          </cell>
          <cell r="E815">
            <v>12.95</v>
          </cell>
          <cell r="F815">
            <v>40.479999999999997</v>
          </cell>
          <cell r="G815">
            <v>97176</v>
          </cell>
        </row>
        <row r="816">
          <cell r="A816" t="str">
            <v>090905</v>
          </cell>
          <cell r="B816" t="str">
            <v>DN 1000</v>
          </cell>
          <cell r="C816" t="str">
            <v>m</v>
          </cell>
          <cell r="D816">
            <v>33.409999999999997</v>
          </cell>
          <cell r="E816">
            <v>15.72</v>
          </cell>
          <cell r="F816">
            <v>49.13</v>
          </cell>
          <cell r="G816">
            <v>97177</v>
          </cell>
        </row>
        <row r="817">
          <cell r="A817" t="str">
            <v>090906</v>
          </cell>
          <cell r="B817" t="str">
            <v>DN 1100</v>
          </cell>
          <cell r="C817" t="str">
            <v>m</v>
          </cell>
          <cell r="D817">
            <v>105.8</v>
          </cell>
          <cell r="E817">
            <v>49.75</v>
          </cell>
          <cell r="F817">
            <v>155.55000000000001</v>
          </cell>
          <cell r="G817">
            <v>0</v>
          </cell>
        </row>
        <row r="818">
          <cell r="A818" t="str">
            <v>090907</v>
          </cell>
          <cell r="B818" t="str">
            <v>DN 1200</v>
          </cell>
          <cell r="C818" t="str">
            <v>m</v>
          </cell>
          <cell r="D818">
            <v>39.85</v>
          </cell>
          <cell r="E818">
            <v>17.91</v>
          </cell>
          <cell r="F818">
            <v>57.76</v>
          </cell>
          <cell r="G818">
            <v>97178</v>
          </cell>
        </row>
        <row r="819">
          <cell r="A819" t="str">
            <v>0910</v>
          </cell>
          <cell r="B819" t="str">
            <v>TUBULAÇÃO DE CONCRETO JE</v>
          </cell>
          <cell r="C819">
            <v>0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</row>
        <row r="820">
          <cell r="A820" t="str">
            <v>091001</v>
          </cell>
          <cell r="B820" t="str">
            <v>DN 400</v>
          </cell>
          <cell r="C820" t="str">
            <v>m</v>
          </cell>
          <cell r="D820">
            <v>8</v>
          </cell>
          <cell r="E820">
            <v>0</v>
          </cell>
          <cell r="F820">
            <v>8</v>
          </cell>
          <cell r="G820">
            <v>92836</v>
          </cell>
        </row>
        <row r="821">
          <cell r="A821" t="str">
            <v>091002</v>
          </cell>
          <cell r="B821" t="str">
            <v>DN 500</v>
          </cell>
          <cell r="C821" t="str">
            <v>m</v>
          </cell>
          <cell r="D821">
            <v>9.61</v>
          </cell>
          <cell r="E821">
            <v>0</v>
          </cell>
          <cell r="F821">
            <v>9.61</v>
          </cell>
          <cell r="G821">
            <v>92838</v>
          </cell>
        </row>
        <row r="822">
          <cell r="A822" t="str">
            <v>091003</v>
          </cell>
          <cell r="B822" t="str">
            <v>DN 600</v>
          </cell>
          <cell r="C822" t="str">
            <v>m</v>
          </cell>
          <cell r="D822">
            <v>11.39</v>
          </cell>
          <cell r="E822">
            <v>0</v>
          </cell>
          <cell r="F822">
            <v>11.39</v>
          </cell>
          <cell r="G822">
            <v>92840</v>
          </cell>
        </row>
        <row r="823">
          <cell r="A823" t="str">
            <v>091004</v>
          </cell>
          <cell r="B823" t="str">
            <v>DN 700</v>
          </cell>
          <cell r="C823" t="str">
            <v>m</v>
          </cell>
          <cell r="D823">
            <v>13.01</v>
          </cell>
          <cell r="E823">
            <v>0</v>
          </cell>
          <cell r="F823">
            <v>13.01</v>
          </cell>
          <cell r="G823">
            <v>92842</v>
          </cell>
        </row>
        <row r="824">
          <cell r="A824" t="str">
            <v>091005</v>
          </cell>
          <cell r="B824" t="str">
            <v>DN 800</v>
          </cell>
          <cell r="C824" t="str">
            <v>m</v>
          </cell>
          <cell r="D824">
            <v>14.77</v>
          </cell>
          <cell r="E824">
            <v>0</v>
          </cell>
          <cell r="F824">
            <v>14.77</v>
          </cell>
          <cell r="G824">
            <v>92844</v>
          </cell>
        </row>
        <row r="825">
          <cell r="A825" t="str">
            <v>091006</v>
          </cell>
          <cell r="B825" t="str">
            <v>DN 900</v>
          </cell>
          <cell r="C825" t="str">
            <v>m</v>
          </cell>
          <cell r="D825">
            <v>16.38</v>
          </cell>
          <cell r="E825">
            <v>0</v>
          </cell>
          <cell r="F825">
            <v>16.38</v>
          </cell>
          <cell r="G825">
            <v>92846</v>
          </cell>
        </row>
        <row r="826">
          <cell r="A826" t="str">
            <v>091007</v>
          </cell>
          <cell r="B826" t="str">
            <v>DN 1000</v>
          </cell>
          <cell r="C826" t="str">
            <v>m</v>
          </cell>
          <cell r="D826">
            <v>18.170000000000002</v>
          </cell>
          <cell r="E826">
            <v>0</v>
          </cell>
          <cell r="F826">
            <v>18.170000000000002</v>
          </cell>
          <cell r="G826">
            <v>92848</v>
          </cell>
        </row>
        <row r="827">
          <cell r="A827" t="str">
            <v>091008</v>
          </cell>
          <cell r="B827" t="str">
            <v>DN 1100</v>
          </cell>
          <cell r="C827" t="str">
            <v>m</v>
          </cell>
          <cell r="D827">
            <v>162.19</v>
          </cell>
          <cell r="E827">
            <v>0</v>
          </cell>
          <cell r="F827">
            <v>162.19</v>
          </cell>
          <cell r="G827">
            <v>0</v>
          </cell>
        </row>
        <row r="828">
          <cell r="A828" t="str">
            <v>091009</v>
          </cell>
          <cell r="B828" t="str">
            <v>DN 1200</v>
          </cell>
          <cell r="C828" t="str">
            <v>m</v>
          </cell>
          <cell r="D828">
            <v>189.86</v>
          </cell>
          <cell r="E828">
            <v>0</v>
          </cell>
          <cell r="F828">
            <v>189.86</v>
          </cell>
          <cell r="G828">
            <v>0</v>
          </cell>
        </row>
        <row r="829">
          <cell r="A829" t="str">
            <v>0911</v>
          </cell>
          <cell r="B829" t="str">
            <v>TUBO DE INSPEÇÃO E LIMPEZA (TIL) PARA REDE COLETORA</v>
          </cell>
          <cell r="C829">
            <v>0</v>
          </cell>
          <cell r="D829">
            <v>0</v>
          </cell>
          <cell r="E829">
            <v>0</v>
          </cell>
          <cell r="F829">
            <v>0</v>
          </cell>
          <cell r="G829">
            <v>0</v>
          </cell>
        </row>
        <row r="830">
          <cell r="A830" t="str">
            <v>091101</v>
          </cell>
          <cell r="B830" t="str">
            <v>PVC JE DN 100 x 100</v>
          </cell>
          <cell r="C830" t="str">
            <v>ud</v>
          </cell>
          <cell r="D830">
            <v>22.49</v>
          </cell>
          <cell r="E830">
            <v>6.32</v>
          </cell>
          <cell r="F830">
            <v>28.81</v>
          </cell>
          <cell r="G830">
            <v>0</v>
          </cell>
        </row>
        <row r="831">
          <cell r="A831" t="str">
            <v>091102</v>
          </cell>
          <cell r="B831" t="str">
            <v>PVC JE DN 150 x 150</v>
          </cell>
          <cell r="C831" t="str">
            <v>ud</v>
          </cell>
          <cell r="D831">
            <v>26.25</v>
          </cell>
          <cell r="E831">
            <v>7.84</v>
          </cell>
          <cell r="F831">
            <v>34.090000000000003</v>
          </cell>
          <cell r="G831">
            <v>0</v>
          </cell>
        </row>
        <row r="832">
          <cell r="A832" t="str">
            <v>091103</v>
          </cell>
          <cell r="B832" t="str">
            <v>PVC JE DN 200 x 150</v>
          </cell>
          <cell r="C832" t="str">
            <v>ud</v>
          </cell>
          <cell r="D832">
            <v>29.99</v>
          </cell>
          <cell r="E832">
            <v>7.79</v>
          </cell>
          <cell r="F832">
            <v>37.78</v>
          </cell>
          <cell r="G832">
            <v>0</v>
          </cell>
        </row>
        <row r="833">
          <cell r="A833" t="str">
            <v>091104</v>
          </cell>
          <cell r="B833" t="str">
            <v>PVC JE DN 250 x 150</v>
          </cell>
          <cell r="C833" t="str">
            <v>ud</v>
          </cell>
          <cell r="D833">
            <v>37.49</v>
          </cell>
          <cell r="E833">
            <v>9.6199999999999992</v>
          </cell>
          <cell r="F833">
            <v>47.11</v>
          </cell>
          <cell r="G833">
            <v>0</v>
          </cell>
        </row>
        <row r="834">
          <cell r="A834" t="str">
            <v>0912</v>
          </cell>
          <cell r="B834" t="str">
            <v>TUBO DE INSPEÇÃO E LIMPEZA (TIL) PARA LIGAÇÃO PREDIAL</v>
          </cell>
          <cell r="C834">
            <v>0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</row>
        <row r="835">
          <cell r="A835" t="str">
            <v>091201</v>
          </cell>
          <cell r="B835" t="str">
            <v>PVC JE DN 100 x 100</v>
          </cell>
          <cell r="C835" t="str">
            <v>ud</v>
          </cell>
          <cell r="D835">
            <v>22.49</v>
          </cell>
          <cell r="E835">
            <v>6.32</v>
          </cell>
          <cell r="F835">
            <v>28.81</v>
          </cell>
          <cell r="G835">
            <v>0</v>
          </cell>
        </row>
        <row r="836">
          <cell r="A836" t="str">
            <v>0913</v>
          </cell>
          <cell r="B836" t="str">
            <v>TERMINAL DE LIMPEZA (TL)</v>
          </cell>
          <cell r="C836">
            <v>0</v>
          </cell>
          <cell r="D836">
            <v>0</v>
          </cell>
          <cell r="E836">
            <v>0</v>
          </cell>
          <cell r="F836">
            <v>0</v>
          </cell>
          <cell r="G836">
            <v>0</v>
          </cell>
        </row>
        <row r="837">
          <cell r="A837" t="str">
            <v>091301</v>
          </cell>
          <cell r="B837" t="str">
            <v>PVC JE  DN 100</v>
          </cell>
          <cell r="C837" t="str">
            <v>ud</v>
          </cell>
          <cell r="D837">
            <v>18.75</v>
          </cell>
          <cell r="E837">
            <v>6.78</v>
          </cell>
          <cell r="F837">
            <v>25.53</v>
          </cell>
          <cell r="G837">
            <v>0</v>
          </cell>
        </row>
        <row r="838">
          <cell r="A838" t="str">
            <v>091302</v>
          </cell>
          <cell r="B838" t="str">
            <v>PVC JE  DN 150</v>
          </cell>
          <cell r="C838" t="str">
            <v>ud</v>
          </cell>
          <cell r="D838">
            <v>22.49</v>
          </cell>
          <cell r="E838">
            <v>8.3000000000000007</v>
          </cell>
          <cell r="F838">
            <v>30.79</v>
          </cell>
          <cell r="G838">
            <v>0</v>
          </cell>
        </row>
        <row r="839">
          <cell r="A839" t="str">
            <v>0914</v>
          </cell>
          <cell r="B839" t="str">
            <v>TUBO DE QUEDA (TQ)</v>
          </cell>
          <cell r="C839">
            <v>0</v>
          </cell>
          <cell r="D839">
            <v>0</v>
          </cell>
          <cell r="E839">
            <v>0</v>
          </cell>
          <cell r="F839">
            <v>0</v>
          </cell>
          <cell r="G839">
            <v>0</v>
          </cell>
        </row>
        <row r="840">
          <cell r="A840" t="str">
            <v>091401</v>
          </cell>
          <cell r="B840" t="str">
            <v>PVC JE  DN 100</v>
          </cell>
          <cell r="C840" t="str">
            <v>ud</v>
          </cell>
          <cell r="D840">
            <v>49.03</v>
          </cell>
          <cell r="E840">
            <v>26.44</v>
          </cell>
          <cell r="F840">
            <v>75.47</v>
          </cell>
          <cell r="G840">
            <v>0</v>
          </cell>
        </row>
        <row r="841">
          <cell r="A841" t="str">
            <v>091402</v>
          </cell>
          <cell r="B841" t="str">
            <v>PVC JE  DN 150</v>
          </cell>
          <cell r="C841" t="str">
            <v>ud</v>
          </cell>
          <cell r="D841">
            <v>54.92</v>
          </cell>
          <cell r="E841">
            <v>29.86</v>
          </cell>
          <cell r="F841">
            <v>84.78</v>
          </cell>
          <cell r="G841">
            <v>0</v>
          </cell>
        </row>
        <row r="842">
          <cell r="A842" t="str">
            <v>091403</v>
          </cell>
          <cell r="B842" t="str">
            <v>PVC JE  DN 200</v>
          </cell>
          <cell r="C842" t="str">
            <v>ud</v>
          </cell>
          <cell r="D842">
            <v>59.69</v>
          </cell>
          <cell r="E842">
            <v>32.89</v>
          </cell>
          <cell r="F842">
            <v>92.58</v>
          </cell>
          <cell r="G842">
            <v>0</v>
          </cell>
        </row>
        <row r="843">
          <cell r="A843" t="str">
            <v>091404</v>
          </cell>
          <cell r="B843" t="str">
            <v>PVC JE  DN 250</v>
          </cell>
          <cell r="C843" t="str">
            <v>ud</v>
          </cell>
          <cell r="D843">
            <v>66.7</v>
          </cell>
          <cell r="E843">
            <v>36.130000000000003</v>
          </cell>
          <cell r="F843">
            <v>102.83</v>
          </cell>
          <cell r="G843">
            <v>0</v>
          </cell>
        </row>
        <row r="844">
          <cell r="A844" t="str">
            <v>091405</v>
          </cell>
          <cell r="B844" t="str">
            <v>PVC JE  DN 300</v>
          </cell>
          <cell r="C844" t="str">
            <v>ud</v>
          </cell>
          <cell r="D844">
            <v>70.209999999999994</v>
          </cell>
          <cell r="E844">
            <v>37.76</v>
          </cell>
          <cell r="F844">
            <v>107.97</v>
          </cell>
          <cell r="G844">
            <v>0</v>
          </cell>
        </row>
        <row r="845">
          <cell r="A845" t="str">
            <v>091406</v>
          </cell>
          <cell r="B845" t="str">
            <v>PVC JE  DN 350</v>
          </cell>
          <cell r="C845" t="str">
            <v>ud</v>
          </cell>
          <cell r="D845">
            <v>79.98</v>
          </cell>
          <cell r="E845">
            <v>41.31</v>
          </cell>
          <cell r="F845">
            <v>121.29</v>
          </cell>
          <cell r="G845">
            <v>0</v>
          </cell>
        </row>
        <row r="846">
          <cell r="A846" t="str">
            <v>091407</v>
          </cell>
          <cell r="B846" t="str">
            <v>PVC JE  DN 400</v>
          </cell>
          <cell r="C846" t="str">
            <v>ud</v>
          </cell>
          <cell r="D846">
            <v>87</v>
          </cell>
          <cell r="E846">
            <v>44.87</v>
          </cell>
          <cell r="F846">
            <v>131.87</v>
          </cell>
          <cell r="G846">
            <v>0</v>
          </cell>
        </row>
        <row r="847">
          <cell r="A847" t="str">
            <v>0915</v>
          </cell>
          <cell r="B847" t="str">
            <v>POÇO DE VISITA TIPO A - DN 800</v>
          </cell>
          <cell r="C847">
            <v>0</v>
          </cell>
          <cell r="D847">
            <v>0</v>
          </cell>
          <cell r="E847">
            <v>0</v>
          </cell>
          <cell r="F847">
            <v>0</v>
          </cell>
          <cell r="G847">
            <v>0</v>
          </cell>
        </row>
        <row r="848">
          <cell r="A848" t="str">
            <v>091501</v>
          </cell>
          <cell r="B848" t="str">
            <v>Com profundidade até 1,00 m</v>
          </cell>
          <cell r="C848" t="str">
            <v>ud</v>
          </cell>
          <cell r="D848">
            <v>239.41</v>
          </cell>
          <cell r="E848">
            <v>410.99</v>
          </cell>
          <cell r="F848">
            <v>650.4</v>
          </cell>
          <cell r="G848">
            <v>0</v>
          </cell>
        </row>
        <row r="849">
          <cell r="A849" t="str">
            <v>091502</v>
          </cell>
          <cell r="B849" t="str">
            <v>Acréscimo para prof. superior a 1,00 m</v>
          </cell>
          <cell r="C849" t="str">
            <v>m</v>
          </cell>
          <cell r="D849">
            <v>49.71</v>
          </cell>
          <cell r="E849">
            <v>205.05</v>
          </cell>
          <cell r="F849">
            <v>254.76</v>
          </cell>
          <cell r="G849">
            <v>0</v>
          </cell>
        </row>
        <row r="850">
          <cell r="A850" t="str">
            <v>0916</v>
          </cell>
          <cell r="B850" t="str">
            <v>POÇO DE VISITA TIPO B - DN 1500</v>
          </cell>
          <cell r="C850">
            <v>0</v>
          </cell>
          <cell r="D850">
            <v>0</v>
          </cell>
          <cell r="E850">
            <v>0</v>
          </cell>
          <cell r="F850">
            <v>0</v>
          </cell>
          <cell r="G850">
            <v>0</v>
          </cell>
        </row>
        <row r="851">
          <cell r="A851" t="str">
            <v>091601</v>
          </cell>
          <cell r="B851" t="str">
            <v>Com profundidade até 2,50 m</v>
          </cell>
          <cell r="C851" t="str">
            <v>ud</v>
          </cell>
          <cell r="D851">
            <v>786.12</v>
          </cell>
          <cell r="E851">
            <v>1832.51</v>
          </cell>
          <cell r="F851">
            <v>2618.63</v>
          </cell>
          <cell r="G851" t="str">
            <v>73963/012</v>
          </cell>
        </row>
        <row r="852">
          <cell r="A852" t="str">
            <v>091602</v>
          </cell>
          <cell r="B852" t="str">
            <v>Acréscimo para prof. superior a 2,50 m</v>
          </cell>
          <cell r="C852" t="str">
            <v>m</v>
          </cell>
          <cell r="D852">
            <v>46.02</v>
          </cell>
          <cell r="E852">
            <v>205.05</v>
          </cell>
          <cell r="F852">
            <v>251.07</v>
          </cell>
          <cell r="G852">
            <v>0</v>
          </cell>
        </row>
        <row r="853">
          <cell r="A853" t="str">
            <v>0917</v>
          </cell>
          <cell r="B853" t="str">
            <v>POÇO DE VISITA TIPO C - DN 800</v>
          </cell>
          <cell r="C853">
            <v>0</v>
          </cell>
          <cell r="D853">
            <v>0</v>
          </cell>
          <cell r="E853">
            <v>0</v>
          </cell>
          <cell r="F853">
            <v>0</v>
          </cell>
          <cell r="G853">
            <v>0</v>
          </cell>
        </row>
        <row r="854">
          <cell r="A854" t="str">
            <v>091701</v>
          </cell>
          <cell r="B854" t="str">
            <v>Com profundidade até 1,00 m</v>
          </cell>
          <cell r="C854" t="str">
            <v>ud</v>
          </cell>
          <cell r="D854">
            <v>143.97</v>
          </cell>
          <cell r="E854">
            <v>322.85000000000002</v>
          </cell>
          <cell r="F854">
            <v>466.82</v>
          </cell>
          <cell r="G854" t="str">
            <v>73963/002</v>
          </cell>
        </row>
        <row r="855">
          <cell r="A855" t="str">
            <v>091702</v>
          </cell>
          <cell r="B855" t="str">
            <v>Acréscimo para prof. superior a 1,00 m</v>
          </cell>
          <cell r="C855" t="str">
            <v>m</v>
          </cell>
          <cell r="D855">
            <v>47.83</v>
          </cell>
          <cell r="E855">
            <v>205.05</v>
          </cell>
          <cell r="F855">
            <v>252.88</v>
          </cell>
          <cell r="G855">
            <v>0</v>
          </cell>
        </row>
        <row r="856">
          <cell r="A856" t="str">
            <v>0918</v>
          </cell>
          <cell r="B856" t="str">
            <v>POÇO DE VISITA TIPO D - DN 1200</v>
          </cell>
          <cell r="C856">
            <v>0</v>
          </cell>
          <cell r="D856">
            <v>0</v>
          </cell>
          <cell r="E856">
            <v>0</v>
          </cell>
          <cell r="F856">
            <v>0</v>
          </cell>
          <cell r="G856">
            <v>0</v>
          </cell>
        </row>
        <row r="857">
          <cell r="A857" t="str">
            <v>091801</v>
          </cell>
          <cell r="B857" t="str">
            <v>Com profundidade até 2,00 m</v>
          </cell>
          <cell r="C857" t="str">
            <v>ud</v>
          </cell>
          <cell r="D857">
            <v>583.24</v>
          </cell>
          <cell r="E857">
            <v>1085.6400000000001</v>
          </cell>
          <cell r="F857">
            <v>1668.88</v>
          </cell>
          <cell r="G857" t="str">
            <v>73963/010</v>
          </cell>
        </row>
        <row r="858">
          <cell r="A858" t="str">
            <v>091802</v>
          </cell>
          <cell r="B858" t="str">
            <v>Acréscimo para prof. superior a 2,00 m</v>
          </cell>
          <cell r="C858" t="str">
            <v>m</v>
          </cell>
          <cell r="D858">
            <v>135.65</v>
          </cell>
          <cell r="E858">
            <v>330.7</v>
          </cell>
          <cell r="F858">
            <v>466.35</v>
          </cell>
          <cell r="G858">
            <v>0</v>
          </cell>
        </row>
        <row r="859">
          <cell r="A859" t="str">
            <v>0919</v>
          </cell>
          <cell r="B859" t="str">
            <v>POÇO DE VISITA TIPO E - DN 600</v>
          </cell>
          <cell r="C859">
            <v>0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</row>
        <row r="860">
          <cell r="A860" t="str">
            <v>091901</v>
          </cell>
          <cell r="B860" t="str">
            <v>Com profundidade até 1,00 m</v>
          </cell>
          <cell r="C860" t="str">
            <v>ud</v>
          </cell>
          <cell r="D860">
            <v>154.76</v>
          </cell>
          <cell r="E860">
            <v>288.66000000000003</v>
          </cell>
          <cell r="F860">
            <v>443.42</v>
          </cell>
          <cell r="G860" t="str">
            <v>73963/002</v>
          </cell>
        </row>
        <row r="861">
          <cell r="A861" t="str">
            <v>091902</v>
          </cell>
          <cell r="B861" t="str">
            <v>Com profundidade de 1,01 a 1,50 m</v>
          </cell>
          <cell r="C861" t="str">
            <v>ud</v>
          </cell>
          <cell r="D861">
            <v>165.2</v>
          </cell>
          <cell r="E861">
            <v>342.01</v>
          </cell>
          <cell r="F861">
            <v>507.21</v>
          </cell>
          <cell r="G861">
            <v>0</v>
          </cell>
        </row>
        <row r="862">
          <cell r="A862" t="str">
            <v>0920</v>
          </cell>
          <cell r="B862" t="str">
            <v>POÇO DE VISITA TIPO F - DN 600</v>
          </cell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</row>
        <row r="863">
          <cell r="A863" t="str">
            <v>092001</v>
          </cell>
          <cell r="B863" t="str">
            <v>Com profundidade até 1,00 m</v>
          </cell>
          <cell r="C863" t="str">
            <v>ud</v>
          </cell>
          <cell r="D863">
            <v>113.14</v>
          </cell>
          <cell r="E863">
            <v>234.03</v>
          </cell>
          <cell r="F863">
            <v>347.17</v>
          </cell>
          <cell r="G863" t="str">
            <v>73963/002</v>
          </cell>
        </row>
        <row r="864">
          <cell r="A864" t="str">
            <v>092002</v>
          </cell>
          <cell r="B864" t="str">
            <v>Com profundidade de 1,01 a 1,50 m</v>
          </cell>
          <cell r="C864" t="str">
            <v>ud</v>
          </cell>
          <cell r="D864">
            <v>127.9</v>
          </cell>
          <cell r="E864">
            <v>351.38</v>
          </cell>
          <cell r="F864">
            <v>479.28</v>
          </cell>
          <cell r="G864">
            <v>0</v>
          </cell>
        </row>
        <row r="865">
          <cell r="A865" t="str">
            <v>0921</v>
          </cell>
          <cell r="B865" t="str">
            <v>POÇO DE VISITA TIPO G - POLIETILENO - DN 600</v>
          </cell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</row>
        <row r="866">
          <cell r="A866" t="str">
            <v>092101</v>
          </cell>
          <cell r="B866" t="str">
            <v>Com profundidade até 1,00 m</v>
          </cell>
          <cell r="C866" t="str">
            <v>ud</v>
          </cell>
          <cell r="D866">
            <v>97.07</v>
          </cell>
          <cell r="E866">
            <v>86.54</v>
          </cell>
          <cell r="F866">
            <v>183.61</v>
          </cell>
          <cell r="G866">
            <v>0</v>
          </cell>
        </row>
        <row r="867">
          <cell r="A867" t="str">
            <v>092102</v>
          </cell>
          <cell r="B867" t="str">
            <v>Com profundidade de 1,01 a 1,60 m</v>
          </cell>
          <cell r="C867" t="str">
            <v>ud</v>
          </cell>
          <cell r="D867">
            <v>114.55</v>
          </cell>
          <cell r="E867">
            <v>86.54</v>
          </cell>
          <cell r="F867">
            <v>201.09</v>
          </cell>
          <cell r="G867">
            <v>0</v>
          </cell>
        </row>
        <row r="868">
          <cell r="A868" t="str">
            <v>0922</v>
          </cell>
          <cell r="B868" t="str">
            <v>POÇO DE VISITA TIPO H - POLIETILENO - DN 800</v>
          </cell>
          <cell r="C868">
            <v>0</v>
          </cell>
          <cell r="D868">
            <v>0</v>
          </cell>
          <cell r="E868">
            <v>0</v>
          </cell>
          <cell r="F868">
            <v>0</v>
          </cell>
          <cell r="G868">
            <v>0</v>
          </cell>
        </row>
        <row r="869">
          <cell r="A869" t="str">
            <v>092201</v>
          </cell>
          <cell r="B869" t="str">
            <v>Com profundidade até 1,00 m</v>
          </cell>
          <cell r="C869" t="str">
            <v>ud</v>
          </cell>
          <cell r="D869">
            <v>141.27000000000001</v>
          </cell>
          <cell r="E869">
            <v>90.72</v>
          </cell>
          <cell r="F869">
            <v>231.99</v>
          </cell>
          <cell r="G869">
            <v>0</v>
          </cell>
        </row>
        <row r="870">
          <cell r="A870" t="str">
            <v>092202</v>
          </cell>
          <cell r="B870" t="str">
            <v>Acréscimo para prof. superior a 1,00 m</v>
          </cell>
          <cell r="C870" t="str">
            <v>m</v>
          </cell>
          <cell r="D870">
            <v>62.46</v>
          </cell>
          <cell r="E870">
            <v>0</v>
          </cell>
          <cell r="F870">
            <v>62.46</v>
          </cell>
          <cell r="G870">
            <v>0</v>
          </cell>
        </row>
        <row r="871">
          <cell r="A871" t="str">
            <v>0923</v>
          </cell>
          <cell r="B871" t="str">
            <v>POÇO DE VISITA TIPO I - POLIETILENO - DN 1000</v>
          </cell>
          <cell r="C871">
            <v>0</v>
          </cell>
          <cell r="D871">
            <v>0</v>
          </cell>
          <cell r="E871">
            <v>0</v>
          </cell>
          <cell r="F871">
            <v>0</v>
          </cell>
          <cell r="G871">
            <v>0</v>
          </cell>
        </row>
        <row r="872">
          <cell r="A872" t="str">
            <v>092301</v>
          </cell>
          <cell r="B872" t="str">
            <v>Com profundidade até 1,00 m</v>
          </cell>
          <cell r="C872" t="str">
            <v>ud</v>
          </cell>
          <cell r="D872">
            <v>173.82</v>
          </cell>
          <cell r="E872">
            <v>95.49</v>
          </cell>
          <cell r="F872">
            <v>269.31</v>
          </cell>
          <cell r="G872">
            <v>0</v>
          </cell>
        </row>
        <row r="873">
          <cell r="A873" t="str">
            <v>092302</v>
          </cell>
          <cell r="B873" t="str">
            <v>Acréscimo para prof. superior a 1,00 m</v>
          </cell>
          <cell r="C873" t="str">
            <v>m</v>
          </cell>
          <cell r="D873">
            <v>66.11</v>
          </cell>
          <cell r="E873">
            <v>0</v>
          </cell>
          <cell r="F873">
            <v>66.11</v>
          </cell>
          <cell r="G873">
            <v>0</v>
          </cell>
        </row>
        <row r="874">
          <cell r="A874" t="str">
            <v>0924</v>
          </cell>
          <cell r="B874" t="str">
            <v>TIL RADIAL DE REDE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</row>
        <row r="875">
          <cell r="A875" t="str">
            <v>092401</v>
          </cell>
          <cell r="B875" t="str">
            <v>DN 150</v>
          </cell>
          <cell r="C875" t="str">
            <v>ud</v>
          </cell>
          <cell r="D875">
            <v>103.81</v>
          </cell>
          <cell r="E875">
            <v>30.28</v>
          </cell>
          <cell r="F875">
            <v>134.09</v>
          </cell>
          <cell r="G875">
            <v>0</v>
          </cell>
        </row>
        <row r="876">
          <cell r="A876" t="str">
            <v>0925</v>
          </cell>
          <cell r="B876" t="str">
            <v>PROTEÇÃO PARA REGISTRO EM PASSEIO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</row>
        <row r="877">
          <cell r="A877" t="str">
            <v>092501</v>
          </cell>
          <cell r="B877" t="str">
            <v>Com tubo de PVC DN 150 prof. até 1,00 m</v>
          </cell>
          <cell r="C877" t="str">
            <v>ud</v>
          </cell>
          <cell r="D877">
            <v>21.74</v>
          </cell>
          <cell r="E877">
            <v>65.63</v>
          </cell>
          <cell r="F877">
            <v>87.37</v>
          </cell>
          <cell r="G877">
            <v>0</v>
          </cell>
        </row>
        <row r="878">
          <cell r="A878" t="str">
            <v>092502</v>
          </cell>
          <cell r="B878" t="str">
            <v>Acréscimo para profundidade superior a 1,00 m</v>
          </cell>
          <cell r="C878" t="str">
            <v>m</v>
          </cell>
          <cell r="D878">
            <v>7.49</v>
          </cell>
          <cell r="E878">
            <v>62.17</v>
          </cell>
          <cell r="F878">
            <v>69.66</v>
          </cell>
          <cell r="G878">
            <v>0</v>
          </cell>
        </row>
        <row r="879">
          <cell r="A879" t="str">
            <v>0926</v>
          </cell>
          <cell r="B879" t="str">
            <v>PROTEÇÃO DE EQUIPAMENTOS COM ANÉIS DE CONCRETO DN 800</v>
          </cell>
          <cell r="C879">
            <v>0</v>
          </cell>
          <cell r="D879">
            <v>0</v>
          </cell>
          <cell r="E879">
            <v>0</v>
          </cell>
          <cell r="F879">
            <v>0</v>
          </cell>
          <cell r="G879">
            <v>0</v>
          </cell>
        </row>
        <row r="880">
          <cell r="A880" t="str">
            <v>092601</v>
          </cell>
          <cell r="B880" t="str">
            <v>Com anel de concreto DN 800 prof. até 1,00 m</v>
          </cell>
          <cell r="C880" t="str">
            <v>ud</v>
          </cell>
          <cell r="D880">
            <v>192.89</v>
          </cell>
          <cell r="E880">
            <v>221.84</v>
          </cell>
          <cell r="F880">
            <v>414.73</v>
          </cell>
          <cell r="G880">
            <v>0</v>
          </cell>
        </row>
        <row r="881">
          <cell r="A881" t="str">
            <v>092602</v>
          </cell>
          <cell r="B881" t="str">
            <v>Acréscimo para profundidade superior a 1,00 m</v>
          </cell>
          <cell r="C881" t="str">
            <v>m</v>
          </cell>
          <cell r="D881">
            <v>39.36</v>
          </cell>
          <cell r="E881">
            <v>204.79</v>
          </cell>
          <cell r="F881">
            <v>244.15</v>
          </cell>
          <cell r="G881">
            <v>0</v>
          </cell>
        </row>
        <row r="882">
          <cell r="A882" t="str">
            <v>0927</v>
          </cell>
          <cell r="B882" t="str">
            <v>EMBASAMENTO</v>
          </cell>
          <cell r="C882">
            <v>0</v>
          </cell>
          <cell r="D882">
            <v>0</v>
          </cell>
          <cell r="E882">
            <v>0</v>
          </cell>
          <cell r="F882">
            <v>0</v>
          </cell>
          <cell r="G882">
            <v>0</v>
          </cell>
        </row>
        <row r="883">
          <cell r="A883" t="str">
            <v>092701</v>
          </cell>
          <cell r="B883" t="str">
            <v>Concreto não estrutural</v>
          </cell>
          <cell r="C883" t="str">
            <v>m3</v>
          </cell>
          <cell r="D883">
            <v>214.2</v>
          </cell>
          <cell r="E883">
            <v>140.61000000000001</v>
          </cell>
          <cell r="F883">
            <v>354.81</v>
          </cell>
          <cell r="G883">
            <v>6122</v>
          </cell>
        </row>
        <row r="884">
          <cell r="A884" t="str">
            <v>092702</v>
          </cell>
          <cell r="B884" t="str">
            <v>Areia</v>
          </cell>
          <cell r="C884" t="str">
            <v>m3</v>
          </cell>
          <cell r="D884">
            <v>39.5</v>
          </cell>
          <cell r="E884">
            <v>118.49</v>
          </cell>
          <cell r="F884">
            <v>157.99</v>
          </cell>
          <cell r="G884">
            <v>94102</v>
          </cell>
        </row>
        <row r="885">
          <cell r="A885" t="str">
            <v>092703</v>
          </cell>
          <cell r="B885" t="str">
            <v>Areia reciclada</v>
          </cell>
          <cell r="C885" t="str">
            <v>m3</v>
          </cell>
          <cell r="D885">
            <v>21.17</v>
          </cell>
          <cell r="E885">
            <v>47.15</v>
          </cell>
          <cell r="F885">
            <v>68.319999999999993</v>
          </cell>
          <cell r="G885" t="str">
            <v>73817/001</v>
          </cell>
        </row>
        <row r="886">
          <cell r="A886" t="str">
            <v>092704</v>
          </cell>
          <cell r="B886" t="str">
            <v>Pedrisco</v>
          </cell>
          <cell r="C886" t="str">
            <v>m3</v>
          </cell>
          <cell r="D886">
            <v>32.69</v>
          </cell>
          <cell r="E886">
            <v>55.43</v>
          </cell>
          <cell r="F886">
            <v>88.12</v>
          </cell>
          <cell r="G886">
            <v>0</v>
          </cell>
        </row>
        <row r="887">
          <cell r="A887" t="str">
            <v>092705</v>
          </cell>
          <cell r="B887" t="str">
            <v>Brita</v>
          </cell>
          <cell r="C887" t="str">
            <v>m3</v>
          </cell>
          <cell r="D887">
            <v>74.180000000000007</v>
          </cell>
          <cell r="E887">
            <v>98.33</v>
          </cell>
          <cell r="F887">
            <v>172.51</v>
          </cell>
          <cell r="G887">
            <v>94103</v>
          </cell>
        </row>
        <row r="888">
          <cell r="A888" t="str">
            <v>092706</v>
          </cell>
          <cell r="B888" t="str">
            <v>Rachão</v>
          </cell>
          <cell r="C888" t="str">
            <v>m3</v>
          </cell>
          <cell r="D888">
            <v>32.9</v>
          </cell>
          <cell r="E888">
            <v>45.38</v>
          </cell>
          <cell r="F888">
            <v>78.28</v>
          </cell>
          <cell r="G888" t="str">
            <v>73817/002</v>
          </cell>
        </row>
        <row r="889">
          <cell r="A889" t="str">
            <v>092707</v>
          </cell>
          <cell r="B889" t="str">
            <v>Pedra de mão</v>
          </cell>
          <cell r="C889" t="str">
            <v>m3</v>
          </cell>
          <cell r="D889">
            <v>32.9</v>
          </cell>
          <cell r="E889">
            <v>45.38</v>
          </cell>
          <cell r="F889">
            <v>78.28</v>
          </cell>
          <cell r="G889" t="str">
            <v>73817/002</v>
          </cell>
        </row>
        <row r="890">
          <cell r="A890" t="str">
            <v>0928</v>
          </cell>
          <cell r="B890" t="str">
            <v>ANCORAGEM</v>
          </cell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</row>
        <row r="891">
          <cell r="A891" t="str">
            <v>092801</v>
          </cell>
          <cell r="B891" t="str">
            <v>Pontalete de madeira</v>
          </cell>
          <cell r="C891" t="str">
            <v>ud</v>
          </cell>
          <cell r="D891">
            <v>1.75</v>
          </cell>
          <cell r="E891">
            <v>11.15</v>
          </cell>
          <cell r="F891">
            <v>12.9</v>
          </cell>
          <cell r="G891">
            <v>0</v>
          </cell>
        </row>
        <row r="892">
          <cell r="A892" t="str">
            <v>092802</v>
          </cell>
          <cell r="B892" t="str">
            <v>Pontalete metálico (TR-37)</v>
          </cell>
          <cell r="C892" t="str">
            <v>m</v>
          </cell>
          <cell r="D892">
            <v>19.72</v>
          </cell>
          <cell r="E892">
            <v>130.61000000000001</v>
          </cell>
          <cell r="F892">
            <v>150.33000000000001</v>
          </cell>
          <cell r="G892">
            <v>0</v>
          </cell>
        </row>
        <row r="893">
          <cell r="A893" t="str">
            <v>0929</v>
          </cell>
          <cell r="B893" t="str">
            <v>IDENTIFICAÇÃO DE TUBULAÇÃO</v>
          </cell>
          <cell r="C893">
            <v>0</v>
          </cell>
          <cell r="D893">
            <v>0</v>
          </cell>
          <cell r="E893">
            <v>0</v>
          </cell>
          <cell r="F893">
            <v>0</v>
          </cell>
          <cell r="G893">
            <v>0</v>
          </cell>
        </row>
        <row r="894">
          <cell r="A894" t="str">
            <v>092901</v>
          </cell>
          <cell r="B894" t="str">
            <v>Fita plástica adesiva</v>
          </cell>
          <cell r="C894" t="str">
            <v>m</v>
          </cell>
          <cell r="D894">
            <v>0</v>
          </cell>
          <cell r="E894">
            <v>0</v>
          </cell>
          <cell r="F894">
            <v>0</v>
          </cell>
          <cell r="G894">
            <v>0</v>
          </cell>
        </row>
        <row r="895">
          <cell r="A895" t="str">
            <v>10</v>
          </cell>
          <cell r="B895" t="str">
            <v>PAVIMENTAÇÃO</v>
          </cell>
          <cell r="C895">
            <v>0</v>
          </cell>
          <cell r="D895">
            <v>0</v>
          </cell>
          <cell r="E895">
            <v>0</v>
          </cell>
          <cell r="F895">
            <v>0</v>
          </cell>
          <cell r="G895">
            <v>0</v>
          </cell>
        </row>
        <row r="896">
          <cell r="A896" t="str">
            <v>1001</v>
          </cell>
          <cell r="B896" t="str">
            <v>RETIRADA DE PAVIMENTOS, GUIAS E SARJETAS</v>
          </cell>
          <cell r="C896">
            <v>0</v>
          </cell>
          <cell r="D896">
            <v>0</v>
          </cell>
          <cell r="E896">
            <v>0</v>
          </cell>
          <cell r="F896">
            <v>0</v>
          </cell>
          <cell r="G896">
            <v>0</v>
          </cell>
        </row>
        <row r="897">
          <cell r="A897" t="str">
            <v>100101</v>
          </cell>
          <cell r="B897" t="str">
            <v>Lajota pré-moldada de concreto - 45 x 45 x 5 cm</v>
          </cell>
          <cell r="C897" t="str">
            <v>m2</v>
          </cell>
          <cell r="D897">
            <v>10.5</v>
          </cell>
          <cell r="E897">
            <v>0</v>
          </cell>
          <cell r="F897">
            <v>10.5</v>
          </cell>
          <cell r="G897">
            <v>0</v>
          </cell>
        </row>
        <row r="898">
          <cell r="A898" t="str">
            <v>100102</v>
          </cell>
          <cell r="B898" t="str">
            <v>Ladrilho hidráulico ou cerâmico</v>
          </cell>
          <cell r="C898" t="str">
            <v>m2</v>
          </cell>
          <cell r="D898">
            <v>6.58</v>
          </cell>
          <cell r="E898">
            <v>0</v>
          </cell>
          <cell r="F898">
            <v>6.58</v>
          </cell>
          <cell r="G898">
            <v>0</v>
          </cell>
        </row>
        <row r="899">
          <cell r="A899" t="str">
            <v>100103</v>
          </cell>
          <cell r="B899" t="str">
            <v>Paralelepípedo</v>
          </cell>
          <cell r="C899" t="str">
            <v>m2</v>
          </cell>
          <cell r="D899">
            <v>11.38</v>
          </cell>
          <cell r="E899">
            <v>0</v>
          </cell>
          <cell r="F899">
            <v>11.38</v>
          </cell>
          <cell r="G899">
            <v>0</v>
          </cell>
        </row>
        <row r="900">
          <cell r="A900" t="str">
            <v>100104</v>
          </cell>
          <cell r="B900" t="str">
            <v>Lousa de pedra</v>
          </cell>
          <cell r="C900" t="str">
            <v>m2</v>
          </cell>
          <cell r="D900">
            <v>11.38</v>
          </cell>
          <cell r="E900">
            <v>0</v>
          </cell>
          <cell r="F900">
            <v>11.38</v>
          </cell>
          <cell r="G900">
            <v>0</v>
          </cell>
        </row>
        <row r="901">
          <cell r="A901" t="str">
            <v>100105</v>
          </cell>
          <cell r="B901" t="str">
            <v>Petit-pavet</v>
          </cell>
          <cell r="C901" t="str">
            <v>m2</v>
          </cell>
          <cell r="D901">
            <v>11.38</v>
          </cell>
          <cell r="E901">
            <v>0</v>
          </cell>
          <cell r="F901">
            <v>11.38</v>
          </cell>
          <cell r="G901">
            <v>85384</v>
          </cell>
        </row>
        <row r="902">
          <cell r="A902" t="str">
            <v>100106</v>
          </cell>
          <cell r="B902" t="str">
            <v>Pedra irregular</v>
          </cell>
          <cell r="C902" t="str">
            <v>m2</v>
          </cell>
          <cell r="D902">
            <v>11.38</v>
          </cell>
          <cell r="E902">
            <v>0</v>
          </cell>
          <cell r="F902">
            <v>11.38</v>
          </cell>
          <cell r="G902">
            <v>0</v>
          </cell>
        </row>
        <row r="903">
          <cell r="A903" t="str">
            <v>100107</v>
          </cell>
          <cell r="B903" t="str">
            <v>Lajota sextavada de concreto</v>
          </cell>
          <cell r="C903" t="str">
            <v>m2</v>
          </cell>
          <cell r="D903">
            <v>11.38</v>
          </cell>
          <cell r="E903">
            <v>0</v>
          </cell>
          <cell r="F903">
            <v>11.38</v>
          </cell>
          <cell r="G903">
            <v>0</v>
          </cell>
        </row>
        <row r="904">
          <cell r="A904" t="str">
            <v>100108</v>
          </cell>
          <cell r="B904" t="str">
            <v>Pavi-s</v>
          </cell>
          <cell r="C904" t="str">
            <v>m2</v>
          </cell>
          <cell r="D904">
            <v>11.38</v>
          </cell>
          <cell r="E904">
            <v>0</v>
          </cell>
          <cell r="F904">
            <v>11.38</v>
          </cell>
          <cell r="G904">
            <v>0</v>
          </cell>
        </row>
        <row r="905">
          <cell r="A905" t="str">
            <v>100109</v>
          </cell>
          <cell r="B905" t="str">
            <v>Bloco de concreto tipo Paver</v>
          </cell>
          <cell r="C905" t="str">
            <v>m2</v>
          </cell>
          <cell r="D905">
            <v>11.38</v>
          </cell>
          <cell r="E905">
            <v>0</v>
          </cell>
          <cell r="F905">
            <v>11.38</v>
          </cell>
          <cell r="G905">
            <v>0</v>
          </cell>
        </row>
        <row r="906">
          <cell r="A906" t="str">
            <v>100110</v>
          </cell>
          <cell r="B906" t="str">
            <v>Grama</v>
          </cell>
          <cell r="C906" t="str">
            <v>m2</v>
          </cell>
          <cell r="D906">
            <v>4.37</v>
          </cell>
          <cell r="E906">
            <v>0</v>
          </cell>
          <cell r="F906">
            <v>4.37</v>
          </cell>
          <cell r="G906">
            <v>0</v>
          </cell>
        </row>
        <row r="907">
          <cell r="A907" t="str">
            <v>100111</v>
          </cell>
          <cell r="B907" t="str">
            <v>Ardósia</v>
          </cell>
          <cell r="C907" t="str">
            <v>m2</v>
          </cell>
          <cell r="D907">
            <v>6.58</v>
          </cell>
          <cell r="E907">
            <v>0</v>
          </cell>
          <cell r="F907">
            <v>6.58</v>
          </cell>
          <cell r="G907">
            <v>0</v>
          </cell>
        </row>
        <row r="908">
          <cell r="A908" t="str">
            <v>100112</v>
          </cell>
          <cell r="B908" t="str">
            <v>Basalto</v>
          </cell>
          <cell r="C908" t="str">
            <v>m2</v>
          </cell>
          <cell r="D908">
            <v>6.58</v>
          </cell>
          <cell r="E908">
            <v>0</v>
          </cell>
          <cell r="F908">
            <v>6.58</v>
          </cell>
          <cell r="G908">
            <v>0</v>
          </cell>
        </row>
        <row r="909">
          <cell r="A909" t="str">
            <v>100113</v>
          </cell>
          <cell r="B909" t="str">
            <v>Tijolo maciço rejuntado com argamassa</v>
          </cell>
          <cell r="C909" t="str">
            <v>m2</v>
          </cell>
          <cell r="D909">
            <v>6.58</v>
          </cell>
          <cell r="E909">
            <v>0</v>
          </cell>
          <cell r="F909">
            <v>6.58</v>
          </cell>
          <cell r="G909">
            <v>0</v>
          </cell>
        </row>
        <row r="910">
          <cell r="A910" t="str">
            <v>100114</v>
          </cell>
          <cell r="B910" t="str">
            <v>Piso de concreto desempenado</v>
          </cell>
          <cell r="C910" t="str">
            <v>m2</v>
          </cell>
          <cell r="D910">
            <v>6.58</v>
          </cell>
          <cell r="E910">
            <v>0</v>
          </cell>
          <cell r="F910">
            <v>6.58</v>
          </cell>
          <cell r="G910">
            <v>0</v>
          </cell>
        </row>
        <row r="911">
          <cell r="A911" t="str">
            <v>100115</v>
          </cell>
          <cell r="B911" t="str">
            <v>Anti-pó</v>
          </cell>
          <cell r="C911" t="str">
            <v>m2</v>
          </cell>
          <cell r="D911">
            <v>6.58</v>
          </cell>
          <cell r="E911">
            <v>0</v>
          </cell>
          <cell r="F911">
            <v>6.58</v>
          </cell>
          <cell r="G911">
            <v>0</v>
          </cell>
        </row>
        <row r="912">
          <cell r="A912" t="str">
            <v>100116</v>
          </cell>
          <cell r="B912" t="str">
            <v>Asfalto</v>
          </cell>
          <cell r="C912" t="str">
            <v>m2</v>
          </cell>
          <cell r="D912">
            <v>6.58</v>
          </cell>
          <cell r="E912">
            <v>0</v>
          </cell>
          <cell r="F912">
            <v>6.58</v>
          </cell>
          <cell r="G912">
            <v>0</v>
          </cell>
        </row>
        <row r="913">
          <cell r="A913" t="str">
            <v>100117</v>
          </cell>
          <cell r="B913" t="str">
            <v>Guia de pedra</v>
          </cell>
          <cell r="C913" t="str">
            <v>m</v>
          </cell>
          <cell r="D913">
            <v>8.76</v>
          </cell>
          <cell r="E913">
            <v>0</v>
          </cell>
          <cell r="F913">
            <v>8.76</v>
          </cell>
          <cell r="G913">
            <v>0</v>
          </cell>
        </row>
        <row r="914">
          <cell r="A914" t="str">
            <v>100118</v>
          </cell>
          <cell r="B914" t="str">
            <v>Sarjeta de pedra</v>
          </cell>
          <cell r="C914" t="str">
            <v>m</v>
          </cell>
          <cell r="D914">
            <v>8.76</v>
          </cell>
          <cell r="E914">
            <v>0</v>
          </cell>
          <cell r="F914">
            <v>8.76</v>
          </cell>
          <cell r="G914">
            <v>0</v>
          </cell>
        </row>
        <row r="915">
          <cell r="A915" t="str">
            <v>100119</v>
          </cell>
          <cell r="B915" t="str">
            <v>Guia de concreto pré-moldada</v>
          </cell>
          <cell r="C915" t="str">
            <v>m</v>
          </cell>
          <cell r="D915">
            <v>8.76</v>
          </cell>
          <cell r="E915">
            <v>0</v>
          </cell>
          <cell r="F915">
            <v>8.76</v>
          </cell>
          <cell r="G915">
            <v>0</v>
          </cell>
        </row>
        <row r="916">
          <cell r="A916" t="str">
            <v>100120</v>
          </cell>
          <cell r="B916" t="str">
            <v>Guia de concreto moldada "in loco"</v>
          </cell>
          <cell r="C916" t="str">
            <v>m</v>
          </cell>
          <cell r="D916">
            <v>8.76</v>
          </cell>
          <cell r="E916">
            <v>0</v>
          </cell>
          <cell r="F916">
            <v>8.76</v>
          </cell>
          <cell r="G916">
            <v>0</v>
          </cell>
        </row>
        <row r="917">
          <cell r="A917" t="str">
            <v>100121</v>
          </cell>
          <cell r="B917" t="str">
            <v>Guia-sarjeta de concreto pré-moldada</v>
          </cell>
          <cell r="C917" t="str">
            <v>m</v>
          </cell>
          <cell r="D917">
            <v>9.6300000000000008</v>
          </cell>
          <cell r="E917">
            <v>0</v>
          </cell>
          <cell r="F917">
            <v>9.6300000000000008</v>
          </cell>
          <cell r="G917">
            <v>0</v>
          </cell>
        </row>
        <row r="918">
          <cell r="A918" t="str">
            <v>100122</v>
          </cell>
          <cell r="B918" t="str">
            <v>Guia-sarjeta de concreto moldada "in loco"</v>
          </cell>
          <cell r="C918" t="str">
            <v>m</v>
          </cell>
          <cell r="D918">
            <v>9.6300000000000008</v>
          </cell>
          <cell r="E918">
            <v>0</v>
          </cell>
          <cell r="F918">
            <v>9.6300000000000008</v>
          </cell>
          <cell r="G918">
            <v>0</v>
          </cell>
        </row>
        <row r="919">
          <cell r="A919" t="str">
            <v>100123</v>
          </cell>
          <cell r="B919" t="str">
            <v>Corte de pavimento com disco</v>
          </cell>
          <cell r="C919" t="str">
            <v>m</v>
          </cell>
          <cell r="D919">
            <v>1.1499999999999999</v>
          </cell>
          <cell r="E919">
            <v>1.27</v>
          </cell>
          <cell r="F919">
            <v>2.42</v>
          </cell>
          <cell r="G919">
            <v>0</v>
          </cell>
        </row>
        <row r="920">
          <cell r="A920" t="str">
            <v>1002</v>
          </cell>
          <cell r="B920" t="str">
            <v>EXECUÇÃO DE PAVIMENTOS, GUIAS E SARJETAS</v>
          </cell>
          <cell r="C920">
            <v>0</v>
          </cell>
          <cell r="D920">
            <v>0</v>
          </cell>
          <cell r="E920">
            <v>0</v>
          </cell>
          <cell r="F920">
            <v>0</v>
          </cell>
          <cell r="G920">
            <v>0</v>
          </cell>
        </row>
        <row r="921">
          <cell r="A921" t="str">
            <v>100201</v>
          </cell>
          <cell r="B921" t="str">
            <v>Regularização do subleito</v>
          </cell>
          <cell r="C921" t="str">
            <v>m2</v>
          </cell>
          <cell r="D921">
            <v>1.21</v>
          </cell>
          <cell r="E921">
            <v>0</v>
          </cell>
          <cell r="F921">
            <v>1.21</v>
          </cell>
          <cell r="G921">
            <v>72961</v>
          </cell>
        </row>
        <row r="922">
          <cell r="A922" t="str">
            <v>100202</v>
          </cell>
          <cell r="B922" t="str">
            <v>Sub-base em saibro</v>
          </cell>
          <cell r="C922" t="str">
            <v>m3</v>
          </cell>
          <cell r="D922">
            <v>12.87</v>
          </cell>
          <cell r="E922">
            <v>61.1</v>
          </cell>
          <cell r="F922">
            <v>73.97</v>
          </cell>
          <cell r="G922">
            <v>0</v>
          </cell>
        </row>
        <row r="923">
          <cell r="A923" t="str">
            <v>100203</v>
          </cell>
          <cell r="B923" t="str">
            <v>Sub-base em moledo</v>
          </cell>
          <cell r="C923" t="str">
            <v>m3</v>
          </cell>
          <cell r="D923">
            <v>12.87</v>
          </cell>
          <cell r="E923">
            <v>71.3</v>
          </cell>
          <cell r="F923">
            <v>84.17</v>
          </cell>
          <cell r="G923">
            <v>0</v>
          </cell>
        </row>
        <row r="924">
          <cell r="A924" t="str">
            <v>100204</v>
          </cell>
          <cell r="B924" t="str">
            <v>Sub-base em rachão</v>
          </cell>
          <cell r="C924" t="str">
            <v>m3</v>
          </cell>
          <cell r="D924">
            <v>13.88</v>
          </cell>
          <cell r="E924">
            <v>45.38</v>
          </cell>
          <cell r="F924">
            <v>59.26</v>
          </cell>
          <cell r="G924" t="str">
            <v>73817/002</v>
          </cell>
        </row>
        <row r="925">
          <cell r="A925" t="str">
            <v>100205</v>
          </cell>
          <cell r="B925" t="str">
            <v>Base em brita graduada</v>
          </cell>
          <cell r="C925" t="str">
            <v>m3</v>
          </cell>
          <cell r="D925">
            <v>13.88</v>
          </cell>
          <cell r="E925">
            <v>50.69</v>
          </cell>
          <cell r="F925">
            <v>64.569999999999993</v>
          </cell>
          <cell r="G925">
            <v>73710</v>
          </cell>
        </row>
        <row r="926">
          <cell r="A926" t="str">
            <v>100206</v>
          </cell>
          <cell r="B926" t="str">
            <v>Revestimento com pintura asfáltica (imprimação)</v>
          </cell>
          <cell r="C926" t="str">
            <v>m2</v>
          </cell>
          <cell r="D926">
            <v>0.61</v>
          </cell>
          <cell r="E926">
            <v>0.68</v>
          </cell>
          <cell r="F926">
            <v>1.29</v>
          </cell>
          <cell r="G926">
            <v>72942</v>
          </cell>
        </row>
        <row r="927">
          <cell r="A927" t="str">
            <v>100207</v>
          </cell>
          <cell r="B927" t="str">
            <v>Revestimento com concreto betuminoso usinado a quente (CBUQ)</v>
          </cell>
          <cell r="C927" t="str">
            <v>m3</v>
          </cell>
          <cell r="D927">
            <v>64.25</v>
          </cell>
          <cell r="E927">
            <v>523.32000000000005</v>
          </cell>
          <cell r="F927">
            <v>587.57000000000005</v>
          </cell>
          <cell r="G927">
            <v>0</v>
          </cell>
        </row>
        <row r="928">
          <cell r="A928" t="str">
            <v>100208</v>
          </cell>
          <cell r="B928" t="str">
            <v>Revestimento com pré-misturado a frio (PMF)</v>
          </cell>
          <cell r="C928" t="str">
            <v>m3</v>
          </cell>
          <cell r="D928">
            <v>61.97</v>
          </cell>
          <cell r="E928">
            <v>418.66</v>
          </cell>
          <cell r="F928">
            <v>480.63</v>
          </cell>
          <cell r="G928" t="str">
            <v>73759/002</v>
          </cell>
        </row>
        <row r="929">
          <cell r="A929" t="str">
            <v>100209</v>
          </cell>
          <cell r="B929" t="str">
            <v>Revestimento com lajota pré-moldada de concreto 45 x 45 x 5 cm</v>
          </cell>
          <cell r="C929" t="str">
            <v>m2</v>
          </cell>
          <cell r="D929">
            <v>26.96</v>
          </cell>
          <cell r="E929">
            <v>23.38</v>
          </cell>
          <cell r="F929">
            <v>50.34</v>
          </cell>
          <cell r="G929">
            <v>0</v>
          </cell>
        </row>
        <row r="930">
          <cell r="A930" t="str">
            <v>100210</v>
          </cell>
          <cell r="B930" t="str">
            <v>Revestimento com lajota sextavada de concreto</v>
          </cell>
          <cell r="C930" t="str">
            <v>m2</v>
          </cell>
          <cell r="D930">
            <v>18.04</v>
          </cell>
          <cell r="E930">
            <v>30.73</v>
          </cell>
          <cell r="F930">
            <v>48.77</v>
          </cell>
          <cell r="G930">
            <v>92394</v>
          </cell>
        </row>
        <row r="931">
          <cell r="A931" t="str">
            <v>100211</v>
          </cell>
          <cell r="B931" t="str">
            <v>Revestimento com petit-pavet</v>
          </cell>
          <cell r="C931" t="str">
            <v>m2</v>
          </cell>
          <cell r="D931">
            <v>40.799999999999997</v>
          </cell>
          <cell r="E931">
            <v>51.93</v>
          </cell>
          <cell r="F931">
            <v>92.73</v>
          </cell>
          <cell r="G931">
            <v>84183</v>
          </cell>
        </row>
        <row r="932">
          <cell r="A932" t="str">
            <v>100212</v>
          </cell>
          <cell r="B932" t="str">
            <v>Revestimento com lousa de pedra</v>
          </cell>
          <cell r="C932" t="str">
            <v>m2</v>
          </cell>
          <cell r="D932">
            <v>26.25</v>
          </cell>
          <cell r="E932">
            <v>45.92</v>
          </cell>
          <cell r="F932">
            <v>72.17</v>
          </cell>
          <cell r="G932">
            <v>0</v>
          </cell>
        </row>
        <row r="933">
          <cell r="A933" t="str">
            <v>100213</v>
          </cell>
          <cell r="B933" t="str">
            <v>Revestimento com paralelepípedo</v>
          </cell>
          <cell r="C933" t="str">
            <v>m2</v>
          </cell>
          <cell r="D933">
            <v>28.84</v>
          </cell>
          <cell r="E933">
            <v>47.06</v>
          </cell>
          <cell r="F933">
            <v>75.900000000000006</v>
          </cell>
          <cell r="G933">
            <v>72799</v>
          </cell>
        </row>
        <row r="934">
          <cell r="A934" t="str">
            <v>100214</v>
          </cell>
          <cell r="B934" t="str">
            <v>Revestimento com pedra irregular</v>
          </cell>
          <cell r="C934" t="str">
            <v>m2</v>
          </cell>
          <cell r="D934">
            <v>69.55</v>
          </cell>
          <cell r="E934">
            <v>23.18</v>
          </cell>
          <cell r="F934">
            <v>92.73</v>
          </cell>
          <cell r="G934">
            <v>84183</v>
          </cell>
        </row>
        <row r="935">
          <cell r="A935" t="str">
            <v>100215</v>
          </cell>
          <cell r="B935" t="str">
            <v>Revestimento com pedrisco</v>
          </cell>
          <cell r="C935" t="str">
            <v>m2</v>
          </cell>
          <cell r="D935">
            <v>2.06</v>
          </cell>
          <cell r="E935">
            <v>2.65</v>
          </cell>
          <cell r="F935">
            <v>4.71</v>
          </cell>
          <cell r="G935" t="str">
            <v>73818/001</v>
          </cell>
        </row>
        <row r="936">
          <cell r="A936" t="str">
            <v>100216</v>
          </cell>
          <cell r="B936" t="str">
            <v>Revestimento com saibro</v>
          </cell>
          <cell r="C936" t="str">
            <v>m2</v>
          </cell>
          <cell r="D936">
            <v>3.09</v>
          </cell>
          <cell r="E936">
            <v>6.11</v>
          </cell>
          <cell r="F936">
            <v>9.1999999999999993</v>
          </cell>
          <cell r="G936">
            <v>0</v>
          </cell>
        </row>
        <row r="937">
          <cell r="A937" t="str">
            <v>100217</v>
          </cell>
          <cell r="B937" t="str">
            <v>Revestimento com ladrilho hidráulico</v>
          </cell>
          <cell r="C937" t="str">
            <v>m2</v>
          </cell>
          <cell r="D937">
            <v>40.71</v>
          </cell>
          <cell r="E937">
            <v>50.53</v>
          </cell>
          <cell r="F937">
            <v>91.24</v>
          </cell>
          <cell r="G937">
            <v>0</v>
          </cell>
        </row>
        <row r="938">
          <cell r="A938" t="str">
            <v>100218</v>
          </cell>
          <cell r="B938" t="str">
            <v>Revestimento com bloco de concreto tipo Paver - esp. 6 cm - natural</v>
          </cell>
          <cell r="C938" t="str">
            <v>m2</v>
          </cell>
          <cell r="D938">
            <v>30.8</v>
          </cell>
          <cell r="E938">
            <v>26</v>
          </cell>
          <cell r="F938">
            <v>56.8</v>
          </cell>
          <cell r="G938">
            <v>0</v>
          </cell>
        </row>
        <row r="939">
          <cell r="A939" t="str">
            <v>100219</v>
          </cell>
          <cell r="B939" t="str">
            <v>Revestimento com bloco de concreto tipo Paver - esp. 6 cm - pigmentado</v>
          </cell>
          <cell r="C939" t="str">
            <v>m2</v>
          </cell>
          <cell r="D939">
            <v>30.8</v>
          </cell>
          <cell r="E939">
            <v>31</v>
          </cell>
          <cell r="F939">
            <v>61.8</v>
          </cell>
          <cell r="G939">
            <v>0</v>
          </cell>
        </row>
        <row r="940">
          <cell r="A940" t="str">
            <v>100220</v>
          </cell>
          <cell r="B940" t="str">
            <v>Revestimento com bloco de concreto tipo Paver - esp. 8 cm - natural</v>
          </cell>
          <cell r="C940" t="str">
            <v>m2</v>
          </cell>
          <cell r="D940">
            <v>30.8</v>
          </cell>
          <cell r="E940">
            <v>31.85</v>
          </cell>
          <cell r="F940">
            <v>62.65</v>
          </cell>
          <cell r="G940">
            <v>0</v>
          </cell>
        </row>
        <row r="941">
          <cell r="A941" t="str">
            <v>100221</v>
          </cell>
          <cell r="B941" t="str">
            <v>Revestimento com bloco de concreto tipo Paver - esp. 8 cm - pigmentado</v>
          </cell>
          <cell r="C941" t="str">
            <v>m2</v>
          </cell>
          <cell r="D941">
            <v>30.8</v>
          </cell>
          <cell r="E941">
            <v>37.35</v>
          </cell>
          <cell r="F941">
            <v>68.150000000000006</v>
          </cell>
          <cell r="G941">
            <v>0</v>
          </cell>
        </row>
        <row r="942">
          <cell r="A942" t="str">
            <v>100222</v>
          </cell>
          <cell r="B942" t="str">
            <v>Revestimento com ladrilho cerâmico</v>
          </cell>
          <cell r="C942" t="str">
            <v>m2</v>
          </cell>
          <cell r="D942">
            <v>44.45</v>
          </cell>
          <cell r="E942">
            <v>27.41</v>
          </cell>
          <cell r="F942">
            <v>71.86</v>
          </cell>
          <cell r="G942">
            <v>0</v>
          </cell>
        </row>
        <row r="943">
          <cell r="A943" t="str">
            <v>100223</v>
          </cell>
          <cell r="B943" t="str">
            <v>Revestimento com ardósia</v>
          </cell>
          <cell r="C943" t="str">
            <v>m2</v>
          </cell>
          <cell r="D943">
            <v>40.71</v>
          </cell>
          <cell r="E943">
            <v>24.38</v>
          </cell>
          <cell r="F943">
            <v>65.09</v>
          </cell>
          <cell r="G943" t="str">
            <v>73921/002</v>
          </cell>
        </row>
        <row r="944">
          <cell r="A944" t="str">
            <v>100224</v>
          </cell>
          <cell r="B944" t="str">
            <v>Revestimento com basalto</v>
          </cell>
          <cell r="C944" t="str">
            <v>m2</v>
          </cell>
          <cell r="D944">
            <v>40.71</v>
          </cell>
          <cell r="E944">
            <v>38.6</v>
          </cell>
          <cell r="F944">
            <v>79.31</v>
          </cell>
          <cell r="G944">
            <v>84081</v>
          </cell>
        </row>
        <row r="945">
          <cell r="A945" t="str">
            <v>100225</v>
          </cell>
          <cell r="B945" t="str">
            <v>Revestimento com piso de concreto desempenado</v>
          </cell>
          <cell r="C945" t="str">
            <v>m3</v>
          </cell>
          <cell r="D945">
            <v>326.67</v>
          </cell>
          <cell r="E945">
            <v>168.92</v>
          </cell>
          <cell r="F945">
            <v>495.59</v>
          </cell>
          <cell r="G945">
            <v>0</v>
          </cell>
        </row>
        <row r="946">
          <cell r="A946" t="str">
            <v>100226</v>
          </cell>
          <cell r="B946" t="str">
            <v>Guia-sarjeta de concreto moldada "in loco"</v>
          </cell>
          <cell r="C946" t="str">
            <v>m3</v>
          </cell>
          <cell r="D946">
            <v>609.69000000000005</v>
          </cell>
          <cell r="E946">
            <v>213.06</v>
          </cell>
          <cell r="F946">
            <v>822.75</v>
          </cell>
          <cell r="G946">
            <v>0</v>
          </cell>
        </row>
        <row r="947">
          <cell r="A947" t="str">
            <v>100227</v>
          </cell>
          <cell r="B947" t="str">
            <v>Guia de concreto moldada "in loco"</v>
          </cell>
          <cell r="C947" t="str">
            <v>m3</v>
          </cell>
          <cell r="D947">
            <v>609.69000000000005</v>
          </cell>
          <cell r="E947">
            <v>213.06</v>
          </cell>
          <cell r="F947">
            <v>822.75</v>
          </cell>
          <cell r="G947">
            <v>0</v>
          </cell>
        </row>
        <row r="948">
          <cell r="A948" t="str">
            <v>100228</v>
          </cell>
          <cell r="B948" t="str">
            <v>Guia-sarjeta de concreto pré-moldada</v>
          </cell>
          <cell r="C948" t="str">
            <v>m</v>
          </cell>
          <cell r="D948">
            <v>27.83</v>
          </cell>
          <cell r="E948">
            <v>23.51</v>
          </cell>
          <cell r="F948">
            <v>51.34</v>
          </cell>
          <cell r="G948">
            <v>0</v>
          </cell>
        </row>
        <row r="949">
          <cell r="A949" t="str">
            <v>100229</v>
          </cell>
          <cell r="B949" t="str">
            <v>Guia de concreto pré-moldada</v>
          </cell>
          <cell r="C949" t="str">
            <v>m</v>
          </cell>
          <cell r="D949">
            <v>22.93</v>
          </cell>
          <cell r="E949">
            <v>15.16</v>
          </cell>
          <cell r="F949">
            <v>38.090000000000003</v>
          </cell>
          <cell r="G949">
            <v>0</v>
          </cell>
        </row>
        <row r="950">
          <cell r="A950" t="str">
            <v>100230</v>
          </cell>
          <cell r="B950" t="str">
            <v>Guia de pedra</v>
          </cell>
          <cell r="C950" t="str">
            <v>m</v>
          </cell>
          <cell r="D950">
            <v>22.8</v>
          </cell>
          <cell r="E950">
            <v>37.58</v>
          </cell>
          <cell r="F950">
            <v>60.38</v>
          </cell>
          <cell r="G950">
            <v>0</v>
          </cell>
        </row>
        <row r="951">
          <cell r="A951" t="str">
            <v>100231</v>
          </cell>
          <cell r="B951" t="str">
            <v>Guia para bloco de concreto tipo Paver</v>
          </cell>
          <cell r="C951" t="str">
            <v>m</v>
          </cell>
          <cell r="D951">
            <v>11.25</v>
          </cell>
          <cell r="E951">
            <v>3.02</v>
          </cell>
          <cell r="F951">
            <v>14.27</v>
          </cell>
          <cell r="G951">
            <v>0</v>
          </cell>
        </row>
        <row r="952">
          <cell r="A952" t="str">
            <v>1003</v>
          </cell>
          <cell r="B952" t="str">
            <v>RECOMPOSIÇÃO DE PAVIMENTOS, GUIAS E SARJETAS COM REAPROVEITAMENTO TOTAL DO MATERIAL</v>
          </cell>
          <cell r="C952">
            <v>0</v>
          </cell>
          <cell r="D952">
            <v>0</v>
          </cell>
          <cell r="E952">
            <v>0</v>
          </cell>
          <cell r="F952">
            <v>0</v>
          </cell>
          <cell r="G952">
            <v>0</v>
          </cell>
        </row>
        <row r="953">
          <cell r="A953" t="str">
            <v>100301</v>
          </cell>
          <cell r="B953" t="str">
            <v>Lajota sextavada de concreto</v>
          </cell>
          <cell r="C953" t="str">
            <v>m2</v>
          </cell>
          <cell r="D953">
            <v>26.25</v>
          </cell>
          <cell r="E953">
            <v>4.4000000000000004</v>
          </cell>
          <cell r="F953">
            <v>30.65</v>
          </cell>
          <cell r="G953">
            <v>0</v>
          </cell>
        </row>
        <row r="954">
          <cell r="A954" t="str">
            <v>100302</v>
          </cell>
          <cell r="B954" t="str">
            <v>Petit-pavet</v>
          </cell>
          <cell r="C954" t="str">
            <v>m2</v>
          </cell>
          <cell r="D954">
            <v>29.27</v>
          </cell>
          <cell r="E954">
            <v>4.82</v>
          </cell>
          <cell r="F954">
            <v>34.090000000000003</v>
          </cell>
          <cell r="G954">
            <v>0</v>
          </cell>
        </row>
        <row r="955">
          <cell r="A955" t="str">
            <v>100303</v>
          </cell>
          <cell r="B955" t="str">
            <v>Lousa de pedra</v>
          </cell>
          <cell r="C955" t="str">
            <v>m2</v>
          </cell>
          <cell r="D955">
            <v>26.25</v>
          </cell>
          <cell r="E955">
            <v>5.92</v>
          </cell>
          <cell r="F955">
            <v>32.17</v>
          </cell>
          <cell r="G955">
            <v>0</v>
          </cell>
        </row>
        <row r="956">
          <cell r="A956" t="str">
            <v>100304</v>
          </cell>
          <cell r="B956" t="str">
            <v>Paralelepípedo</v>
          </cell>
          <cell r="C956" t="str">
            <v>m2</v>
          </cell>
          <cell r="D956">
            <v>33.75</v>
          </cell>
          <cell r="E956">
            <v>5.5</v>
          </cell>
          <cell r="F956">
            <v>39.25</v>
          </cell>
          <cell r="G956">
            <v>0</v>
          </cell>
        </row>
        <row r="957">
          <cell r="A957" t="str">
            <v>100305</v>
          </cell>
          <cell r="B957" t="str">
            <v>Pedra irregular</v>
          </cell>
          <cell r="C957" t="str">
            <v>m2</v>
          </cell>
          <cell r="D957">
            <v>37.49</v>
          </cell>
          <cell r="E957">
            <v>5.5</v>
          </cell>
          <cell r="F957">
            <v>42.99</v>
          </cell>
          <cell r="G957">
            <v>0</v>
          </cell>
        </row>
        <row r="958">
          <cell r="A958" t="str">
            <v>100306</v>
          </cell>
          <cell r="B958" t="str">
            <v>Pavi-s</v>
          </cell>
          <cell r="C958" t="str">
            <v>m2</v>
          </cell>
          <cell r="D958">
            <v>29.27</v>
          </cell>
          <cell r="E958">
            <v>6.47</v>
          </cell>
          <cell r="F958">
            <v>35.74</v>
          </cell>
          <cell r="G958">
            <v>0</v>
          </cell>
        </row>
        <row r="959">
          <cell r="A959" t="str">
            <v>100307</v>
          </cell>
          <cell r="B959" t="str">
            <v>Bloco de concreto tipo Paver</v>
          </cell>
          <cell r="C959" t="str">
            <v>m2</v>
          </cell>
          <cell r="D959">
            <v>30.8</v>
          </cell>
          <cell r="E959">
            <v>3.3</v>
          </cell>
          <cell r="F959">
            <v>34.1</v>
          </cell>
          <cell r="G959">
            <v>0</v>
          </cell>
        </row>
        <row r="960">
          <cell r="A960" t="str">
            <v>100308</v>
          </cell>
          <cell r="B960" t="str">
            <v xml:space="preserve">Grama </v>
          </cell>
          <cell r="C960" t="str">
            <v>m2</v>
          </cell>
          <cell r="D960">
            <v>5.57</v>
          </cell>
          <cell r="E960">
            <v>0</v>
          </cell>
          <cell r="F960">
            <v>5.57</v>
          </cell>
          <cell r="G960">
            <v>0</v>
          </cell>
        </row>
        <row r="961">
          <cell r="A961" t="str">
            <v>100309</v>
          </cell>
          <cell r="B961" t="str">
            <v>Guia-sarjeta de concreto pré-moldada</v>
          </cell>
          <cell r="C961" t="str">
            <v>m</v>
          </cell>
          <cell r="D961">
            <v>27.83</v>
          </cell>
          <cell r="E961">
            <v>1.63</v>
          </cell>
          <cell r="F961">
            <v>29.46</v>
          </cell>
          <cell r="G961">
            <v>0</v>
          </cell>
        </row>
        <row r="962">
          <cell r="A962" t="str">
            <v>100310</v>
          </cell>
          <cell r="B962" t="str">
            <v>Guia de concreto pré-moldada</v>
          </cell>
          <cell r="C962" t="str">
            <v>m</v>
          </cell>
          <cell r="D962">
            <v>22.93</v>
          </cell>
          <cell r="E962">
            <v>0.73</v>
          </cell>
          <cell r="F962">
            <v>23.66</v>
          </cell>
          <cell r="G962">
            <v>0</v>
          </cell>
        </row>
        <row r="963">
          <cell r="A963" t="str">
            <v>100311</v>
          </cell>
          <cell r="B963" t="str">
            <v>Guia de pedra</v>
          </cell>
          <cell r="C963" t="str">
            <v>m</v>
          </cell>
          <cell r="D963">
            <v>22.8</v>
          </cell>
          <cell r="E963">
            <v>0.25</v>
          </cell>
          <cell r="F963">
            <v>23.05</v>
          </cell>
          <cell r="G963">
            <v>0</v>
          </cell>
        </row>
        <row r="964">
          <cell r="A964" t="str">
            <v>100312</v>
          </cell>
          <cell r="B964" t="str">
            <v>Sarjeta de pedra</v>
          </cell>
          <cell r="C964" t="str">
            <v>m</v>
          </cell>
          <cell r="D964">
            <v>17.309999999999999</v>
          </cell>
          <cell r="E964">
            <v>1.6</v>
          </cell>
          <cell r="F964">
            <v>18.91</v>
          </cell>
          <cell r="G964">
            <v>0</v>
          </cell>
        </row>
        <row r="965">
          <cell r="A965" t="str">
            <v>100313</v>
          </cell>
          <cell r="B965" t="str">
            <v>Guia para bloco de concreto tipo Paver</v>
          </cell>
          <cell r="C965" t="str">
            <v>m</v>
          </cell>
          <cell r="D965">
            <v>11.25</v>
          </cell>
          <cell r="E965">
            <v>0.22</v>
          </cell>
          <cell r="F965">
            <v>11.47</v>
          </cell>
          <cell r="G965">
            <v>0</v>
          </cell>
        </row>
        <row r="966">
          <cell r="A966" t="str">
            <v>1004</v>
          </cell>
          <cell r="B966" t="str">
            <v>RECOMPOSIÇÃO DE PAVIMENTOS, GUIAS E SARJETAS COM REAPROVEITAMENTO PARCIAL DO MATERIAL</v>
          </cell>
          <cell r="C966">
            <v>0</v>
          </cell>
          <cell r="D966">
            <v>0</v>
          </cell>
          <cell r="E966">
            <v>0</v>
          </cell>
          <cell r="F966">
            <v>0</v>
          </cell>
          <cell r="G966">
            <v>0</v>
          </cell>
        </row>
        <row r="967">
          <cell r="A967" t="str">
            <v>100401</v>
          </cell>
          <cell r="B967" t="str">
            <v>Lajota pré-moldada de concreto - 45 x 45 x 5 cm</v>
          </cell>
          <cell r="C967" t="str">
            <v>m2</v>
          </cell>
          <cell r="D967">
            <v>26.96</v>
          </cell>
          <cell r="E967">
            <v>8.98</v>
          </cell>
          <cell r="F967">
            <v>35.94</v>
          </cell>
          <cell r="G967">
            <v>0</v>
          </cell>
        </row>
        <row r="968">
          <cell r="A968" t="str">
            <v>100402</v>
          </cell>
          <cell r="B968" t="str">
            <v>Lajota sextavada de concreto</v>
          </cell>
          <cell r="C968" t="str">
            <v>m2</v>
          </cell>
          <cell r="D968">
            <v>26.25</v>
          </cell>
          <cell r="E968">
            <v>12</v>
          </cell>
          <cell r="F968">
            <v>38.25</v>
          </cell>
          <cell r="G968">
            <v>0</v>
          </cell>
        </row>
        <row r="969">
          <cell r="A969" t="str">
            <v>100403</v>
          </cell>
          <cell r="B969" t="str">
            <v>Petit-pavet</v>
          </cell>
          <cell r="C969" t="str">
            <v>m2</v>
          </cell>
          <cell r="D969">
            <v>29.27</v>
          </cell>
          <cell r="E969">
            <v>11.31</v>
          </cell>
          <cell r="F969">
            <v>40.58</v>
          </cell>
          <cell r="G969">
            <v>0</v>
          </cell>
        </row>
        <row r="970">
          <cell r="A970" t="str">
            <v>100404</v>
          </cell>
          <cell r="B970" t="str">
            <v>Lousa de pedra</v>
          </cell>
          <cell r="C970" t="str">
            <v>m2</v>
          </cell>
          <cell r="D970">
            <v>26.25</v>
          </cell>
          <cell r="E970">
            <v>11.92</v>
          </cell>
          <cell r="F970">
            <v>38.17</v>
          </cell>
          <cell r="G970">
            <v>0</v>
          </cell>
        </row>
        <row r="971">
          <cell r="A971" t="str">
            <v>100405</v>
          </cell>
          <cell r="B971" t="str">
            <v>Paralelepípedo</v>
          </cell>
          <cell r="C971" t="str">
            <v>m2</v>
          </cell>
          <cell r="D971">
            <v>33.75</v>
          </cell>
          <cell r="E971">
            <v>10.57</v>
          </cell>
          <cell r="F971">
            <v>44.32</v>
          </cell>
          <cell r="G971">
            <v>0</v>
          </cell>
        </row>
        <row r="972">
          <cell r="A972" t="str">
            <v>100406</v>
          </cell>
          <cell r="B972" t="str">
            <v>Pedra irregular</v>
          </cell>
          <cell r="C972" t="str">
            <v>m2</v>
          </cell>
          <cell r="D972">
            <v>37.49</v>
          </cell>
          <cell r="E972">
            <v>6.86</v>
          </cell>
          <cell r="F972">
            <v>44.35</v>
          </cell>
          <cell r="G972">
            <v>0</v>
          </cell>
        </row>
        <row r="973">
          <cell r="A973" t="str">
            <v>100407</v>
          </cell>
          <cell r="B973" t="str">
            <v>Pavi-s</v>
          </cell>
          <cell r="C973" t="str">
            <v>m2</v>
          </cell>
          <cell r="D973">
            <v>29.27</v>
          </cell>
          <cell r="E973">
            <v>11.01</v>
          </cell>
          <cell r="F973">
            <v>40.28</v>
          </cell>
          <cell r="G973">
            <v>0</v>
          </cell>
        </row>
        <row r="974">
          <cell r="A974" t="str">
            <v>100408</v>
          </cell>
          <cell r="B974" t="str">
            <v xml:space="preserve">Grama </v>
          </cell>
          <cell r="C974" t="str">
            <v>m2</v>
          </cell>
          <cell r="D974">
            <v>5.57</v>
          </cell>
          <cell r="E974">
            <v>0.2</v>
          </cell>
          <cell r="F974">
            <v>5.77</v>
          </cell>
          <cell r="G974">
            <v>0</v>
          </cell>
        </row>
        <row r="975">
          <cell r="A975" t="str">
            <v>100409</v>
          </cell>
          <cell r="B975" t="str">
            <v>Basalto</v>
          </cell>
          <cell r="C975" t="str">
            <v>m2</v>
          </cell>
          <cell r="D975">
            <v>40.71</v>
          </cell>
          <cell r="E975">
            <v>24.21</v>
          </cell>
          <cell r="F975">
            <v>64.92</v>
          </cell>
          <cell r="G975">
            <v>0</v>
          </cell>
        </row>
        <row r="976">
          <cell r="A976" t="str">
            <v>100410</v>
          </cell>
          <cell r="B976" t="str">
            <v>Tijolo maciço rejuntado com argamassa</v>
          </cell>
          <cell r="C976" t="str">
            <v>m2</v>
          </cell>
          <cell r="D976">
            <v>38.72</v>
          </cell>
          <cell r="E976">
            <v>7.48</v>
          </cell>
          <cell r="F976">
            <v>46.2</v>
          </cell>
          <cell r="G976">
            <v>0</v>
          </cell>
        </row>
        <row r="977">
          <cell r="A977" t="str">
            <v>100411</v>
          </cell>
          <cell r="B977" t="str">
            <v>Guia-sarjeta de concreto pré-moldada</v>
          </cell>
          <cell r="C977" t="str">
            <v>m</v>
          </cell>
          <cell r="D977">
            <v>27.83</v>
          </cell>
          <cell r="E977">
            <v>3.82</v>
          </cell>
          <cell r="F977">
            <v>31.65</v>
          </cell>
          <cell r="G977">
            <v>0</v>
          </cell>
        </row>
        <row r="978">
          <cell r="A978" t="str">
            <v>100412</v>
          </cell>
          <cell r="B978" t="str">
            <v>Guia de concreto pré-moldada</v>
          </cell>
          <cell r="C978" t="str">
            <v>m</v>
          </cell>
          <cell r="D978">
            <v>22.93</v>
          </cell>
          <cell r="E978">
            <v>2.17</v>
          </cell>
          <cell r="F978">
            <v>25.1</v>
          </cell>
          <cell r="G978">
            <v>0</v>
          </cell>
        </row>
        <row r="979">
          <cell r="A979" t="str">
            <v>100413</v>
          </cell>
          <cell r="B979" t="str">
            <v>Guia de pedra</v>
          </cell>
          <cell r="C979" t="str">
            <v>m</v>
          </cell>
          <cell r="D979">
            <v>22.8</v>
          </cell>
          <cell r="E979">
            <v>3.98</v>
          </cell>
          <cell r="F979">
            <v>26.78</v>
          </cell>
          <cell r="G979">
            <v>0</v>
          </cell>
        </row>
        <row r="980">
          <cell r="A980" t="str">
            <v>100414</v>
          </cell>
          <cell r="B980" t="str">
            <v>Sarjeta de pedra</v>
          </cell>
          <cell r="C980" t="str">
            <v>m</v>
          </cell>
          <cell r="D980">
            <v>17.309999999999999</v>
          </cell>
          <cell r="E980">
            <v>3.29</v>
          </cell>
          <cell r="F980">
            <v>20.6</v>
          </cell>
          <cell r="G980">
            <v>0</v>
          </cell>
        </row>
        <row r="981">
          <cell r="A981" t="str">
            <v>1005</v>
          </cell>
          <cell r="B981" t="str">
            <v>RECOMPOSIÇÃO DE PAVIMENTOS, GUIAS E SARJETAS SEM REAPROVEITAMENTO DO MATERIAL</v>
          </cell>
          <cell r="C981">
            <v>0</v>
          </cell>
          <cell r="D981">
            <v>0</v>
          </cell>
          <cell r="E981">
            <v>0</v>
          </cell>
          <cell r="F981">
            <v>0</v>
          </cell>
          <cell r="G981">
            <v>0</v>
          </cell>
        </row>
        <row r="982">
          <cell r="A982" t="str">
            <v>100501</v>
          </cell>
          <cell r="B982" t="str">
            <v>Piso de concreto desempenado</v>
          </cell>
          <cell r="C982" t="str">
            <v>m3</v>
          </cell>
          <cell r="D982">
            <v>326.67</v>
          </cell>
          <cell r="E982">
            <v>168.92</v>
          </cell>
          <cell r="F982">
            <v>495.59</v>
          </cell>
          <cell r="G982">
            <v>0</v>
          </cell>
        </row>
        <row r="983">
          <cell r="A983" t="str">
            <v>100502</v>
          </cell>
          <cell r="B983" t="str">
            <v>Saibro</v>
          </cell>
          <cell r="C983" t="str">
            <v>m3</v>
          </cell>
          <cell r="D983">
            <v>9.76</v>
          </cell>
          <cell r="E983">
            <v>61.1</v>
          </cell>
          <cell r="F983">
            <v>70.86</v>
          </cell>
          <cell r="G983">
            <v>0</v>
          </cell>
        </row>
        <row r="984">
          <cell r="A984" t="str">
            <v>100503</v>
          </cell>
          <cell r="B984" t="str">
            <v>Pré-misturado a frio (PMF)</v>
          </cell>
          <cell r="C984" t="str">
            <v>m3</v>
          </cell>
          <cell r="D984">
            <v>104.72</v>
          </cell>
          <cell r="E984">
            <v>467.66</v>
          </cell>
          <cell r="F984">
            <v>572.38</v>
          </cell>
          <cell r="G984">
            <v>0</v>
          </cell>
        </row>
        <row r="985">
          <cell r="A985" t="str">
            <v>100504</v>
          </cell>
          <cell r="B985" t="str">
            <v>Asfalto a frio - em sacos</v>
          </cell>
          <cell r="C985" t="str">
            <v>m3</v>
          </cell>
          <cell r="D985">
            <v>0</v>
          </cell>
          <cell r="E985">
            <v>0</v>
          </cell>
          <cell r="F985">
            <v>0</v>
          </cell>
          <cell r="G985">
            <v>0</v>
          </cell>
        </row>
        <row r="986">
          <cell r="A986" t="str">
            <v>100505</v>
          </cell>
          <cell r="B986" t="str">
            <v>Concreto betuminoso usinado a quente (CBUQ)</v>
          </cell>
          <cell r="C986" t="str">
            <v>m3</v>
          </cell>
          <cell r="D986">
            <v>141.47</v>
          </cell>
          <cell r="E986">
            <v>551.32000000000005</v>
          </cell>
          <cell r="F986">
            <v>692.79</v>
          </cell>
          <cell r="G986">
            <v>0</v>
          </cell>
        </row>
        <row r="987">
          <cell r="A987" t="str">
            <v>1006</v>
          </cell>
          <cell r="B987" t="str">
            <v>DESLOCAMENTO URBANO PARA RECOMPOSIÇÕES ESPARSAS</v>
          </cell>
          <cell r="C987">
            <v>0</v>
          </cell>
          <cell r="D987">
            <v>0</v>
          </cell>
          <cell r="E987">
            <v>0</v>
          </cell>
          <cell r="F987">
            <v>0</v>
          </cell>
          <cell r="G987">
            <v>0</v>
          </cell>
        </row>
        <row r="988">
          <cell r="A988" t="str">
            <v>100601</v>
          </cell>
          <cell r="B988" t="str">
            <v>distância média &lt;= 1,00 km</v>
          </cell>
          <cell r="C988" t="str">
            <v>ud</v>
          </cell>
          <cell r="D988">
            <v>3</v>
          </cell>
          <cell r="E988">
            <v>0</v>
          </cell>
          <cell r="F988">
            <v>3</v>
          </cell>
          <cell r="G988">
            <v>0</v>
          </cell>
        </row>
        <row r="989">
          <cell r="A989" t="str">
            <v>100602</v>
          </cell>
          <cell r="B989" t="str">
            <v>1,01 Km &lt; distância média &lt;= 2,00 km</v>
          </cell>
          <cell r="C989" t="str">
            <v>ud</v>
          </cell>
          <cell r="D989">
            <v>4.5</v>
          </cell>
          <cell r="E989">
            <v>0</v>
          </cell>
          <cell r="F989">
            <v>4.5</v>
          </cell>
          <cell r="G989">
            <v>0</v>
          </cell>
        </row>
        <row r="990">
          <cell r="A990" t="str">
            <v>100603</v>
          </cell>
          <cell r="B990" t="str">
            <v>2,01 Km &lt; distância média &lt;= 3,00 km</v>
          </cell>
          <cell r="C990" t="str">
            <v>ud</v>
          </cell>
          <cell r="D990">
            <v>7.49</v>
          </cell>
          <cell r="E990">
            <v>0</v>
          </cell>
          <cell r="F990">
            <v>7.49</v>
          </cell>
          <cell r="G990">
            <v>0</v>
          </cell>
        </row>
        <row r="991">
          <cell r="A991" t="str">
            <v>100604</v>
          </cell>
          <cell r="B991" t="str">
            <v>3,01 Km &lt; distância média &lt;= 4,00 km</v>
          </cell>
          <cell r="C991" t="str">
            <v>ud</v>
          </cell>
          <cell r="D991">
            <v>10.5</v>
          </cell>
          <cell r="E991">
            <v>0</v>
          </cell>
          <cell r="F991">
            <v>10.5</v>
          </cell>
          <cell r="G991">
            <v>0</v>
          </cell>
        </row>
        <row r="992">
          <cell r="A992" t="str">
            <v>100605</v>
          </cell>
          <cell r="B992" t="str">
            <v>4,01 Km &lt; distância média &lt;= 5,00 km</v>
          </cell>
          <cell r="C992" t="str">
            <v>ud</v>
          </cell>
          <cell r="D992">
            <v>13.5</v>
          </cell>
          <cell r="E992">
            <v>0</v>
          </cell>
          <cell r="F992">
            <v>13.5</v>
          </cell>
          <cell r="G992">
            <v>0</v>
          </cell>
        </row>
        <row r="993">
          <cell r="A993" t="str">
            <v>100606</v>
          </cell>
          <cell r="B993" t="str">
            <v>5,01 Km &lt; distância média &lt;= 6,00 km</v>
          </cell>
          <cell r="C993" t="str">
            <v>ud</v>
          </cell>
          <cell r="D993">
            <v>16.489999999999998</v>
          </cell>
          <cell r="E993">
            <v>0</v>
          </cell>
          <cell r="F993">
            <v>16.489999999999998</v>
          </cell>
          <cell r="G993">
            <v>0</v>
          </cell>
        </row>
        <row r="994">
          <cell r="A994" t="str">
            <v>100607</v>
          </cell>
          <cell r="B994" t="str">
            <v>6,01 Km &lt; distância média &lt;= 7,00 km</v>
          </cell>
          <cell r="C994" t="str">
            <v>ud</v>
          </cell>
          <cell r="D994">
            <v>19.489999999999998</v>
          </cell>
          <cell r="E994">
            <v>0</v>
          </cell>
          <cell r="F994">
            <v>19.489999999999998</v>
          </cell>
          <cell r="G994">
            <v>0</v>
          </cell>
        </row>
        <row r="995">
          <cell r="A995" t="str">
            <v>100608</v>
          </cell>
          <cell r="B995" t="str">
            <v>7,01 Km &lt; distância média &lt;= 8,00 km</v>
          </cell>
          <cell r="C995" t="str">
            <v>ud</v>
          </cell>
          <cell r="D995">
            <v>20.440000000000001</v>
          </cell>
          <cell r="E995">
            <v>0</v>
          </cell>
          <cell r="F995">
            <v>20.440000000000001</v>
          </cell>
          <cell r="G995">
            <v>0</v>
          </cell>
        </row>
        <row r="996">
          <cell r="A996" t="str">
            <v>100609</v>
          </cell>
          <cell r="B996" t="str">
            <v>8,01 Km &lt; distância média &lt;= 9,00 km</v>
          </cell>
          <cell r="C996" t="str">
            <v>ud</v>
          </cell>
          <cell r="D996">
            <v>21.84</v>
          </cell>
          <cell r="E996">
            <v>0</v>
          </cell>
          <cell r="F996">
            <v>21.84</v>
          </cell>
          <cell r="G996">
            <v>0</v>
          </cell>
        </row>
        <row r="997">
          <cell r="A997" t="str">
            <v>100610</v>
          </cell>
          <cell r="B997" t="str">
            <v>9,01 Km &lt; distância média &lt;= 10,00 km</v>
          </cell>
          <cell r="C997" t="str">
            <v>ud</v>
          </cell>
          <cell r="D997">
            <v>24.41</v>
          </cell>
          <cell r="E997">
            <v>0</v>
          </cell>
          <cell r="F997">
            <v>24.41</v>
          </cell>
          <cell r="G997">
            <v>0</v>
          </cell>
        </row>
        <row r="998">
          <cell r="A998" t="str">
            <v>100611</v>
          </cell>
          <cell r="B998" t="str">
            <v>10,01 Km &lt; distância média &lt;= 15,00 km</v>
          </cell>
          <cell r="C998" t="str">
            <v>ud</v>
          </cell>
          <cell r="D998">
            <v>32.119999999999997</v>
          </cell>
          <cell r="E998">
            <v>0</v>
          </cell>
          <cell r="F998">
            <v>32.119999999999997</v>
          </cell>
          <cell r="G998">
            <v>0</v>
          </cell>
        </row>
        <row r="999">
          <cell r="A999" t="str">
            <v>100612</v>
          </cell>
          <cell r="B999" t="str">
            <v>15,01 Km &lt; distância média &lt;= 20,00 km</v>
          </cell>
          <cell r="C999" t="str">
            <v>ud</v>
          </cell>
          <cell r="D999">
            <v>39.36</v>
          </cell>
          <cell r="E999">
            <v>0</v>
          </cell>
          <cell r="F999">
            <v>39.36</v>
          </cell>
          <cell r="G999">
            <v>0</v>
          </cell>
        </row>
        <row r="1000">
          <cell r="A1000" t="str">
            <v>100613</v>
          </cell>
          <cell r="B1000" t="str">
            <v>20,01 Km &lt; distância média &lt;= 25,00 km</v>
          </cell>
          <cell r="C1000" t="str">
            <v>ud</v>
          </cell>
          <cell r="D1000">
            <v>50.6</v>
          </cell>
          <cell r="E1000">
            <v>0</v>
          </cell>
          <cell r="F1000">
            <v>50.6</v>
          </cell>
          <cell r="G1000">
            <v>0</v>
          </cell>
        </row>
        <row r="1001">
          <cell r="A1001" t="str">
            <v>100614</v>
          </cell>
          <cell r="B1001" t="str">
            <v>25,01 Km &lt; distância média &lt;= 30,00 km</v>
          </cell>
          <cell r="C1001" t="str">
            <v>ud</v>
          </cell>
          <cell r="D1001">
            <v>61.84</v>
          </cell>
          <cell r="E1001">
            <v>0</v>
          </cell>
          <cell r="F1001">
            <v>61.84</v>
          </cell>
          <cell r="G1001">
            <v>0</v>
          </cell>
        </row>
        <row r="1002">
          <cell r="A1002" t="str">
            <v>1007</v>
          </cell>
          <cell r="B1002" t="str">
            <v>DESLOCAMENTO URBANO PARA RECOMPOSIÇÕES ASFÁLTICAS (PMF) ESPARSAS</v>
          </cell>
          <cell r="C1002">
            <v>0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</row>
        <row r="1003">
          <cell r="A1003" t="str">
            <v>100701</v>
          </cell>
          <cell r="B1003" t="str">
            <v>distância média &lt;= 1,00 km</v>
          </cell>
          <cell r="C1003" t="str">
            <v>ud</v>
          </cell>
          <cell r="D1003">
            <v>24.94</v>
          </cell>
          <cell r="E1003">
            <v>0</v>
          </cell>
          <cell r="F1003">
            <v>24.94</v>
          </cell>
          <cell r="G1003">
            <v>0</v>
          </cell>
        </row>
        <row r="1004">
          <cell r="A1004" t="str">
            <v>100702</v>
          </cell>
          <cell r="B1004" t="str">
            <v>1,01 Km &lt; distância média &lt;= 2,00 km</v>
          </cell>
          <cell r="C1004" t="str">
            <v>ud</v>
          </cell>
          <cell r="D1004">
            <v>37.409999999999997</v>
          </cell>
          <cell r="E1004">
            <v>0</v>
          </cell>
          <cell r="F1004">
            <v>37.409999999999997</v>
          </cell>
          <cell r="G1004">
            <v>0</v>
          </cell>
        </row>
        <row r="1005">
          <cell r="A1005" t="str">
            <v>100703</v>
          </cell>
          <cell r="B1005" t="str">
            <v>2,01 Km &lt; distância média &lt;= 3,00 km</v>
          </cell>
          <cell r="C1005" t="str">
            <v>ud</v>
          </cell>
          <cell r="D1005">
            <v>62.35</v>
          </cell>
          <cell r="E1005">
            <v>0</v>
          </cell>
          <cell r="F1005">
            <v>62.35</v>
          </cell>
          <cell r="G1005">
            <v>0</v>
          </cell>
        </row>
        <row r="1006">
          <cell r="A1006" t="str">
            <v>100704</v>
          </cell>
          <cell r="B1006" t="str">
            <v>3,01 Km &lt; distância média &lt;= 4,00 km</v>
          </cell>
          <cell r="C1006" t="str">
            <v>ud</v>
          </cell>
          <cell r="D1006">
            <v>87.3</v>
          </cell>
          <cell r="E1006">
            <v>0</v>
          </cell>
          <cell r="F1006">
            <v>87.3</v>
          </cell>
          <cell r="G1006">
            <v>0</v>
          </cell>
        </row>
        <row r="1007">
          <cell r="A1007" t="str">
            <v>100705</v>
          </cell>
          <cell r="B1007" t="str">
            <v>4,01 Km &lt; distância média &lt;= 5,00 km</v>
          </cell>
          <cell r="C1007" t="str">
            <v>ud</v>
          </cell>
          <cell r="D1007">
            <v>112.24</v>
          </cell>
          <cell r="E1007">
            <v>0</v>
          </cell>
          <cell r="F1007">
            <v>112.24</v>
          </cell>
          <cell r="G1007">
            <v>0</v>
          </cell>
        </row>
        <row r="1008">
          <cell r="A1008" t="str">
            <v>100706</v>
          </cell>
          <cell r="B1008" t="str">
            <v>5,01 Km &lt; distância média &lt;= 6,00 km</v>
          </cell>
          <cell r="C1008" t="str">
            <v>ud</v>
          </cell>
          <cell r="D1008">
            <v>137.18</v>
          </cell>
          <cell r="E1008">
            <v>0</v>
          </cell>
          <cell r="F1008">
            <v>137.18</v>
          </cell>
          <cell r="G1008">
            <v>0</v>
          </cell>
        </row>
        <row r="1009">
          <cell r="A1009" t="str">
            <v>100707</v>
          </cell>
          <cell r="B1009" t="str">
            <v>6,01 Km &lt; distância média &lt;= 7,00 km</v>
          </cell>
          <cell r="C1009" t="str">
            <v>ud</v>
          </cell>
          <cell r="D1009">
            <v>147.4</v>
          </cell>
          <cell r="E1009">
            <v>0</v>
          </cell>
          <cell r="F1009">
            <v>147.4</v>
          </cell>
          <cell r="G1009">
            <v>0</v>
          </cell>
        </row>
        <row r="1010">
          <cell r="A1010" t="str">
            <v>100708</v>
          </cell>
          <cell r="B1010" t="str">
            <v>7,01 Km &lt; distância média &lt;= 8,00 km</v>
          </cell>
          <cell r="C1010" t="str">
            <v>ud</v>
          </cell>
          <cell r="D1010">
            <v>155.88</v>
          </cell>
          <cell r="E1010">
            <v>0</v>
          </cell>
          <cell r="F1010">
            <v>155.88</v>
          </cell>
          <cell r="G1010">
            <v>0</v>
          </cell>
        </row>
        <row r="1011">
          <cell r="A1011" t="str">
            <v>100709</v>
          </cell>
          <cell r="B1011" t="str">
            <v>8,01 Km &lt; distância média &lt;= 9,00 km</v>
          </cell>
          <cell r="C1011" t="str">
            <v>ud</v>
          </cell>
          <cell r="D1011">
            <v>169.6</v>
          </cell>
          <cell r="E1011">
            <v>0</v>
          </cell>
          <cell r="F1011">
            <v>169.6</v>
          </cell>
          <cell r="G1011">
            <v>0</v>
          </cell>
        </row>
        <row r="1012">
          <cell r="A1012" t="str">
            <v>100710</v>
          </cell>
          <cell r="B1012" t="str">
            <v>9,01 Km &lt; distância média &lt;= 10,00 km</v>
          </cell>
          <cell r="C1012" t="str">
            <v>ud</v>
          </cell>
          <cell r="D1012">
            <v>189.55</v>
          </cell>
          <cell r="E1012">
            <v>0</v>
          </cell>
          <cell r="F1012">
            <v>189.55</v>
          </cell>
          <cell r="G1012">
            <v>0</v>
          </cell>
        </row>
        <row r="1013">
          <cell r="A1013" t="str">
            <v>100711</v>
          </cell>
          <cell r="B1013" t="str">
            <v>10,01 Km &lt; distância média &lt;= 15,00 km</v>
          </cell>
          <cell r="C1013" t="str">
            <v>ud</v>
          </cell>
          <cell r="D1013">
            <v>249.42</v>
          </cell>
          <cell r="E1013">
            <v>0</v>
          </cell>
          <cell r="F1013">
            <v>249.42</v>
          </cell>
          <cell r="G1013">
            <v>0</v>
          </cell>
        </row>
        <row r="1014">
          <cell r="A1014" t="str">
            <v>100712</v>
          </cell>
          <cell r="B1014" t="str">
            <v>15,01 Km &lt; distância média &lt;= 20,00 km</v>
          </cell>
          <cell r="C1014" t="str">
            <v>ud</v>
          </cell>
          <cell r="D1014">
            <v>290.97000000000003</v>
          </cell>
          <cell r="E1014">
            <v>0</v>
          </cell>
          <cell r="F1014">
            <v>290.97000000000003</v>
          </cell>
          <cell r="G1014">
            <v>0</v>
          </cell>
        </row>
        <row r="1015">
          <cell r="A1015" t="str">
            <v>100713</v>
          </cell>
          <cell r="B1015" t="str">
            <v>20,01 Km &lt; distância média &lt;= 25,00 km</v>
          </cell>
          <cell r="C1015" t="str">
            <v>ud</v>
          </cell>
          <cell r="D1015">
            <v>374.13</v>
          </cell>
          <cell r="E1015">
            <v>0</v>
          </cell>
          <cell r="F1015">
            <v>374.13</v>
          </cell>
          <cell r="G1015">
            <v>0</v>
          </cell>
        </row>
        <row r="1016">
          <cell r="A1016" t="str">
            <v>100714</v>
          </cell>
          <cell r="B1016" t="str">
            <v>25,01 Km &lt; distância média &lt;= 30,00 km</v>
          </cell>
          <cell r="C1016" t="str">
            <v>ud</v>
          </cell>
          <cell r="D1016">
            <v>457.28</v>
          </cell>
          <cell r="E1016">
            <v>0</v>
          </cell>
          <cell r="F1016">
            <v>457.28</v>
          </cell>
          <cell r="G1016">
            <v>0</v>
          </cell>
        </row>
        <row r="1017">
          <cell r="A1017" t="str">
            <v>1008</v>
          </cell>
          <cell r="B1017" t="str">
            <v>DESLOCAMENTO URBANO PARA RECOMPOSIÇÕES ASFÁLTICAS (CBUQ) ESPARSAS</v>
          </cell>
          <cell r="C1017">
            <v>0</v>
          </cell>
          <cell r="D1017">
            <v>0</v>
          </cell>
          <cell r="E1017">
            <v>0</v>
          </cell>
          <cell r="F1017">
            <v>0</v>
          </cell>
          <cell r="G1017">
            <v>0</v>
          </cell>
        </row>
        <row r="1018">
          <cell r="A1018" t="str">
            <v>100801</v>
          </cell>
          <cell r="B1018" t="str">
            <v>distância média &lt;= 1,00 km</v>
          </cell>
          <cell r="C1018" t="str">
            <v>ud</v>
          </cell>
          <cell r="D1018">
            <v>24.94</v>
          </cell>
          <cell r="E1018">
            <v>0</v>
          </cell>
          <cell r="F1018">
            <v>24.94</v>
          </cell>
          <cell r="G1018">
            <v>0</v>
          </cell>
        </row>
        <row r="1019">
          <cell r="A1019" t="str">
            <v>100802</v>
          </cell>
          <cell r="B1019" t="str">
            <v>1,01 Km &lt; distância média &lt;= 2,00 km</v>
          </cell>
          <cell r="C1019" t="str">
            <v>ud</v>
          </cell>
          <cell r="D1019">
            <v>37.409999999999997</v>
          </cell>
          <cell r="E1019">
            <v>0</v>
          </cell>
          <cell r="F1019">
            <v>37.409999999999997</v>
          </cell>
          <cell r="G1019">
            <v>0</v>
          </cell>
        </row>
        <row r="1020">
          <cell r="A1020" t="str">
            <v>100803</v>
          </cell>
          <cell r="B1020" t="str">
            <v>2,01 Km &lt; distância média &lt;= 3,00 km</v>
          </cell>
          <cell r="C1020" t="str">
            <v>ud</v>
          </cell>
          <cell r="D1020">
            <v>62.35</v>
          </cell>
          <cell r="E1020">
            <v>0</v>
          </cell>
          <cell r="F1020">
            <v>62.35</v>
          </cell>
          <cell r="G1020">
            <v>0</v>
          </cell>
        </row>
        <row r="1021">
          <cell r="A1021" t="str">
            <v>100804</v>
          </cell>
          <cell r="B1021" t="str">
            <v>3,01 Km &lt; distância média &lt;= 4,00 km</v>
          </cell>
          <cell r="C1021" t="str">
            <v>ud</v>
          </cell>
          <cell r="D1021">
            <v>87.3</v>
          </cell>
          <cell r="E1021">
            <v>0</v>
          </cell>
          <cell r="F1021">
            <v>87.3</v>
          </cell>
          <cell r="G1021">
            <v>0</v>
          </cell>
        </row>
        <row r="1022">
          <cell r="A1022" t="str">
            <v>100805</v>
          </cell>
          <cell r="B1022" t="str">
            <v>4,01 Km &lt; distância média &lt;= 5,00 km</v>
          </cell>
          <cell r="C1022" t="str">
            <v>ud</v>
          </cell>
          <cell r="D1022">
            <v>112.24</v>
          </cell>
          <cell r="E1022">
            <v>0</v>
          </cell>
          <cell r="F1022">
            <v>112.24</v>
          </cell>
          <cell r="G1022">
            <v>0</v>
          </cell>
        </row>
        <row r="1023">
          <cell r="A1023" t="str">
            <v>100806</v>
          </cell>
          <cell r="B1023" t="str">
            <v>5,01 Km &lt; distância média &lt;= 6,00 km</v>
          </cell>
          <cell r="C1023" t="str">
            <v>ud</v>
          </cell>
          <cell r="D1023">
            <v>137.18</v>
          </cell>
          <cell r="E1023">
            <v>0</v>
          </cell>
          <cell r="F1023">
            <v>137.18</v>
          </cell>
          <cell r="G1023">
            <v>0</v>
          </cell>
        </row>
        <row r="1024">
          <cell r="A1024" t="str">
            <v>100807</v>
          </cell>
          <cell r="B1024" t="str">
            <v>6,01 Km &lt; distância média &lt;= 7,00 km</v>
          </cell>
          <cell r="C1024" t="str">
            <v>ud</v>
          </cell>
          <cell r="D1024">
            <v>147.4</v>
          </cell>
          <cell r="E1024">
            <v>0</v>
          </cell>
          <cell r="F1024">
            <v>147.4</v>
          </cell>
          <cell r="G1024">
            <v>0</v>
          </cell>
        </row>
        <row r="1025">
          <cell r="A1025" t="str">
            <v>100808</v>
          </cell>
          <cell r="B1025" t="str">
            <v>7,01 Km &lt; distância média &lt;= 8,00 km</v>
          </cell>
          <cell r="C1025" t="str">
            <v>ud</v>
          </cell>
          <cell r="D1025">
            <v>155.88</v>
          </cell>
          <cell r="E1025">
            <v>0</v>
          </cell>
          <cell r="F1025">
            <v>155.88</v>
          </cell>
          <cell r="G1025">
            <v>0</v>
          </cell>
        </row>
        <row r="1026">
          <cell r="A1026" t="str">
            <v>100809</v>
          </cell>
          <cell r="B1026" t="str">
            <v>8,01 Km &lt; distância média &lt;= 9,00 km</v>
          </cell>
          <cell r="C1026" t="str">
            <v>ud</v>
          </cell>
          <cell r="D1026">
            <v>169.6</v>
          </cell>
          <cell r="E1026">
            <v>0</v>
          </cell>
          <cell r="F1026">
            <v>169.6</v>
          </cell>
          <cell r="G1026">
            <v>0</v>
          </cell>
        </row>
        <row r="1027">
          <cell r="A1027" t="str">
            <v>100810</v>
          </cell>
          <cell r="B1027" t="str">
            <v>9,01 Km &lt; distância média &lt;= 10,00 km</v>
          </cell>
          <cell r="C1027" t="str">
            <v>ud</v>
          </cell>
          <cell r="D1027">
            <v>189.55</v>
          </cell>
          <cell r="E1027">
            <v>0</v>
          </cell>
          <cell r="F1027">
            <v>189.55</v>
          </cell>
          <cell r="G1027">
            <v>0</v>
          </cell>
        </row>
        <row r="1028">
          <cell r="A1028" t="str">
            <v>100811</v>
          </cell>
          <cell r="B1028" t="str">
            <v>10,01 Km &lt; distância média &lt;= 15,00 km</v>
          </cell>
          <cell r="C1028" t="str">
            <v>ud</v>
          </cell>
          <cell r="D1028">
            <v>249.42</v>
          </cell>
          <cell r="E1028">
            <v>0</v>
          </cell>
          <cell r="F1028">
            <v>249.42</v>
          </cell>
          <cell r="G1028">
            <v>0</v>
          </cell>
        </row>
        <row r="1029">
          <cell r="A1029" t="str">
            <v>100812</v>
          </cell>
          <cell r="B1029" t="str">
            <v>15,01 Km &lt; distância média &lt;= 20,00 km</v>
          </cell>
          <cell r="C1029" t="str">
            <v>ud</v>
          </cell>
          <cell r="D1029">
            <v>290.97000000000003</v>
          </cell>
          <cell r="E1029">
            <v>0</v>
          </cell>
          <cell r="F1029">
            <v>290.97000000000003</v>
          </cell>
          <cell r="G1029">
            <v>0</v>
          </cell>
        </row>
        <row r="1030">
          <cell r="A1030" t="str">
            <v>100813</v>
          </cell>
          <cell r="B1030" t="str">
            <v>20,01 Km &lt; distância média &lt;= 25,00 km</v>
          </cell>
          <cell r="C1030" t="str">
            <v>ud</v>
          </cell>
          <cell r="D1030">
            <v>374.13</v>
          </cell>
          <cell r="E1030">
            <v>0</v>
          </cell>
          <cell r="F1030">
            <v>374.13</v>
          </cell>
        </row>
        <row r="1031">
          <cell r="A1031" t="str">
            <v>100814</v>
          </cell>
          <cell r="B1031" t="str">
            <v>25,01 Km &lt; distância média &lt;= 30,00 km</v>
          </cell>
          <cell r="C1031" t="str">
            <v>ud</v>
          </cell>
          <cell r="D1031">
            <v>457.28</v>
          </cell>
          <cell r="E1031">
            <v>0</v>
          </cell>
          <cell r="F1031">
            <v>457.28</v>
          </cell>
        </row>
        <row r="1032">
          <cell r="A1032" t="str">
            <v>1009</v>
          </cell>
          <cell r="B1032" t="str">
            <v>DESLOCAMENTO INTERURBANO PARA RECOMPOSIÇÕES DE PAVIMENTOS</v>
          </cell>
          <cell r="C1032">
            <v>0</v>
          </cell>
          <cell r="D1032">
            <v>0</v>
          </cell>
          <cell r="E1032">
            <v>0</v>
          </cell>
        </row>
        <row r="1033">
          <cell r="A1033" t="str">
            <v>100901</v>
          </cell>
          <cell r="B1033" t="str">
            <v>Pavimentos diversos</v>
          </cell>
          <cell r="C1033" t="str">
            <v>km</v>
          </cell>
          <cell r="D1033">
            <v>1.53</v>
          </cell>
          <cell r="E1033">
            <v>0</v>
          </cell>
          <cell r="F1033">
            <v>1.53</v>
          </cell>
        </row>
        <row r="1034">
          <cell r="A1034" t="str">
            <v>100902</v>
          </cell>
          <cell r="B1034" t="str">
            <v>Concreto betuminoso usinado a quente (CBUQ)</v>
          </cell>
          <cell r="C1034" t="str">
            <v>km</v>
          </cell>
          <cell r="D1034">
            <v>12.47</v>
          </cell>
          <cell r="E1034">
            <v>0</v>
          </cell>
          <cell r="F1034">
            <v>12.47</v>
          </cell>
        </row>
        <row r="1035">
          <cell r="A1035" t="str">
            <v>100903</v>
          </cell>
          <cell r="B1035" t="str">
            <v>Pré-misturado a frio (PMF)</v>
          </cell>
          <cell r="C1035" t="str">
            <v>km</v>
          </cell>
          <cell r="D1035">
            <v>12.47</v>
          </cell>
          <cell r="E1035">
            <v>0</v>
          </cell>
          <cell r="F1035">
            <v>12.47</v>
          </cell>
        </row>
        <row r="1036">
          <cell r="A1036" t="str">
            <v>11</v>
          </cell>
          <cell r="B1036" t="str">
            <v>FECHAMENTO</v>
          </cell>
          <cell r="C1036">
            <v>0</v>
          </cell>
          <cell r="D1036">
            <v>0</v>
          </cell>
          <cell r="E1036">
            <v>0</v>
          </cell>
        </row>
        <row r="1037">
          <cell r="A1037" t="str">
            <v>1101</v>
          </cell>
          <cell r="B1037" t="str">
            <v>PAREDE</v>
          </cell>
          <cell r="C1037">
            <v>0</v>
          </cell>
          <cell r="D1037">
            <v>0</v>
          </cell>
          <cell r="E1037">
            <v>0</v>
          </cell>
        </row>
        <row r="1038">
          <cell r="A1038" t="str">
            <v>110101</v>
          </cell>
          <cell r="B1038" t="str">
            <v>Alvenaria de tijolo maciço 1/2 vez</v>
          </cell>
          <cell r="C1038" t="str">
            <v>m2</v>
          </cell>
          <cell r="D1038">
            <v>75.59</v>
          </cell>
          <cell r="E1038">
            <v>33.96</v>
          </cell>
          <cell r="F1038">
            <v>109.55</v>
          </cell>
          <cell r="G1038">
            <v>72131</v>
          </cell>
        </row>
        <row r="1039">
          <cell r="A1039" t="str">
            <v>110102</v>
          </cell>
          <cell r="B1039" t="str">
            <v>Alvenaria de tijolo maciço 1 vez</v>
          </cell>
          <cell r="C1039" t="str">
            <v>m2</v>
          </cell>
          <cell r="D1039">
            <v>70.11</v>
          </cell>
          <cell r="E1039">
            <v>39.44</v>
          </cell>
          <cell r="F1039">
            <v>109.55</v>
          </cell>
          <cell r="G1039">
            <v>72131</v>
          </cell>
        </row>
        <row r="1040">
          <cell r="A1040" t="str">
            <v>110103</v>
          </cell>
          <cell r="B1040" t="str">
            <v>Alvenaria de tijolo furado 1/2 vez</v>
          </cell>
          <cell r="C1040" t="str">
            <v>m2</v>
          </cell>
          <cell r="D1040">
            <v>47.04</v>
          </cell>
          <cell r="E1040">
            <v>12.51</v>
          </cell>
          <cell r="F1040">
            <v>59.55</v>
          </cell>
          <cell r="G1040">
            <v>87508</v>
          </cell>
        </row>
        <row r="1041">
          <cell r="A1041" t="str">
            <v>110104</v>
          </cell>
          <cell r="B1041" t="str">
            <v>Alvenaria de tijolo furado 1 vez</v>
          </cell>
          <cell r="C1041" t="str">
            <v>m2</v>
          </cell>
          <cell r="D1041">
            <v>60.04</v>
          </cell>
          <cell r="E1041">
            <v>20.61</v>
          </cell>
          <cell r="F1041">
            <v>80.650000000000006</v>
          </cell>
          <cell r="G1041" t="str">
            <v>73935/002</v>
          </cell>
        </row>
        <row r="1042">
          <cell r="A1042" t="str">
            <v>110105</v>
          </cell>
          <cell r="B1042" t="str">
            <v>Alvenaria de tijolo especial à vista numa face</v>
          </cell>
          <cell r="C1042" t="str">
            <v>m2</v>
          </cell>
          <cell r="D1042">
            <v>56.06</v>
          </cell>
          <cell r="E1042">
            <v>51.76</v>
          </cell>
          <cell r="F1042">
            <v>107.82</v>
          </cell>
        </row>
        <row r="1043">
          <cell r="A1043" t="str">
            <v>110106</v>
          </cell>
          <cell r="B1043" t="str">
            <v>Alvenaria de tijolo comum à vista numa face</v>
          </cell>
          <cell r="C1043" t="str">
            <v>m2</v>
          </cell>
          <cell r="D1043">
            <v>56.01</v>
          </cell>
          <cell r="E1043">
            <v>23.02</v>
          </cell>
          <cell r="F1043">
            <v>79.03</v>
          </cell>
        </row>
        <row r="1044">
          <cell r="A1044" t="str">
            <v>110107</v>
          </cell>
          <cell r="B1044" t="str">
            <v>Alvenaria de tijolo especial à vista em duas faces</v>
          </cell>
          <cell r="C1044" t="str">
            <v>m2</v>
          </cell>
          <cell r="D1044">
            <v>59.81</v>
          </cell>
          <cell r="E1044">
            <v>51.76</v>
          </cell>
          <cell r="F1044">
            <v>111.57</v>
          </cell>
        </row>
        <row r="1045">
          <cell r="A1045" t="str">
            <v>110108</v>
          </cell>
          <cell r="B1045" t="str">
            <v>Alvenaria de tijolo comum à vista em duas faces</v>
          </cell>
          <cell r="C1045" t="str">
            <v>m2</v>
          </cell>
          <cell r="D1045">
            <v>59.76</v>
          </cell>
          <cell r="E1045">
            <v>23.02</v>
          </cell>
          <cell r="F1045">
            <v>82.78</v>
          </cell>
        </row>
        <row r="1046">
          <cell r="A1046" t="str">
            <v>110109</v>
          </cell>
          <cell r="B1046" t="str">
            <v>Alvenaria de bloco de concreto e= 15 cm</v>
          </cell>
          <cell r="C1046" t="str">
            <v>m2</v>
          </cell>
          <cell r="D1046">
            <v>30.28</v>
          </cell>
          <cell r="E1046">
            <v>25.79</v>
          </cell>
          <cell r="F1046">
            <v>56.07</v>
          </cell>
          <cell r="G1046">
            <v>87455</v>
          </cell>
        </row>
        <row r="1047">
          <cell r="A1047" t="str">
            <v>110110</v>
          </cell>
          <cell r="B1047" t="str">
            <v>Alvenaria de elemento vazado cerâmico</v>
          </cell>
          <cell r="C1047" t="str">
            <v>m2</v>
          </cell>
          <cell r="D1047">
            <v>46.96</v>
          </cell>
          <cell r="E1047">
            <v>71.69</v>
          </cell>
          <cell r="F1047">
            <v>118.65</v>
          </cell>
          <cell r="G1047">
            <v>9875</v>
          </cell>
        </row>
        <row r="1048">
          <cell r="A1048" t="str">
            <v>110111</v>
          </cell>
          <cell r="B1048" t="str">
            <v>Alvenaria de tijolo de vidro</v>
          </cell>
          <cell r="C1048" t="str">
            <v>m2</v>
          </cell>
          <cell r="D1048">
            <v>149.35</v>
          </cell>
          <cell r="E1048">
            <v>206.24</v>
          </cell>
          <cell r="F1048">
            <v>355.59</v>
          </cell>
          <cell r="G1048">
            <v>72139</v>
          </cell>
        </row>
        <row r="1049">
          <cell r="A1049" t="str">
            <v>110112</v>
          </cell>
          <cell r="B1049" t="str">
            <v>Parede em gesso acartonado (drywall)</v>
          </cell>
          <cell r="C1049" t="str">
            <v>m2</v>
          </cell>
          <cell r="D1049">
            <v>0</v>
          </cell>
          <cell r="E1049">
            <v>0</v>
          </cell>
          <cell r="F1049">
            <v>0</v>
          </cell>
        </row>
        <row r="1050">
          <cell r="A1050" t="str">
            <v>110113</v>
          </cell>
          <cell r="B1050" t="str">
            <v>Alvenaria de pedra</v>
          </cell>
          <cell r="C1050" t="str">
            <v>m3</v>
          </cell>
          <cell r="D1050">
            <v>382.68</v>
          </cell>
          <cell r="E1050">
            <v>93.01</v>
          </cell>
          <cell r="F1050">
            <v>475.69</v>
          </cell>
          <cell r="G1050" t="str">
            <v>74053/001</v>
          </cell>
        </row>
        <row r="1051">
          <cell r="A1051" t="str">
            <v>1102</v>
          </cell>
          <cell r="B1051" t="str">
            <v>ARMAÇÃO PARA COBERTURA</v>
          </cell>
          <cell r="C1051">
            <v>0</v>
          </cell>
          <cell r="D1051">
            <v>0</v>
          </cell>
          <cell r="E1051">
            <v>0</v>
          </cell>
        </row>
        <row r="1052">
          <cell r="A1052" t="str">
            <v>110201</v>
          </cell>
          <cell r="B1052" t="str">
            <v>Estrutura de madeira para cobertura com telhas cerâmicas 3,00 m &lt; vão &lt;= 7,00 m</v>
          </cell>
          <cell r="C1052" t="str">
            <v>m2</v>
          </cell>
          <cell r="D1052">
            <v>44.93</v>
          </cell>
          <cell r="E1052">
            <v>30.71</v>
          </cell>
          <cell r="F1052">
            <v>75.64</v>
          </cell>
        </row>
        <row r="1053">
          <cell r="A1053" t="str">
            <v>110202</v>
          </cell>
          <cell r="B1053" t="str">
            <v>Estrutura de madeira para cobertura com telhas cerâmicas 7,00 m &lt; vão &lt;= 10,00 m</v>
          </cell>
          <cell r="C1053" t="str">
            <v>m2</v>
          </cell>
          <cell r="D1053">
            <v>52.42</v>
          </cell>
          <cell r="E1053">
            <v>33.03</v>
          </cell>
          <cell r="F1053">
            <v>85.45</v>
          </cell>
        </row>
        <row r="1054">
          <cell r="A1054" t="str">
            <v>110203</v>
          </cell>
          <cell r="B1054" t="str">
            <v>Estrutura de madeira para cobertura com telhas cerâmicas 10,00 m &lt; vão &lt;= 12,00 m</v>
          </cell>
          <cell r="C1054" t="str">
            <v>m2</v>
          </cell>
          <cell r="D1054">
            <v>56.16</v>
          </cell>
          <cell r="E1054">
            <v>35.380000000000003</v>
          </cell>
          <cell r="F1054">
            <v>91.54</v>
          </cell>
        </row>
        <row r="1055">
          <cell r="A1055" t="str">
            <v>110204</v>
          </cell>
          <cell r="B1055" t="str">
            <v>Estrutura de madeira para cobertura com telhas de fibrocimento, PVC ou fibra-de-vidro</v>
          </cell>
          <cell r="C1055" t="str">
            <v>m2</v>
          </cell>
          <cell r="D1055">
            <v>48.67</v>
          </cell>
          <cell r="E1055">
            <v>24.64</v>
          </cell>
          <cell r="F1055">
            <v>73.31</v>
          </cell>
        </row>
        <row r="1056">
          <cell r="A1056" t="str">
            <v>1103</v>
          </cell>
          <cell r="B1056" t="str">
            <v>ISOLAMENTO TÉRMICO</v>
          </cell>
          <cell r="C1056">
            <v>0</v>
          </cell>
          <cell r="D1056">
            <v>0</v>
          </cell>
          <cell r="E1056">
            <v>0</v>
          </cell>
        </row>
        <row r="1057">
          <cell r="A1057" t="str">
            <v>110301</v>
          </cell>
          <cell r="B1057" t="str">
            <v>Manta refletiva com alumínio em ambas as faces</v>
          </cell>
          <cell r="C1057" t="str">
            <v>m2</v>
          </cell>
          <cell r="D1057">
            <v>3.75</v>
          </cell>
          <cell r="E1057">
            <v>4.0999999999999996</v>
          </cell>
          <cell r="F1057">
            <v>7.85</v>
          </cell>
        </row>
        <row r="1058">
          <cell r="A1058" t="str">
            <v>1104</v>
          </cell>
          <cell r="B1058" t="str">
            <v>COBERTURA</v>
          </cell>
          <cell r="C1058">
            <v>0</v>
          </cell>
          <cell r="D1058">
            <v>0</v>
          </cell>
          <cell r="E1058">
            <v>0</v>
          </cell>
        </row>
        <row r="1059">
          <cell r="A1059" t="str">
            <v>110401</v>
          </cell>
          <cell r="B1059" t="str">
            <v>Telha cerâmica - tipo romana / portuguesa</v>
          </cell>
          <cell r="C1059" t="str">
            <v>m2</v>
          </cell>
          <cell r="D1059">
            <v>12.41</v>
          </cell>
          <cell r="E1059">
            <v>15.8</v>
          </cell>
          <cell r="F1059">
            <v>28.21</v>
          </cell>
          <cell r="G1059">
            <v>94195</v>
          </cell>
        </row>
        <row r="1060">
          <cell r="A1060" t="str">
            <v>110402</v>
          </cell>
          <cell r="B1060" t="str">
            <v>Telha de fibrocimento ondulada - e= 4 mm</v>
          </cell>
          <cell r="C1060" t="str">
            <v>m2</v>
          </cell>
          <cell r="D1060">
            <v>17.2</v>
          </cell>
          <cell r="E1060">
            <v>15.25</v>
          </cell>
          <cell r="F1060">
            <v>32.450000000000003</v>
          </cell>
          <cell r="G1060">
            <v>94210</v>
          </cell>
        </row>
        <row r="1061">
          <cell r="A1061" t="str">
            <v>110403</v>
          </cell>
          <cell r="B1061" t="str">
            <v>Telha de fibrocimento ondulada - e= 6 mm</v>
          </cell>
          <cell r="C1061" t="str">
            <v>m2</v>
          </cell>
          <cell r="D1061">
            <v>13.3</v>
          </cell>
          <cell r="E1061">
            <v>19.149999999999999</v>
          </cell>
          <cell r="F1061">
            <v>32.450000000000003</v>
          </cell>
          <cell r="G1061">
            <v>94210</v>
          </cell>
        </row>
        <row r="1062">
          <cell r="A1062" t="str">
            <v>110404</v>
          </cell>
          <cell r="B1062" t="str">
            <v>Telha de fibrocimento ondulada - e= 8 mm</v>
          </cell>
          <cell r="C1062" t="str">
            <v>m2</v>
          </cell>
          <cell r="D1062">
            <v>10.71</v>
          </cell>
          <cell r="E1062">
            <v>21.74</v>
          </cell>
          <cell r="F1062">
            <v>32.450000000000003</v>
          </cell>
          <cell r="G1062">
            <v>94210</v>
          </cell>
        </row>
        <row r="1063">
          <cell r="A1063" t="str">
            <v>110405</v>
          </cell>
          <cell r="B1063" t="str">
            <v>Telha de fibrocimento modulada - e= 8 mm</v>
          </cell>
          <cell r="C1063" t="str">
            <v>m2</v>
          </cell>
          <cell r="D1063">
            <v>14.98</v>
          </cell>
          <cell r="E1063">
            <v>67.3</v>
          </cell>
          <cell r="F1063">
            <v>82.28</v>
          </cell>
        </row>
        <row r="1064">
          <cell r="A1064" t="str">
            <v>110406</v>
          </cell>
          <cell r="B1064" t="str">
            <v>Telha de fibra de vidro ondulada translúcida - e= 0,8 mm</v>
          </cell>
          <cell r="C1064" t="str">
            <v>m2</v>
          </cell>
          <cell r="D1064">
            <v>14.98</v>
          </cell>
          <cell r="E1064">
            <v>27.01</v>
          </cell>
          <cell r="F1064">
            <v>41.99</v>
          </cell>
        </row>
        <row r="1065">
          <cell r="A1065" t="str">
            <v>110407</v>
          </cell>
          <cell r="B1065" t="str">
            <v>Telha de fibrocimento Canalete 49, ou similar</v>
          </cell>
          <cell r="C1065" t="str">
            <v>m2</v>
          </cell>
          <cell r="D1065">
            <v>29.02</v>
          </cell>
          <cell r="E1065">
            <v>66.62</v>
          </cell>
          <cell r="F1065">
            <v>95.64</v>
          </cell>
        </row>
        <row r="1066">
          <cell r="A1066" t="str">
            <v>110408</v>
          </cell>
          <cell r="B1066" t="str">
            <v>Telha de fibrocimento Canalete 90, ou similar</v>
          </cell>
          <cell r="C1066" t="str">
            <v>m2</v>
          </cell>
          <cell r="D1066">
            <v>29.02</v>
          </cell>
          <cell r="E1066">
            <v>58.95</v>
          </cell>
          <cell r="F1066">
            <v>87.97</v>
          </cell>
        </row>
        <row r="1067">
          <cell r="A1067" t="str">
            <v>110409</v>
          </cell>
          <cell r="B1067" t="str">
            <v>Cumeeira cerâmica</v>
          </cell>
          <cell r="C1067" t="str">
            <v>m</v>
          </cell>
          <cell r="D1067">
            <v>10.97</v>
          </cell>
          <cell r="E1067">
            <v>8.2799999999999994</v>
          </cell>
          <cell r="F1067">
            <v>19.25</v>
          </cell>
          <cell r="G1067">
            <v>94221</v>
          </cell>
        </row>
        <row r="1068">
          <cell r="A1068" t="str">
            <v>110410</v>
          </cell>
          <cell r="B1068" t="str">
            <v>Cumeeira de fibrocimento para telha ondulada</v>
          </cell>
          <cell r="C1068" t="str">
            <v>m</v>
          </cell>
          <cell r="D1068">
            <v>15.34</v>
          </cell>
          <cell r="E1068">
            <v>23.02</v>
          </cell>
          <cell r="F1068">
            <v>38.36</v>
          </cell>
          <cell r="G1068">
            <v>94223</v>
          </cell>
        </row>
        <row r="1069">
          <cell r="A1069" t="str">
            <v>110411</v>
          </cell>
          <cell r="B1069" t="str">
            <v>Cumeeira de fibrocimento para telha modulada</v>
          </cell>
          <cell r="C1069" t="str">
            <v>m</v>
          </cell>
          <cell r="D1069">
            <v>18.260000000000002</v>
          </cell>
          <cell r="E1069">
            <v>37.97</v>
          </cell>
          <cell r="F1069">
            <v>56.23</v>
          </cell>
        </row>
        <row r="1070">
          <cell r="A1070" t="str">
            <v>110412</v>
          </cell>
          <cell r="B1070" t="str">
            <v>Cumeeira de fibrocimento para telha Canalete 49 ou similar</v>
          </cell>
          <cell r="C1070" t="str">
            <v>m</v>
          </cell>
          <cell r="D1070">
            <v>18.260000000000002</v>
          </cell>
          <cell r="E1070">
            <v>36.67</v>
          </cell>
          <cell r="F1070">
            <v>54.93</v>
          </cell>
        </row>
        <row r="1071">
          <cell r="A1071" t="str">
            <v>110413</v>
          </cell>
          <cell r="B1071" t="str">
            <v>Cumeeira de fibrocimento para telha Canalete 90 ou similar</v>
          </cell>
          <cell r="C1071" t="str">
            <v>m</v>
          </cell>
          <cell r="D1071">
            <v>18.260000000000002</v>
          </cell>
          <cell r="E1071">
            <v>77.83</v>
          </cell>
          <cell r="F1071">
            <v>96.09</v>
          </cell>
        </row>
        <row r="1072">
          <cell r="A1072" t="str">
            <v>110414</v>
          </cell>
          <cell r="B1072" t="str">
            <v>Forro de madeira</v>
          </cell>
          <cell r="C1072" t="str">
            <v>m2</v>
          </cell>
          <cell r="D1072">
            <v>41.24</v>
          </cell>
          <cell r="E1072">
            <v>51.42</v>
          </cell>
          <cell r="F1072">
            <v>92.66</v>
          </cell>
          <cell r="G1072">
            <v>84090</v>
          </cell>
        </row>
        <row r="1073">
          <cell r="A1073" t="str">
            <v>110415</v>
          </cell>
          <cell r="B1073" t="str">
            <v>Forro de gesso convencional 0,60 x 0,60 m</v>
          </cell>
          <cell r="C1073" t="str">
            <v>m2</v>
          </cell>
          <cell r="D1073">
            <v>0</v>
          </cell>
          <cell r="E1073">
            <v>0</v>
          </cell>
          <cell r="F1073">
            <v>0</v>
          </cell>
        </row>
        <row r="1074">
          <cell r="A1074" t="str">
            <v>110416</v>
          </cell>
          <cell r="B1074" t="str">
            <v>Forro de gesso acartonado (drywall)</v>
          </cell>
          <cell r="C1074" t="str">
            <v>m2</v>
          </cell>
          <cell r="D1074">
            <v>0</v>
          </cell>
          <cell r="E1074">
            <v>0</v>
          </cell>
          <cell r="F1074">
            <v>0</v>
          </cell>
        </row>
        <row r="1075">
          <cell r="A1075" t="str">
            <v>110417</v>
          </cell>
          <cell r="B1075" t="str">
            <v>Forro de PVC</v>
          </cell>
          <cell r="C1075" t="str">
            <v>m2</v>
          </cell>
          <cell r="D1075">
            <v>18.72</v>
          </cell>
          <cell r="E1075">
            <v>12.09</v>
          </cell>
          <cell r="F1075">
            <v>30.81</v>
          </cell>
        </row>
        <row r="1076">
          <cell r="A1076" t="str">
            <v>110418</v>
          </cell>
          <cell r="B1076" t="str">
            <v>Cimalha (meia cana) de madeira</v>
          </cell>
          <cell r="C1076" t="str">
            <v>m</v>
          </cell>
          <cell r="D1076">
            <v>3.75</v>
          </cell>
          <cell r="E1076">
            <v>1.37</v>
          </cell>
          <cell r="F1076">
            <v>5.12</v>
          </cell>
          <cell r="G1076">
            <v>84094</v>
          </cell>
        </row>
        <row r="1077">
          <cell r="A1077" t="str">
            <v>110419</v>
          </cell>
          <cell r="B1077" t="str">
            <v>Cimalha (meia cana) de PVC</v>
          </cell>
          <cell r="C1077" t="str">
            <v>m</v>
          </cell>
          <cell r="D1077">
            <v>3.75</v>
          </cell>
          <cell r="E1077">
            <v>4.33</v>
          </cell>
          <cell r="F1077">
            <v>8.08</v>
          </cell>
        </row>
        <row r="1078">
          <cell r="A1078" t="str">
            <v>110420</v>
          </cell>
          <cell r="B1078" t="str">
            <v>Testeira de madeira</v>
          </cell>
          <cell r="C1078" t="str">
            <v>m</v>
          </cell>
          <cell r="D1078">
            <v>3.75</v>
          </cell>
          <cell r="E1078">
            <v>1.74</v>
          </cell>
          <cell r="F1078">
            <v>5.49</v>
          </cell>
        </row>
        <row r="1079">
          <cell r="A1079" t="str">
            <v>1105</v>
          </cell>
          <cell r="B1079" t="str">
            <v>ESQUADRIA DE MADEIRA</v>
          </cell>
        </row>
        <row r="1080">
          <cell r="A1080" t="str">
            <v>110501</v>
          </cell>
          <cell r="B1080" t="str">
            <v>Porta de 1 folha lisa de 0,60 x 2,10 m</v>
          </cell>
          <cell r="C1080" t="str">
            <v>ud</v>
          </cell>
          <cell r="D1080">
            <v>133.36000000000001</v>
          </cell>
          <cell r="E1080">
            <v>374.74</v>
          </cell>
          <cell r="F1080">
            <v>508.1</v>
          </cell>
        </row>
        <row r="1081">
          <cell r="A1081" t="str">
            <v>110502</v>
          </cell>
          <cell r="B1081" t="str">
            <v>Porta de 1 folha lisa de 0,70 x 2,10 m</v>
          </cell>
          <cell r="C1081" t="str">
            <v>ud</v>
          </cell>
          <cell r="D1081">
            <v>133.36000000000001</v>
          </cell>
          <cell r="E1081">
            <v>394.25</v>
          </cell>
          <cell r="F1081">
            <v>527.61</v>
          </cell>
        </row>
        <row r="1082">
          <cell r="A1082" t="str">
            <v>110503</v>
          </cell>
          <cell r="B1082" t="str">
            <v>Porta de 1 folha lisa de 0,80 x 2,10 m</v>
          </cell>
          <cell r="C1082" t="str">
            <v>ud</v>
          </cell>
          <cell r="D1082">
            <v>133.36000000000001</v>
          </cell>
          <cell r="E1082">
            <v>387.78</v>
          </cell>
          <cell r="F1082">
            <v>521.14</v>
          </cell>
        </row>
        <row r="1083">
          <cell r="A1083" t="str">
            <v>110504</v>
          </cell>
          <cell r="B1083" t="str">
            <v>Porta de 1 folha almofadada de 0,80 x 2,10 m</v>
          </cell>
          <cell r="C1083" t="str">
            <v>ud</v>
          </cell>
          <cell r="D1083">
            <v>133.36000000000001</v>
          </cell>
          <cell r="E1083">
            <v>398.94</v>
          </cell>
          <cell r="F1083">
            <v>532.29999999999995</v>
          </cell>
        </row>
        <row r="1084">
          <cell r="A1084" t="str">
            <v>110505</v>
          </cell>
          <cell r="B1084" t="str">
            <v>Porta de 1 folha mexicana de 0,80 x 2,10 m</v>
          </cell>
          <cell r="C1084" t="str">
            <v>ud</v>
          </cell>
          <cell r="D1084">
            <v>133.36000000000001</v>
          </cell>
          <cell r="E1084">
            <v>935.69</v>
          </cell>
          <cell r="F1084">
            <v>1069.05</v>
          </cell>
        </row>
        <row r="1085">
          <cell r="A1085" t="str">
            <v>1106</v>
          </cell>
          <cell r="B1085" t="str">
            <v>ESQUADRIA DE FERRO OU AÇO</v>
          </cell>
        </row>
        <row r="1086">
          <cell r="A1086" t="str">
            <v>110601</v>
          </cell>
          <cell r="B1086" t="str">
            <v>Porta pré-fabricada em chapa estruturada de 0,80 x 2,10 m</v>
          </cell>
          <cell r="C1086" t="str">
            <v>ud</v>
          </cell>
          <cell r="D1086">
            <v>187.45</v>
          </cell>
          <cell r="E1086">
            <v>697.77</v>
          </cell>
          <cell r="F1086">
            <v>885.22</v>
          </cell>
        </row>
        <row r="1087">
          <cell r="A1087" t="str">
            <v>110602</v>
          </cell>
          <cell r="B1087" t="str">
            <v>Janela de correr em ferro</v>
          </cell>
          <cell r="C1087" t="str">
            <v>m2</v>
          </cell>
          <cell r="D1087">
            <v>0</v>
          </cell>
          <cell r="E1087">
            <v>0</v>
          </cell>
          <cell r="F1087">
            <v>0</v>
          </cell>
          <cell r="G1087" t="str">
            <v>73984/001</v>
          </cell>
        </row>
        <row r="1088">
          <cell r="A1088" t="str">
            <v>110603</v>
          </cell>
          <cell r="B1088" t="str">
            <v>Janela basculante em ferro</v>
          </cell>
          <cell r="C1088" t="str">
            <v>m2</v>
          </cell>
          <cell r="D1088">
            <v>0</v>
          </cell>
          <cell r="E1088">
            <v>0</v>
          </cell>
          <cell r="F1088">
            <v>0</v>
          </cell>
          <cell r="G1088">
            <v>6103</v>
          </cell>
        </row>
        <row r="1089">
          <cell r="A1089" t="str">
            <v>110604</v>
          </cell>
          <cell r="B1089" t="str">
            <v>Janela tipo máximo-ar em ferro</v>
          </cell>
          <cell r="C1089" t="str">
            <v>m2</v>
          </cell>
          <cell r="D1089">
            <v>0</v>
          </cell>
          <cell r="E1089">
            <v>0</v>
          </cell>
          <cell r="F1089">
            <v>0</v>
          </cell>
          <cell r="G1089" t="str">
            <v>73961/001</v>
          </cell>
        </row>
        <row r="1090">
          <cell r="A1090" t="str">
            <v>1107</v>
          </cell>
          <cell r="B1090" t="str">
            <v>ESQUADRIA DE ALUMINIO</v>
          </cell>
        </row>
        <row r="1091">
          <cell r="A1091" t="str">
            <v>110701</v>
          </cell>
          <cell r="B1091" t="str">
            <v>Janela máximo-ar linha 20 em alumínio anodizado</v>
          </cell>
          <cell r="C1091" t="str">
            <v>m2</v>
          </cell>
          <cell r="D1091">
            <v>80.3</v>
          </cell>
          <cell r="E1091">
            <v>356.28</v>
          </cell>
          <cell r="F1091">
            <v>436.58</v>
          </cell>
          <cell r="G1091" t="str">
            <v>73809/001</v>
          </cell>
        </row>
        <row r="1092">
          <cell r="A1092" t="str">
            <v>110702</v>
          </cell>
          <cell r="B1092" t="str">
            <v>Janela basculante linha 20 em alumínio anodizado</v>
          </cell>
          <cell r="C1092" t="str">
            <v>m2</v>
          </cell>
          <cell r="D1092">
            <v>80.3</v>
          </cell>
          <cell r="E1092">
            <v>235.87</v>
          </cell>
          <cell r="F1092">
            <v>316.17</v>
          </cell>
          <cell r="G1092">
            <v>68052</v>
          </cell>
        </row>
        <row r="1093">
          <cell r="A1093" t="str">
            <v>110703</v>
          </cell>
          <cell r="B1093" t="str">
            <v>Janela de correr linha 20 em alumínio anodizado</v>
          </cell>
          <cell r="C1093" t="str">
            <v>m2</v>
          </cell>
          <cell r="D1093">
            <v>80.3</v>
          </cell>
          <cell r="E1093">
            <v>311.76</v>
          </cell>
          <cell r="F1093">
            <v>392.06</v>
          </cell>
          <cell r="G1093" t="str">
            <v>74067/001</v>
          </cell>
        </row>
        <row r="1094">
          <cell r="A1094" t="str">
            <v>110704</v>
          </cell>
          <cell r="B1094" t="str">
            <v>Porta  tipo veneziana, de 0,80 m x 2,10 m linha 30 em alumínio anodizado</v>
          </cell>
          <cell r="C1094" t="str">
            <v>ud</v>
          </cell>
          <cell r="D1094">
            <v>122.11</v>
          </cell>
          <cell r="E1094">
            <v>1337.73</v>
          </cell>
          <cell r="F1094">
            <v>1459.84</v>
          </cell>
        </row>
        <row r="1095">
          <cell r="A1095" t="str">
            <v>110705</v>
          </cell>
          <cell r="B1095" t="str">
            <v>Janela máximo-ar linha 20 com pintura eletrostática epoxi</v>
          </cell>
          <cell r="C1095" t="str">
            <v>m2</v>
          </cell>
          <cell r="D1095">
            <v>0</v>
          </cell>
          <cell r="F1095">
            <v>0</v>
          </cell>
        </row>
        <row r="1096">
          <cell r="A1096" t="str">
            <v>110706</v>
          </cell>
          <cell r="B1096" t="str">
            <v>Janela basculante linha 20 com pintura eletrostática epoxi</v>
          </cell>
          <cell r="C1096" t="str">
            <v>m2</v>
          </cell>
          <cell r="D1096">
            <v>0</v>
          </cell>
          <cell r="F1096">
            <v>0</v>
          </cell>
        </row>
        <row r="1097">
          <cell r="A1097" t="str">
            <v>110707</v>
          </cell>
          <cell r="B1097" t="str">
            <v>Janela de correr linha 20 com pintura eletrostática epoxi</v>
          </cell>
          <cell r="C1097" t="str">
            <v>m2</v>
          </cell>
          <cell r="D1097">
            <v>0</v>
          </cell>
          <cell r="E1097">
            <v>0</v>
          </cell>
          <cell r="F1097">
            <v>0</v>
          </cell>
        </row>
        <row r="1098">
          <cell r="A1098" t="str">
            <v>110708</v>
          </cell>
          <cell r="B1098" t="str">
            <v>Porta tipo veneziana, de 0,80 x 2,10 m linha 30 com pintura eletrostática epoxi</v>
          </cell>
          <cell r="C1098" t="str">
            <v>ud</v>
          </cell>
          <cell r="D1098">
            <v>0</v>
          </cell>
          <cell r="F1098">
            <v>0</v>
          </cell>
        </row>
        <row r="1099">
          <cell r="A1099" t="str">
            <v>1108</v>
          </cell>
          <cell r="B1099" t="str">
            <v>VIDRO</v>
          </cell>
        </row>
        <row r="1100">
          <cell r="A1100" t="str">
            <v>110801</v>
          </cell>
          <cell r="B1100" t="str">
            <v>Liso transparente 3 mm</v>
          </cell>
          <cell r="C1100" t="str">
            <v>m2</v>
          </cell>
          <cell r="D1100">
            <v>0</v>
          </cell>
          <cell r="E1100">
            <v>95.06</v>
          </cell>
          <cell r="F1100">
            <v>95.06</v>
          </cell>
          <cell r="G1100">
            <v>72116</v>
          </cell>
        </row>
        <row r="1101">
          <cell r="A1101" t="str">
            <v>110802</v>
          </cell>
          <cell r="B1101" t="str">
            <v>Liso transparente 4 mm</v>
          </cell>
          <cell r="C1101" t="str">
            <v>m2</v>
          </cell>
          <cell r="D1101">
            <v>0</v>
          </cell>
          <cell r="E1101">
            <v>121</v>
          </cell>
          <cell r="F1101">
            <v>121</v>
          </cell>
          <cell r="G1101">
            <v>72117</v>
          </cell>
        </row>
        <row r="1102">
          <cell r="A1102" t="str">
            <v>110803</v>
          </cell>
          <cell r="B1102" t="str">
            <v>Liso transparente 5 mm</v>
          </cell>
          <cell r="C1102" t="str">
            <v>m2</v>
          </cell>
          <cell r="D1102">
            <v>0</v>
          </cell>
          <cell r="E1102">
            <v>121</v>
          </cell>
          <cell r="F1102">
            <v>121</v>
          </cell>
          <cell r="G1102">
            <v>72117</v>
          </cell>
        </row>
        <row r="1103">
          <cell r="A1103" t="str">
            <v>110804</v>
          </cell>
          <cell r="B1103" t="str">
            <v>Aramado</v>
          </cell>
          <cell r="C1103" t="str">
            <v>m2</v>
          </cell>
          <cell r="D1103">
            <v>0</v>
          </cell>
          <cell r="F1103">
            <v>0</v>
          </cell>
        </row>
        <row r="1104">
          <cell r="A1104" t="str">
            <v>110805</v>
          </cell>
          <cell r="B1104" t="str">
            <v>Fantasia (martelado, canelado, etc.)</v>
          </cell>
          <cell r="C1104" t="str">
            <v>m2</v>
          </cell>
          <cell r="D1104">
            <v>0</v>
          </cell>
          <cell r="E1104">
            <v>104.85</v>
          </cell>
          <cell r="F1104">
            <v>104.85</v>
          </cell>
          <cell r="G1104">
            <v>72122</v>
          </cell>
        </row>
        <row r="1105">
          <cell r="A1105" t="str">
            <v>1109</v>
          </cell>
          <cell r="B1105" t="str">
            <v>BOX PARA BANHEIRO</v>
          </cell>
        </row>
        <row r="1106">
          <cell r="A1106" t="str">
            <v>110901</v>
          </cell>
          <cell r="B1106" t="str">
            <v>Em acrílico</v>
          </cell>
          <cell r="C1106" t="str">
            <v>m2</v>
          </cell>
          <cell r="D1106">
            <v>0</v>
          </cell>
          <cell r="F1106">
            <v>0</v>
          </cell>
        </row>
        <row r="1107">
          <cell r="A1107" t="str">
            <v>12</v>
          </cell>
          <cell r="B1107" t="str">
            <v>REVESTIMENTO E TRATAMENTO DE SUPERFÍCIE</v>
          </cell>
        </row>
        <row r="1108">
          <cell r="A1108" t="str">
            <v>1201</v>
          </cell>
          <cell r="B1108" t="str">
            <v>PISO, SOLEIRA E DEGRAU</v>
          </cell>
        </row>
        <row r="1109">
          <cell r="A1109" t="str">
            <v>120101</v>
          </cell>
          <cell r="B1109" t="str">
            <v>Lastro de brita</v>
          </cell>
          <cell r="C1109" t="str">
            <v>m2</v>
          </cell>
          <cell r="D1109">
            <v>0.99</v>
          </cell>
          <cell r="E1109">
            <v>1.32</v>
          </cell>
          <cell r="F1109">
            <v>2.31</v>
          </cell>
        </row>
        <row r="1110">
          <cell r="A1110" t="str">
            <v>120102</v>
          </cell>
          <cell r="B1110" t="str">
            <v>Contrapiso em concreto não estrutural</v>
          </cell>
          <cell r="C1110" t="str">
            <v>m2</v>
          </cell>
          <cell r="D1110">
            <v>14.46</v>
          </cell>
          <cell r="E1110">
            <v>7.03</v>
          </cell>
          <cell r="F1110">
            <v>21.49</v>
          </cell>
          <cell r="G1110" t="str">
            <v>73907/003</v>
          </cell>
        </row>
        <row r="1111">
          <cell r="A1111" t="str">
            <v>120103</v>
          </cell>
          <cell r="B1111" t="str">
            <v xml:space="preserve">Camada de regularização com argamassa desempenada sem impermeabilizante </v>
          </cell>
          <cell r="C1111" t="str">
            <v>m3</v>
          </cell>
          <cell r="D1111">
            <v>618.97</v>
          </cell>
          <cell r="E1111">
            <v>264.75</v>
          </cell>
          <cell r="F1111">
            <v>883.72</v>
          </cell>
        </row>
        <row r="1112">
          <cell r="A1112" t="str">
            <v>120104</v>
          </cell>
          <cell r="B1112" t="str">
            <v xml:space="preserve">Camada de regularização com argamassa desempenada com impermeabilizante </v>
          </cell>
          <cell r="C1112" t="str">
            <v>m3</v>
          </cell>
          <cell r="D1112">
            <v>618.97</v>
          </cell>
          <cell r="E1112">
            <v>350.15</v>
          </cell>
          <cell r="F1112">
            <v>969.12</v>
          </cell>
        </row>
        <row r="1113">
          <cell r="A1113" t="str">
            <v>120105</v>
          </cell>
          <cell r="B1113" t="str">
            <v>Cimento alisado com corante</v>
          </cell>
          <cell r="C1113" t="str">
            <v>m2</v>
          </cell>
          <cell r="D1113">
            <v>5.26</v>
          </cell>
          <cell r="E1113">
            <v>1.06</v>
          </cell>
          <cell r="F1113">
            <v>6.32</v>
          </cell>
          <cell r="G1113">
            <v>73465</v>
          </cell>
        </row>
        <row r="1114">
          <cell r="A1114" t="str">
            <v>120106</v>
          </cell>
          <cell r="B1114" t="str">
            <v>Cimento alisado sem corante</v>
          </cell>
          <cell r="C1114" t="str">
            <v>m2</v>
          </cell>
          <cell r="D1114">
            <v>5.26</v>
          </cell>
          <cell r="E1114">
            <v>0.46</v>
          </cell>
          <cell r="F1114">
            <v>5.72</v>
          </cell>
          <cell r="G1114">
            <v>73465</v>
          </cell>
        </row>
        <row r="1115">
          <cell r="A1115" t="str">
            <v>120107</v>
          </cell>
          <cell r="B1115" t="str">
            <v>Piso cerâmico PEI-4</v>
          </cell>
          <cell r="C1115" t="str">
            <v>m2</v>
          </cell>
          <cell r="D1115">
            <v>29.99</v>
          </cell>
          <cell r="E1115">
            <v>19.3</v>
          </cell>
          <cell r="F1115">
            <v>49.29</v>
          </cell>
        </row>
        <row r="1116">
          <cell r="A1116" t="str">
            <v>120108</v>
          </cell>
          <cell r="B1116" t="str">
            <v>Piso cerâmico PEI-5</v>
          </cell>
          <cell r="C1116" t="str">
            <v>m2</v>
          </cell>
          <cell r="D1116">
            <v>29.99</v>
          </cell>
          <cell r="E1116">
            <v>19.3</v>
          </cell>
          <cell r="F1116">
            <v>49.29</v>
          </cell>
        </row>
        <row r="1117">
          <cell r="A1117" t="str">
            <v>120109</v>
          </cell>
          <cell r="B1117" t="str">
            <v>Piso vinílico em placa - e= 2,0 mm</v>
          </cell>
          <cell r="C1117" t="str">
            <v>m2</v>
          </cell>
          <cell r="D1117">
            <v>6.37</v>
          </cell>
          <cell r="E1117">
            <v>86.65</v>
          </cell>
          <cell r="F1117">
            <v>93.02</v>
          </cell>
          <cell r="G1117">
            <v>72185</v>
          </cell>
        </row>
        <row r="1118">
          <cell r="A1118" t="str">
            <v>120110</v>
          </cell>
          <cell r="B1118" t="str">
            <v>Piso vinílico em placa - e= 3,0 mm</v>
          </cell>
          <cell r="C1118" t="str">
            <v>m2</v>
          </cell>
          <cell r="D1118">
            <v>6.37</v>
          </cell>
          <cell r="E1118">
            <v>142.28</v>
          </cell>
          <cell r="F1118">
            <v>148.65</v>
          </cell>
        </row>
        <row r="1119">
          <cell r="A1119" t="str">
            <v>120111</v>
          </cell>
          <cell r="B1119" t="str">
            <v>Piso de borracha em placa pastilhada</v>
          </cell>
          <cell r="C1119" t="str">
            <v>m2</v>
          </cell>
          <cell r="D1119">
            <v>6.37</v>
          </cell>
          <cell r="E1119">
            <v>52.39</v>
          </cell>
          <cell r="F1119">
            <v>58.76</v>
          </cell>
          <cell r="G1119" t="str">
            <v>73876/001</v>
          </cell>
        </row>
        <row r="1120">
          <cell r="A1120" t="str">
            <v>120112</v>
          </cell>
          <cell r="B1120" t="str">
            <v>Piso de borracha em placa estriada</v>
          </cell>
          <cell r="C1120" t="str">
            <v>m2</v>
          </cell>
          <cell r="D1120">
            <v>7.15</v>
          </cell>
          <cell r="E1120">
            <v>72.319999999999993</v>
          </cell>
          <cell r="F1120">
            <v>79.47</v>
          </cell>
          <cell r="G1120">
            <v>84186</v>
          </cell>
        </row>
        <row r="1121">
          <cell r="A1121" t="str">
            <v>120113</v>
          </cell>
          <cell r="B1121" t="str">
            <v>Piso laminado</v>
          </cell>
          <cell r="C1121" t="str">
            <v>m2</v>
          </cell>
          <cell r="D1121">
            <v>0</v>
          </cell>
          <cell r="F1121">
            <v>0</v>
          </cell>
        </row>
        <row r="1122">
          <cell r="A1122" t="str">
            <v>120114</v>
          </cell>
          <cell r="B1122" t="str">
            <v>Piso laminado alto tráfego</v>
          </cell>
          <cell r="C1122" t="str">
            <v>m2</v>
          </cell>
          <cell r="D1122">
            <v>0</v>
          </cell>
          <cell r="F1122">
            <v>0</v>
          </cell>
        </row>
        <row r="1123">
          <cell r="A1123" t="str">
            <v>120115</v>
          </cell>
          <cell r="B1123" t="str">
            <v>Soleira / peitoril de granito larg &lt;= 15 cm</v>
          </cell>
          <cell r="C1123" t="str">
            <v>m</v>
          </cell>
          <cell r="D1123">
            <v>4.49</v>
          </cell>
          <cell r="E1123">
            <v>24.22</v>
          </cell>
          <cell r="F1123">
            <v>28.71</v>
          </cell>
          <cell r="G1123">
            <v>84161</v>
          </cell>
        </row>
        <row r="1124">
          <cell r="A1124" t="str">
            <v>120116</v>
          </cell>
          <cell r="B1124" t="str">
            <v>Soleira / peitoril de granito  15 cm &lt; larg &lt;= 20 cm</v>
          </cell>
          <cell r="C1124" t="str">
            <v>m</v>
          </cell>
          <cell r="D1124">
            <v>5.25</v>
          </cell>
          <cell r="E1124">
            <v>28.74</v>
          </cell>
          <cell r="F1124">
            <v>33.99</v>
          </cell>
          <cell r="G1124">
            <v>84161</v>
          </cell>
        </row>
        <row r="1125">
          <cell r="A1125" t="str">
            <v>1202</v>
          </cell>
          <cell r="B1125" t="str">
            <v>RODAPÉ</v>
          </cell>
        </row>
        <row r="1126">
          <cell r="A1126" t="str">
            <v>120201</v>
          </cell>
          <cell r="B1126" t="str">
            <v>De madeira - h= 5 cm</v>
          </cell>
          <cell r="C1126" t="str">
            <v>m</v>
          </cell>
          <cell r="D1126">
            <v>5.63</v>
          </cell>
          <cell r="E1126">
            <v>7.07</v>
          </cell>
          <cell r="F1126">
            <v>12.7</v>
          </cell>
          <cell r="G1126" t="str">
            <v>73886/001</v>
          </cell>
        </row>
        <row r="1127">
          <cell r="A1127" t="str">
            <v>120202</v>
          </cell>
          <cell r="B1127" t="str">
            <v>De madeira - h= 7 cm</v>
          </cell>
          <cell r="C1127" t="str">
            <v>m</v>
          </cell>
          <cell r="D1127">
            <v>5.63</v>
          </cell>
          <cell r="E1127">
            <v>7.07</v>
          </cell>
          <cell r="F1127">
            <v>12.7</v>
          </cell>
          <cell r="G1127" t="str">
            <v>73886/001</v>
          </cell>
        </row>
        <row r="1128">
          <cell r="A1128" t="str">
            <v>120203</v>
          </cell>
          <cell r="B1128" t="str">
            <v>Cerâmico</v>
          </cell>
          <cell r="C1128" t="str">
            <v>m</v>
          </cell>
          <cell r="D1128">
            <v>2.71</v>
          </cell>
          <cell r="E1128">
            <v>1.66</v>
          </cell>
          <cell r="F1128">
            <v>4.37</v>
          </cell>
          <cell r="G1128">
            <v>88648</v>
          </cell>
        </row>
        <row r="1129">
          <cell r="A1129" t="str">
            <v>120204</v>
          </cell>
          <cell r="B1129" t="str">
            <v>Vinílico - h= 5 cm</v>
          </cell>
          <cell r="C1129" t="str">
            <v>m</v>
          </cell>
          <cell r="D1129">
            <v>1.47</v>
          </cell>
          <cell r="E1129">
            <v>19.79</v>
          </cell>
          <cell r="F1129">
            <v>21.26</v>
          </cell>
          <cell r="G1129">
            <v>72189</v>
          </cell>
        </row>
        <row r="1130">
          <cell r="A1130" t="str">
            <v>120205</v>
          </cell>
          <cell r="B1130" t="str">
            <v>Vinílico - h= 7,5 cm</v>
          </cell>
          <cell r="C1130" t="str">
            <v>m</v>
          </cell>
          <cell r="D1130">
            <v>1.47</v>
          </cell>
          <cell r="E1130">
            <v>9.19</v>
          </cell>
          <cell r="F1130">
            <v>10.66</v>
          </cell>
          <cell r="G1130">
            <v>72189</v>
          </cell>
        </row>
        <row r="1131">
          <cell r="A1131" t="str">
            <v>1203</v>
          </cell>
          <cell r="B1131" t="str">
            <v>PAREDE, TETO E BEIRAL</v>
          </cell>
        </row>
        <row r="1132">
          <cell r="A1132" t="str">
            <v>120301</v>
          </cell>
          <cell r="B1132" t="str">
            <v>Chapisco fino, traço 1:3 em parede</v>
          </cell>
          <cell r="C1132" t="str">
            <v>m2</v>
          </cell>
          <cell r="D1132">
            <v>2.74</v>
          </cell>
          <cell r="E1132">
            <v>0.64</v>
          </cell>
          <cell r="F1132">
            <v>3.38</v>
          </cell>
          <cell r="G1132">
            <v>87878</v>
          </cell>
        </row>
        <row r="1133">
          <cell r="A1133" t="str">
            <v>120302</v>
          </cell>
          <cell r="B1133" t="str">
            <v>Chapisco fino, traço 1:3 em teto e beiral</v>
          </cell>
          <cell r="C1133" t="str">
            <v>m2</v>
          </cell>
          <cell r="D1133">
            <v>2.84</v>
          </cell>
          <cell r="E1133">
            <v>0.54</v>
          </cell>
          <cell r="F1133">
            <v>3.38</v>
          </cell>
          <cell r="G1133">
            <v>87878</v>
          </cell>
        </row>
        <row r="1134">
          <cell r="A1134" t="str">
            <v>120303</v>
          </cell>
          <cell r="B1134" t="str">
            <v>Chapisco grosso, traço 1:3 em parede</v>
          </cell>
          <cell r="C1134" t="str">
            <v>m2</v>
          </cell>
          <cell r="D1134">
            <v>2.91</v>
          </cell>
          <cell r="E1134">
            <v>0.47</v>
          </cell>
          <cell r="F1134">
            <v>3.38</v>
          </cell>
          <cell r="G1134">
            <v>87878</v>
          </cell>
        </row>
        <row r="1135">
          <cell r="A1135" t="str">
            <v>120304</v>
          </cell>
          <cell r="B1135" t="str">
            <v>Chapisco grosso, traço 1:3 em teto e beiral</v>
          </cell>
          <cell r="C1135" t="str">
            <v>m2</v>
          </cell>
          <cell r="D1135">
            <v>3.01</v>
          </cell>
          <cell r="E1135">
            <v>0.37</v>
          </cell>
          <cell r="F1135">
            <v>3.38</v>
          </cell>
          <cell r="G1135">
            <v>87878</v>
          </cell>
        </row>
        <row r="1136">
          <cell r="A1136" t="str">
            <v>120305</v>
          </cell>
          <cell r="B1136" t="str">
            <v>Chapisco fino, traço 1:2 com impermeabilizante em parede</v>
          </cell>
          <cell r="C1136" t="str">
            <v>m2</v>
          </cell>
          <cell r="D1136">
            <v>11.99</v>
          </cell>
          <cell r="E1136">
            <v>2.15</v>
          </cell>
          <cell r="F1136">
            <v>14.14</v>
          </cell>
        </row>
        <row r="1137">
          <cell r="A1137" t="str">
            <v>120306</v>
          </cell>
          <cell r="B1137" t="str">
            <v>Chapisco fino, traço 1:2 com impermeabilizante em teto e beiral</v>
          </cell>
          <cell r="C1137" t="str">
            <v>m2</v>
          </cell>
          <cell r="D1137">
            <v>15.37</v>
          </cell>
          <cell r="E1137">
            <v>2.15</v>
          </cell>
          <cell r="F1137">
            <v>17.52</v>
          </cell>
        </row>
        <row r="1138">
          <cell r="A1138" t="str">
            <v>120307</v>
          </cell>
          <cell r="B1138" t="str">
            <v>Emboço, traço 1:3:8 em parede</v>
          </cell>
          <cell r="C1138" t="str">
            <v>m2</v>
          </cell>
          <cell r="D1138">
            <v>27.01</v>
          </cell>
          <cell r="E1138">
            <v>3.34</v>
          </cell>
          <cell r="F1138">
            <v>30.35</v>
          </cell>
          <cell r="G1138">
            <v>87528</v>
          </cell>
        </row>
        <row r="1139">
          <cell r="A1139" t="str">
            <v>120308</v>
          </cell>
          <cell r="B1139" t="str">
            <v>Emboço, traço 1:3:8 em teto e beiral</v>
          </cell>
          <cell r="C1139" t="str">
            <v>m2</v>
          </cell>
          <cell r="D1139">
            <v>27.62</v>
          </cell>
          <cell r="E1139">
            <v>2.73</v>
          </cell>
          <cell r="F1139">
            <v>30.35</v>
          </cell>
          <cell r="G1139">
            <v>87528</v>
          </cell>
        </row>
        <row r="1140">
          <cell r="A1140" t="str">
            <v>120309</v>
          </cell>
          <cell r="B1140" t="str">
            <v>Emboço, traço 1:3 em parede</v>
          </cell>
          <cell r="C1140" t="str">
            <v>m2</v>
          </cell>
          <cell r="D1140">
            <v>27.92</v>
          </cell>
          <cell r="E1140">
            <v>4.55</v>
          </cell>
          <cell r="F1140">
            <v>32.47</v>
          </cell>
          <cell r="G1140">
            <v>84027</v>
          </cell>
        </row>
        <row r="1141">
          <cell r="A1141" t="str">
            <v>120310</v>
          </cell>
          <cell r="B1141" t="str">
            <v>Emboço, traço 1:3 em teto e beiral</v>
          </cell>
          <cell r="C1141" t="str">
            <v>m2</v>
          </cell>
          <cell r="D1141">
            <v>28.9</v>
          </cell>
          <cell r="E1141">
            <v>3.57</v>
          </cell>
          <cell r="F1141">
            <v>32.47</v>
          </cell>
          <cell r="G1141">
            <v>84027</v>
          </cell>
        </row>
        <row r="1142">
          <cell r="A1142" t="str">
            <v>120311</v>
          </cell>
          <cell r="B1142" t="str">
            <v>Emboço, traço 1:3 com impermeabilizante em parede</v>
          </cell>
          <cell r="C1142" t="str">
            <v>m2</v>
          </cell>
          <cell r="D1142">
            <v>28.59</v>
          </cell>
          <cell r="E1142">
            <v>4.2699999999999996</v>
          </cell>
          <cell r="F1142">
            <v>32.86</v>
          </cell>
          <cell r="G1142">
            <v>84072</v>
          </cell>
        </row>
        <row r="1143">
          <cell r="A1143" t="str">
            <v>120312</v>
          </cell>
          <cell r="B1143" t="str">
            <v>Emboço, traço 1:3 com impermeabilizante em teto e beiral</v>
          </cell>
          <cell r="C1143" t="str">
            <v>m2</v>
          </cell>
          <cell r="D1143">
            <v>29.25</v>
          </cell>
          <cell r="E1143">
            <v>3.61</v>
          </cell>
          <cell r="F1143">
            <v>32.86</v>
          </cell>
          <cell r="G1143">
            <v>84072</v>
          </cell>
        </row>
        <row r="1144">
          <cell r="A1144" t="str">
            <v>120313</v>
          </cell>
          <cell r="B1144" t="str">
            <v>Reboco (calfino) em parede</v>
          </cell>
          <cell r="C1144" t="str">
            <v>m2</v>
          </cell>
          <cell r="D1144">
            <v>20.82</v>
          </cell>
          <cell r="E1144">
            <v>0.71</v>
          </cell>
          <cell r="F1144">
            <v>21.53</v>
          </cell>
          <cell r="G1144">
            <v>75481</v>
          </cell>
        </row>
        <row r="1145">
          <cell r="A1145" t="str">
            <v>120314</v>
          </cell>
          <cell r="B1145" t="str">
            <v>Reboco (calfino) em teto e beiral</v>
          </cell>
          <cell r="C1145" t="str">
            <v>m2</v>
          </cell>
          <cell r="D1145">
            <v>26.06</v>
          </cell>
          <cell r="E1145">
            <v>0.71</v>
          </cell>
          <cell r="F1145">
            <v>26.77</v>
          </cell>
          <cell r="G1145">
            <v>75481</v>
          </cell>
        </row>
        <row r="1146">
          <cell r="A1146" t="str">
            <v>120315</v>
          </cell>
          <cell r="B1146" t="str">
            <v>Azulejo</v>
          </cell>
          <cell r="C1146" t="str">
            <v>m2</v>
          </cell>
          <cell r="D1146">
            <v>29.95</v>
          </cell>
          <cell r="E1146">
            <v>23.26</v>
          </cell>
          <cell r="F1146">
            <v>53.21</v>
          </cell>
        </row>
        <row r="1147">
          <cell r="A1147" t="str">
            <v>120316</v>
          </cell>
          <cell r="B1147" t="str">
            <v>Revestimento cerâmico de fachadas 10 x 10 cm</v>
          </cell>
          <cell r="C1147" t="str">
            <v>m2</v>
          </cell>
          <cell r="D1147">
            <v>70.790000000000006</v>
          </cell>
          <cell r="E1147">
            <v>70.78</v>
          </cell>
          <cell r="F1147">
            <v>141.57</v>
          </cell>
          <cell r="G1147">
            <v>88787</v>
          </cell>
        </row>
        <row r="1148">
          <cell r="A1148" t="str">
            <v>120317</v>
          </cell>
          <cell r="B1148" t="str">
            <v>Revestimento cerâmico de fachadas 5 x 5 cm</v>
          </cell>
          <cell r="C1148" t="str">
            <v>m2</v>
          </cell>
          <cell r="D1148">
            <v>37.44</v>
          </cell>
          <cell r="E1148">
            <v>71.040000000000006</v>
          </cell>
          <cell r="F1148">
            <v>108.48</v>
          </cell>
        </row>
        <row r="1149">
          <cell r="A1149" t="str">
            <v>1204</v>
          </cell>
          <cell r="B1149" t="str">
            <v>PINTURA</v>
          </cell>
        </row>
        <row r="1150">
          <cell r="A1150" t="str">
            <v>120401</v>
          </cell>
          <cell r="B1150" t="str">
            <v>Raspagem, lixamento e limpeza</v>
          </cell>
          <cell r="C1150" t="str">
            <v>m2</v>
          </cell>
          <cell r="D1150">
            <v>3.28</v>
          </cell>
          <cell r="E1150">
            <v>0</v>
          </cell>
          <cell r="F1150">
            <v>3.28</v>
          </cell>
          <cell r="G1150">
            <v>72125</v>
          </cell>
        </row>
        <row r="1151">
          <cell r="A1151" t="str">
            <v>120402</v>
          </cell>
          <cell r="B1151" t="str">
            <v xml:space="preserve">Emassamento com massa acrílica </v>
          </cell>
          <cell r="C1151" t="str">
            <v>m2</v>
          </cell>
          <cell r="D1151">
            <v>5.74</v>
          </cell>
          <cell r="E1151">
            <v>3.76</v>
          </cell>
          <cell r="F1151">
            <v>9.5</v>
          </cell>
        </row>
        <row r="1152">
          <cell r="A1152" t="str">
            <v>120403</v>
          </cell>
          <cell r="B1152" t="str">
            <v>Emassamento com massa vinílica</v>
          </cell>
          <cell r="C1152" t="str">
            <v>m2</v>
          </cell>
          <cell r="D1152">
            <v>5.84</v>
          </cell>
          <cell r="E1152">
            <v>3.15</v>
          </cell>
          <cell r="F1152">
            <v>8.99</v>
          </cell>
          <cell r="G1152">
            <v>88495</v>
          </cell>
        </row>
        <row r="1153">
          <cell r="A1153" t="str">
            <v>120404</v>
          </cell>
          <cell r="B1153" t="str">
            <v>Emassamento com massa a óleo</v>
          </cell>
          <cell r="C1153" t="str">
            <v>m2</v>
          </cell>
          <cell r="D1153">
            <v>5.74</v>
          </cell>
          <cell r="E1153">
            <v>5.91</v>
          </cell>
          <cell r="F1153">
            <v>11.65</v>
          </cell>
          <cell r="G1153" t="str">
            <v>74133/001</v>
          </cell>
        </row>
        <row r="1154">
          <cell r="A1154" t="str">
            <v>120405</v>
          </cell>
          <cell r="B1154" t="str">
            <v>Remoção de pintura</v>
          </cell>
          <cell r="C1154" t="str">
            <v>m2</v>
          </cell>
          <cell r="D1154">
            <v>5.74</v>
          </cell>
          <cell r="E1154">
            <v>0</v>
          </cell>
          <cell r="F1154">
            <v>5.74</v>
          </cell>
          <cell r="G1154">
            <v>72125</v>
          </cell>
        </row>
        <row r="1155">
          <cell r="A1155" t="str">
            <v>120406</v>
          </cell>
          <cell r="B1155" t="str">
            <v>Hidrojateamento</v>
          </cell>
          <cell r="C1155" t="str">
            <v>m2</v>
          </cell>
          <cell r="D1155">
            <v>3.34</v>
          </cell>
          <cell r="E1155">
            <v>0</v>
          </cell>
          <cell r="F1155">
            <v>3.34</v>
          </cell>
          <cell r="G1155" t="str">
            <v>73806/001</v>
          </cell>
        </row>
        <row r="1156">
          <cell r="A1156" t="str">
            <v>120407</v>
          </cell>
          <cell r="B1156" t="str">
            <v>Jateamento com granalha</v>
          </cell>
          <cell r="C1156" t="str">
            <v>m2</v>
          </cell>
          <cell r="D1156">
            <v>0</v>
          </cell>
          <cell r="F1156">
            <v>0</v>
          </cell>
        </row>
        <row r="1157">
          <cell r="A1157" t="str">
            <v>120408</v>
          </cell>
          <cell r="B1157" t="str">
            <v>Tratamento de trincas com massa elástica</v>
          </cell>
          <cell r="C1157" t="str">
            <v>m</v>
          </cell>
          <cell r="D1157">
            <v>14.05</v>
          </cell>
          <cell r="E1157">
            <v>15.44</v>
          </cell>
          <cell r="F1157">
            <v>29.49</v>
          </cell>
        </row>
        <row r="1158">
          <cell r="A1158" t="str">
            <v>120409</v>
          </cell>
          <cell r="B1158" t="str">
            <v>Tratamento de trincas com tela</v>
          </cell>
          <cell r="C1158" t="str">
            <v>m</v>
          </cell>
          <cell r="D1158">
            <v>14.09</v>
          </cell>
          <cell r="E1158">
            <v>0.47</v>
          </cell>
          <cell r="F1158">
            <v>14.56</v>
          </cell>
        </row>
        <row r="1159">
          <cell r="A1159" t="str">
            <v>120410</v>
          </cell>
          <cell r="B1159" t="str">
            <v>Fundo com selador (alvenaria de tijolos)</v>
          </cell>
          <cell r="C1159" t="str">
            <v>m2</v>
          </cell>
          <cell r="D1159">
            <v>2.08</v>
          </cell>
          <cell r="E1159">
            <v>0.49</v>
          </cell>
          <cell r="F1159">
            <v>2.57</v>
          </cell>
          <cell r="G1159">
            <v>88483</v>
          </cell>
        </row>
        <row r="1160">
          <cell r="A1160" t="str">
            <v>120411</v>
          </cell>
          <cell r="B1160" t="str">
            <v>Fundo com selador acrílico (alvenaria de tijolos)</v>
          </cell>
          <cell r="C1160" t="str">
            <v>m2</v>
          </cell>
          <cell r="D1160">
            <v>1.71</v>
          </cell>
          <cell r="E1160">
            <v>0.3</v>
          </cell>
          <cell r="F1160">
            <v>2.0099999999999998</v>
          </cell>
          <cell r="G1160">
            <v>88485</v>
          </cell>
        </row>
        <row r="1161">
          <cell r="A1161" t="str">
            <v>120412</v>
          </cell>
          <cell r="B1161" t="str">
            <v>Fundo com primer antiferruginoso (ferro e aço)</v>
          </cell>
          <cell r="C1161" t="str">
            <v>m2</v>
          </cell>
          <cell r="D1161">
            <v>3.96</v>
          </cell>
          <cell r="E1161">
            <v>1.77</v>
          </cell>
          <cell r="F1161">
            <v>5.73</v>
          </cell>
          <cell r="G1161" t="str">
            <v>74064/002</v>
          </cell>
        </row>
        <row r="1162">
          <cell r="A1162" t="str">
            <v>120413</v>
          </cell>
          <cell r="B1162" t="str">
            <v>Fundo com primer de aderência (ferro galvanizado)</v>
          </cell>
          <cell r="C1162" t="str">
            <v>m2</v>
          </cell>
          <cell r="D1162">
            <v>3.71</v>
          </cell>
          <cell r="E1162">
            <v>2.2799999999999998</v>
          </cell>
          <cell r="F1162">
            <v>5.99</v>
          </cell>
          <cell r="G1162">
            <v>84660</v>
          </cell>
        </row>
        <row r="1163">
          <cell r="A1163" t="str">
            <v>120414</v>
          </cell>
          <cell r="B1163" t="str">
            <v>Fundo epóxi</v>
          </cell>
          <cell r="C1163" t="str">
            <v>m2</v>
          </cell>
          <cell r="D1163">
            <v>5.01</v>
          </cell>
          <cell r="E1163">
            <v>3.72</v>
          </cell>
          <cell r="F1163">
            <v>8.73</v>
          </cell>
          <cell r="G1163" t="str">
            <v>73865/001</v>
          </cell>
        </row>
        <row r="1164">
          <cell r="A1164" t="str">
            <v>120415</v>
          </cell>
          <cell r="B1164" t="str">
            <v>Fundo com base fenólica (tijolo à vista ou concreto)</v>
          </cell>
          <cell r="C1164" t="str">
            <v>m2</v>
          </cell>
          <cell r="D1164">
            <v>9.19</v>
          </cell>
          <cell r="E1164">
            <v>1.98</v>
          </cell>
          <cell r="F1164">
            <v>11.17</v>
          </cell>
        </row>
        <row r="1165">
          <cell r="A1165" t="str">
            <v>120416</v>
          </cell>
          <cell r="B1165" t="str">
            <v>Fundo com selador plástico (madeira)</v>
          </cell>
          <cell r="C1165" t="str">
            <v>m2</v>
          </cell>
          <cell r="D1165">
            <v>9.19</v>
          </cell>
          <cell r="E1165">
            <v>4.91</v>
          </cell>
          <cell r="F1165">
            <v>14.1</v>
          </cell>
          <cell r="G1165">
            <v>84658</v>
          </cell>
        </row>
        <row r="1166">
          <cell r="A1166" t="str">
            <v>120417</v>
          </cell>
          <cell r="B1166" t="str">
            <v>Látex PVA</v>
          </cell>
          <cell r="C1166" t="str">
            <v>m2</v>
          </cell>
          <cell r="D1166">
            <v>6.05</v>
          </cell>
          <cell r="E1166">
            <v>2.0099999999999998</v>
          </cell>
          <cell r="F1166">
            <v>8.06</v>
          </cell>
          <cell r="G1166">
            <v>88487</v>
          </cell>
        </row>
        <row r="1167">
          <cell r="A1167" t="str">
            <v>120418</v>
          </cell>
          <cell r="B1167" t="str">
            <v>Látex acrílico - cores de catálogo</v>
          </cell>
          <cell r="C1167" t="str">
            <v>m2</v>
          </cell>
          <cell r="D1167">
            <v>7.43</v>
          </cell>
          <cell r="E1167">
            <v>2.89</v>
          </cell>
          <cell r="F1167">
            <v>10.32</v>
          </cell>
          <cell r="G1167">
            <v>88489</v>
          </cell>
        </row>
        <row r="1168">
          <cell r="A1168" t="str">
            <v>120419</v>
          </cell>
          <cell r="B1168" t="str">
            <v>Látex acrílico - azul claro padrão Sanepar</v>
          </cell>
          <cell r="C1168" t="str">
            <v>m2</v>
          </cell>
          <cell r="D1168">
            <v>5.88</v>
          </cell>
          <cell r="E1168">
            <v>4.4400000000000004</v>
          </cell>
          <cell r="F1168">
            <v>10.32</v>
          </cell>
          <cell r="G1168">
            <v>88489</v>
          </cell>
        </row>
        <row r="1169">
          <cell r="A1169" t="str">
            <v>120420</v>
          </cell>
          <cell r="B1169" t="str">
            <v>Látex acrílico - azul escuro padrão Sanepar</v>
          </cell>
          <cell r="C1169" t="str">
            <v>m2</v>
          </cell>
          <cell r="D1169">
            <v>5.88</v>
          </cell>
          <cell r="E1169">
            <v>4.4400000000000004</v>
          </cell>
          <cell r="F1169">
            <v>10.32</v>
          </cell>
          <cell r="G1169">
            <v>88489</v>
          </cell>
        </row>
        <row r="1170">
          <cell r="A1170" t="str">
            <v>120421</v>
          </cell>
          <cell r="B1170" t="str">
            <v>Látex acrílico para piso</v>
          </cell>
          <cell r="C1170" t="str">
            <v>m2</v>
          </cell>
          <cell r="D1170">
            <v>8.2200000000000006</v>
          </cell>
          <cell r="E1170">
            <v>2.13</v>
          </cell>
          <cell r="F1170">
            <v>10.35</v>
          </cell>
          <cell r="G1170" t="str">
            <v>74245/001</v>
          </cell>
        </row>
        <row r="1171">
          <cell r="A1171" t="str">
            <v>120422</v>
          </cell>
          <cell r="B1171" t="str">
            <v>Esmalte sintético</v>
          </cell>
          <cell r="C1171" t="str">
            <v>m2</v>
          </cell>
          <cell r="D1171">
            <v>10.02</v>
          </cell>
          <cell r="E1171">
            <v>2.85</v>
          </cell>
          <cell r="F1171">
            <v>12.87</v>
          </cell>
          <cell r="G1171" t="str">
            <v>73924/001</v>
          </cell>
        </row>
        <row r="1172">
          <cell r="A1172" t="str">
            <v>120423</v>
          </cell>
          <cell r="B1172" t="str">
            <v>Esmalte epóxi</v>
          </cell>
          <cell r="C1172" t="str">
            <v>m2</v>
          </cell>
          <cell r="D1172">
            <v>10.02</v>
          </cell>
          <cell r="E1172">
            <v>15.25</v>
          </cell>
          <cell r="F1172">
            <v>25.27</v>
          </cell>
        </row>
        <row r="1173">
          <cell r="A1173" t="str">
            <v>120424</v>
          </cell>
          <cell r="B1173" t="str">
            <v>Óleo</v>
          </cell>
          <cell r="C1173" t="str">
            <v>m2</v>
          </cell>
          <cell r="D1173">
            <v>10.02</v>
          </cell>
          <cell r="E1173">
            <v>3.09</v>
          </cell>
          <cell r="F1173">
            <v>13.11</v>
          </cell>
          <cell r="G1173">
            <v>79464</v>
          </cell>
        </row>
        <row r="1174">
          <cell r="A1174" t="str">
            <v>120425</v>
          </cell>
          <cell r="B1174" t="str">
            <v>Verniz sintético</v>
          </cell>
          <cell r="C1174" t="str">
            <v>m2</v>
          </cell>
          <cell r="D1174">
            <v>12.85</v>
          </cell>
          <cell r="E1174">
            <v>4.0599999999999996</v>
          </cell>
          <cell r="F1174">
            <v>16.91</v>
          </cell>
          <cell r="G1174">
            <v>84645</v>
          </cell>
        </row>
        <row r="1175">
          <cell r="A1175" t="str">
            <v>120426</v>
          </cell>
          <cell r="B1175" t="str">
            <v>Verniz sintético com filtro solar</v>
          </cell>
          <cell r="C1175" t="str">
            <v>m2</v>
          </cell>
          <cell r="D1175">
            <v>9.19</v>
          </cell>
          <cell r="E1175">
            <v>2.93</v>
          </cell>
          <cell r="F1175">
            <v>12.12</v>
          </cell>
          <cell r="G1175">
            <v>79466</v>
          </cell>
        </row>
        <row r="1176">
          <cell r="A1176" t="str">
            <v>120427</v>
          </cell>
          <cell r="B1176" t="str">
            <v>Grafite</v>
          </cell>
          <cell r="C1176" t="str">
            <v>m2</v>
          </cell>
          <cell r="D1176">
            <v>16.09</v>
          </cell>
          <cell r="E1176">
            <v>3.06</v>
          </cell>
          <cell r="F1176">
            <v>19.149999999999999</v>
          </cell>
          <cell r="G1176">
            <v>73446</v>
          </cell>
        </row>
        <row r="1177">
          <cell r="A1177" t="str">
            <v>120428</v>
          </cell>
          <cell r="B1177" t="str">
            <v>Demarcação - tráfego leve</v>
          </cell>
          <cell r="C1177" t="str">
            <v>m2</v>
          </cell>
          <cell r="D1177">
            <v>16.239999999999998</v>
          </cell>
          <cell r="E1177">
            <v>3.56</v>
          </cell>
          <cell r="F1177">
            <v>19.8</v>
          </cell>
          <cell r="G1177">
            <v>84665</v>
          </cell>
        </row>
        <row r="1178">
          <cell r="A1178" t="str">
            <v>120429</v>
          </cell>
          <cell r="B1178" t="str">
            <v>Demarcação - tráfego intenso</v>
          </cell>
          <cell r="C1178" t="str">
            <v>m2</v>
          </cell>
          <cell r="D1178">
            <v>16.239999999999998</v>
          </cell>
          <cell r="E1178">
            <v>3.56</v>
          </cell>
          <cell r="F1178">
            <v>19.8</v>
          </cell>
          <cell r="G1178">
            <v>84665</v>
          </cell>
        </row>
        <row r="1179">
          <cell r="A1179" t="str">
            <v>120430</v>
          </cell>
          <cell r="B1179" t="str">
            <v>Símbolo de cadeirante</v>
          </cell>
          <cell r="C1179" t="str">
            <v>ud</v>
          </cell>
          <cell r="D1179">
            <v>37.36</v>
          </cell>
          <cell r="E1179">
            <v>11.45</v>
          </cell>
          <cell r="F1179">
            <v>48.81</v>
          </cell>
        </row>
        <row r="1180">
          <cell r="A1180" t="str">
            <v>1205</v>
          </cell>
          <cell r="B1180" t="str">
            <v>REVESTIMENTO ESPECIAL</v>
          </cell>
        </row>
        <row r="1181">
          <cell r="A1181" t="str">
            <v>120501</v>
          </cell>
          <cell r="B1181" t="str">
            <v>Textura base</v>
          </cell>
          <cell r="C1181" t="str">
            <v>m2</v>
          </cell>
          <cell r="D1181">
            <v>9.34</v>
          </cell>
          <cell r="E1181">
            <v>7.31</v>
          </cell>
          <cell r="F1181">
            <v>16.649999999999999</v>
          </cell>
        </row>
        <row r="1182">
          <cell r="A1182" t="str">
            <v>120502</v>
          </cell>
          <cell r="B1182" t="str">
            <v>Textura colorida</v>
          </cell>
          <cell r="C1182" t="str">
            <v>m2</v>
          </cell>
          <cell r="D1182">
            <v>9.34</v>
          </cell>
          <cell r="E1182">
            <v>8.07</v>
          </cell>
          <cell r="F1182">
            <v>17.41</v>
          </cell>
        </row>
        <row r="1183">
          <cell r="A1183" t="str">
            <v>120503</v>
          </cell>
          <cell r="B1183" t="str">
            <v>Grafiato</v>
          </cell>
          <cell r="C1183" t="str">
            <v>m2</v>
          </cell>
          <cell r="D1183">
            <v>11.21</v>
          </cell>
          <cell r="E1183">
            <v>15.48</v>
          </cell>
          <cell r="F1183">
            <v>26.69</v>
          </cell>
        </row>
        <row r="1184">
          <cell r="A1184" t="str">
            <v>1206</v>
          </cell>
          <cell r="B1184" t="str">
            <v>IMPERMEABILIZAÇÃO</v>
          </cell>
        </row>
        <row r="1185">
          <cell r="A1185" t="str">
            <v>120601</v>
          </cell>
          <cell r="B1185" t="str">
            <v>Manta asfáltica 3 mm, com véu de fibra de vidro</v>
          </cell>
          <cell r="C1185" t="str">
            <v>m2</v>
          </cell>
          <cell r="D1185">
            <v>12.86</v>
          </cell>
          <cell r="E1185">
            <v>24.09</v>
          </cell>
          <cell r="F1185">
            <v>36.950000000000003</v>
          </cell>
        </row>
        <row r="1186">
          <cell r="A1186" t="str">
            <v>120602</v>
          </cell>
          <cell r="B1186" t="str">
            <v>Manta asfáltica 4 mm, com véu de fibra de vidro</v>
          </cell>
          <cell r="C1186" t="str">
            <v>m2</v>
          </cell>
          <cell r="D1186">
            <v>12.86</v>
          </cell>
          <cell r="E1186">
            <v>34.86</v>
          </cell>
          <cell r="F1186">
            <v>47.72</v>
          </cell>
        </row>
        <row r="1187">
          <cell r="A1187" t="str">
            <v>120603</v>
          </cell>
          <cell r="B1187" t="str">
            <v>Emulsão de asfalto (hidroasfalto)</v>
          </cell>
          <cell r="C1187" t="str">
            <v>m2</v>
          </cell>
          <cell r="D1187">
            <v>8.42</v>
          </cell>
          <cell r="E1187">
            <v>4</v>
          </cell>
          <cell r="F1187">
            <v>12.42</v>
          </cell>
          <cell r="G1187">
            <v>83742</v>
          </cell>
        </row>
        <row r="1188">
          <cell r="A1188" t="str">
            <v>13</v>
          </cell>
          <cell r="B1188" t="str">
            <v>INSTALAÇÕES PREDIAIS</v>
          </cell>
        </row>
        <row r="1189">
          <cell r="A1189" t="str">
            <v>1301</v>
          </cell>
          <cell r="B1189" t="str">
            <v>ÁGUA</v>
          </cell>
        </row>
        <row r="1190">
          <cell r="A1190" t="str">
            <v>130101</v>
          </cell>
          <cell r="B1190" t="str">
            <v>Entrada de água em PVC diam. 20 mm</v>
          </cell>
          <cell r="C1190" t="str">
            <v>m</v>
          </cell>
          <cell r="D1190">
            <v>1.35</v>
          </cell>
          <cell r="E1190">
            <v>2.14</v>
          </cell>
          <cell r="F1190">
            <v>3.49</v>
          </cell>
        </row>
        <row r="1191">
          <cell r="A1191" t="str">
            <v>130102</v>
          </cell>
          <cell r="B1191" t="str">
            <v>Entrada de água em PVC diam. 25 mm</v>
          </cell>
          <cell r="C1191" t="str">
            <v>m</v>
          </cell>
          <cell r="D1191">
            <v>1.5</v>
          </cell>
          <cell r="E1191">
            <v>2.92</v>
          </cell>
          <cell r="F1191">
            <v>4.42</v>
          </cell>
        </row>
        <row r="1192">
          <cell r="A1192" t="str">
            <v>130103</v>
          </cell>
          <cell r="B1192" t="str">
            <v>Entrada de água em PVC diam. 32 mm</v>
          </cell>
          <cell r="C1192" t="str">
            <v>m</v>
          </cell>
          <cell r="D1192">
            <v>1.69</v>
          </cell>
          <cell r="E1192">
            <v>6.02</v>
          </cell>
          <cell r="F1192">
            <v>7.71</v>
          </cell>
        </row>
        <row r="1193">
          <cell r="A1193" t="str">
            <v>130104</v>
          </cell>
          <cell r="B1193" t="str">
            <v>Entrada de água em PVC diam. 40 mm</v>
          </cell>
          <cell r="C1193" t="str">
            <v>m</v>
          </cell>
          <cell r="D1193">
            <v>1.84</v>
          </cell>
          <cell r="E1193">
            <v>8.68</v>
          </cell>
          <cell r="F1193">
            <v>10.52</v>
          </cell>
        </row>
        <row r="1194">
          <cell r="A1194" t="str">
            <v>130105</v>
          </cell>
          <cell r="B1194" t="str">
            <v>Ponto de água predial</v>
          </cell>
          <cell r="C1194" t="str">
            <v>ud</v>
          </cell>
          <cell r="D1194">
            <v>187.2</v>
          </cell>
          <cell r="E1194">
            <v>12.01</v>
          </cell>
          <cell r="F1194">
            <v>199.21</v>
          </cell>
        </row>
        <row r="1195">
          <cell r="A1195" t="str">
            <v>130106</v>
          </cell>
          <cell r="B1195" t="str">
            <v>Ramal de jardim</v>
          </cell>
          <cell r="C1195" t="str">
            <v>m</v>
          </cell>
          <cell r="D1195">
            <v>51.27</v>
          </cell>
          <cell r="E1195">
            <v>5.23</v>
          </cell>
          <cell r="F1195">
            <v>56.5</v>
          </cell>
        </row>
        <row r="1196">
          <cell r="A1196" t="str">
            <v>130107</v>
          </cell>
          <cell r="B1196" t="str">
            <v>Reservatório de polietileno 250 l</v>
          </cell>
          <cell r="C1196" t="str">
            <v>ud</v>
          </cell>
          <cell r="D1196">
            <v>224.64</v>
          </cell>
          <cell r="E1196">
            <v>272.11</v>
          </cell>
          <cell r="F1196">
            <v>496.75</v>
          </cell>
        </row>
        <row r="1197">
          <cell r="A1197" t="str">
            <v>130108</v>
          </cell>
          <cell r="B1197" t="str">
            <v>Reservatório de polietileno 500 l</v>
          </cell>
          <cell r="C1197" t="str">
            <v>ud</v>
          </cell>
          <cell r="D1197">
            <v>224.64</v>
          </cell>
          <cell r="E1197">
            <v>280.72000000000003</v>
          </cell>
          <cell r="F1197">
            <v>505.36</v>
          </cell>
        </row>
        <row r="1198">
          <cell r="A1198" t="str">
            <v>130109</v>
          </cell>
          <cell r="B1198" t="str">
            <v>Reservatório de polietileno 1000 l</v>
          </cell>
          <cell r="C1198" t="str">
            <v>ud</v>
          </cell>
          <cell r="D1198">
            <v>224.64</v>
          </cell>
          <cell r="E1198">
            <v>423.01</v>
          </cell>
          <cell r="F1198">
            <v>647.65</v>
          </cell>
        </row>
        <row r="1199">
          <cell r="A1199" t="str">
            <v>130110</v>
          </cell>
          <cell r="B1199" t="str">
            <v>Reservatório de fibra de vidro 250 l</v>
          </cell>
          <cell r="C1199" t="str">
            <v>ud</v>
          </cell>
          <cell r="D1199">
            <v>224.64</v>
          </cell>
          <cell r="E1199">
            <v>239.69</v>
          </cell>
          <cell r="F1199">
            <v>464.33</v>
          </cell>
        </row>
        <row r="1200">
          <cell r="A1200" t="str">
            <v>130111</v>
          </cell>
          <cell r="B1200" t="str">
            <v>Reservatório de fibra de vidro 500 l</v>
          </cell>
          <cell r="C1200" t="str">
            <v>ud</v>
          </cell>
          <cell r="D1200">
            <v>224.64</v>
          </cell>
          <cell r="E1200">
            <v>375.79</v>
          </cell>
          <cell r="F1200">
            <v>600.42999999999995</v>
          </cell>
        </row>
        <row r="1201">
          <cell r="A1201" t="str">
            <v>130112</v>
          </cell>
          <cell r="B1201" t="str">
            <v>Reservatório de fibra de vidro 1000 l</v>
          </cell>
          <cell r="C1201" t="str">
            <v>ud</v>
          </cell>
          <cell r="D1201">
            <v>224.64</v>
          </cell>
          <cell r="E1201">
            <v>480.7</v>
          </cell>
          <cell r="F1201">
            <v>705.34</v>
          </cell>
        </row>
        <row r="1202">
          <cell r="A1202" t="str">
            <v>1302</v>
          </cell>
          <cell r="B1202" t="str">
            <v>ESGOTO</v>
          </cell>
        </row>
        <row r="1203">
          <cell r="A1203" t="str">
            <v>130201</v>
          </cell>
          <cell r="B1203" t="str">
            <v>Fossa séptica pré-fabricada para   5 pessoas</v>
          </cell>
          <cell r="C1203" t="str">
            <v>ud</v>
          </cell>
          <cell r="D1203">
            <v>172.33</v>
          </cell>
          <cell r="E1203">
            <v>464.83</v>
          </cell>
          <cell r="F1203">
            <v>637.16</v>
          </cell>
        </row>
        <row r="1204">
          <cell r="A1204" t="str">
            <v>130202</v>
          </cell>
          <cell r="B1204" t="str">
            <v>Fossa séptica pré-fabricada para 10 pessoas</v>
          </cell>
          <cell r="C1204" t="str">
            <v>ud</v>
          </cell>
          <cell r="D1204">
            <v>220.43</v>
          </cell>
          <cell r="E1204">
            <v>542.54</v>
          </cell>
          <cell r="F1204">
            <v>762.97</v>
          </cell>
        </row>
        <row r="1205">
          <cell r="A1205" t="str">
            <v>130203</v>
          </cell>
          <cell r="B1205" t="str">
            <v>Fossa séptica pré-fabricada para 15 pessoas</v>
          </cell>
          <cell r="C1205" t="str">
            <v>ud</v>
          </cell>
          <cell r="D1205">
            <v>0</v>
          </cell>
          <cell r="E1205">
            <v>0</v>
          </cell>
          <cell r="F1205">
            <v>0</v>
          </cell>
        </row>
        <row r="1206">
          <cell r="A1206" t="str">
            <v>130204</v>
          </cell>
          <cell r="B1206" t="str">
            <v>Fossa séptica pré-fabricada para 20 pessoas</v>
          </cell>
          <cell r="C1206" t="str">
            <v>ud</v>
          </cell>
          <cell r="D1206">
            <v>0</v>
          </cell>
          <cell r="E1206">
            <v>0</v>
          </cell>
          <cell r="F1206">
            <v>0</v>
          </cell>
        </row>
        <row r="1207">
          <cell r="A1207" t="str">
            <v>130205</v>
          </cell>
          <cell r="B1207" t="str">
            <v>Sumidouro</v>
          </cell>
          <cell r="C1207" t="str">
            <v>m</v>
          </cell>
          <cell r="D1207">
            <v>187.45</v>
          </cell>
          <cell r="E1207">
            <v>13.16</v>
          </cell>
          <cell r="F1207">
            <v>200.61</v>
          </cell>
        </row>
        <row r="1208">
          <cell r="A1208" t="str">
            <v>130206</v>
          </cell>
          <cell r="B1208" t="str">
            <v>Ponto de esgoto predial</v>
          </cell>
          <cell r="C1208" t="str">
            <v>ud</v>
          </cell>
          <cell r="D1208">
            <v>224.64</v>
          </cell>
          <cell r="E1208">
            <v>67.739999999999995</v>
          </cell>
          <cell r="F1208">
            <v>292.38</v>
          </cell>
        </row>
        <row r="1209">
          <cell r="A1209" t="str">
            <v>1303</v>
          </cell>
          <cell r="B1209" t="str">
            <v>APARELHO E ACESSÓRIO HIDROSANITÁRIO</v>
          </cell>
        </row>
        <row r="1210">
          <cell r="A1210" t="str">
            <v>130301</v>
          </cell>
          <cell r="B1210" t="str">
            <v>Armário de embutir de plástico 40 x 50 cm</v>
          </cell>
          <cell r="C1210" t="str">
            <v>ud</v>
          </cell>
          <cell r="D1210">
            <v>8.1999999999999993</v>
          </cell>
          <cell r="E1210">
            <v>82.58</v>
          </cell>
          <cell r="F1210">
            <v>90.78</v>
          </cell>
        </row>
        <row r="1211">
          <cell r="A1211" t="str">
            <v>130302</v>
          </cell>
          <cell r="B1211" t="str">
            <v>Bacia de louça com caixa acoplada</v>
          </cell>
          <cell r="C1211" t="str">
            <v>ud</v>
          </cell>
          <cell r="D1211">
            <v>52.11</v>
          </cell>
          <cell r="E1211">
            <v>348.76</v>
          </cell>
          <cell r="F1211">
            <v>400.87</v>
          </cell>
          <cell r="G1211">
            <v>86888</v>
          </cell>
        </row>
        <row r="1212">
          <cell r="A1212" t="str">
            <v>130303</v>
          </cell>
          <cell r="B1212" t="str">
            <v>Cabide de louça</v>
          </cell>
          <cell r="C1212" t="str">
            <v>ud</v>
          </cell>
          <cell r="D1212">
            <v>16.829999999999998</v>
          </cell>
          <cell r="E1212">
            <v>0.18</v>
          </cell>
          <cell r="F1212">
            <v>17.010000000000002</v>
          </cell>
        </row>
        <row r="1213">
          <cell r="A1213" t="str">
            <v>130304</v>
          </cell>
          <cell r="B1213" t="str">
            <v>Cabide de metal cromado</v>
          </cell>
          <cell r="C1213" t="str">
            <v>ud</v>
          </cell>
          <cell r="D1213">
            <v>6.31</v>
          </cell>
          <cell r="E1213">
            <v>15.71</v>
          </cell>
          <cell r="F1213">
            <v>22.02</v>
          </cell>
        </row>
        <row r="1214">
          <cell r="A1214" t="str">
            <v>130305</v>
          </cell>
          <cell r="B1214" t="str">
            <v>Chuveiro elétrico plástico</v>
          </cell>
          <cell r="C1214" t="str">
            <v>ud</v>
          </cell>
          <cell r="D1214">
            <v>14.43</v>
          </cell>
          <cell r="E1214">
            <v>51.16</v>
          </cell>
          <cell r="F1214">
            <v>65.59</v>
          </cell>
          <cell r="G1214">
            <v>9535</v>
          </cell>
        </row>
        <row r="1215">
          <cell r="A1215" t="str">
            <v>130306</v>
          </cell>
          <cell r="B1215" t="str">
            <v>Lavatório de louça completo com coluna</v>
          </cell>
          <cell r="C1215" t="str">
            <v>ud</v>
          </cell>
          <cell r="D1215">
            <v>68.8</v>
          </cell>
          <cell r="E1215">
            <v>217.85</v>
          </cell>
          <cell r="F1215">
            <v>286.64999999999998</v>
          </cell>
          <cell r="G1215">
            <v>86903</v>
          </cell>
        </row>
        <row r="1216">
          <cell r="A1216" t="str">
            <v>130307</v>
          </cell>
          <cell r="B1216" t="str">
            <v>Lavatório de louça completo sem coluna</v>
          </cell>
          <cell r="C1216" t="str">
            <v>ud</v>
          </cell>
          <cell r="D1216">
            <v>64.650000000000006</v>
          </cell>
          <cell r="E1216">
            <v>114.92</v>
          </cell>
          <cell r="F1216">
            <v>179.57</v>
          </cell>
          <cell r="G1216">
            <v>86942</v>
          </cell>
        </row>
        <row r="1217">
          <cell r="A1217" t="str">
            <v>130308</v>
          </cell>
          <cell r="B1217" t="str">
            <v>Mictório de louça individual</v>
          </cell>
          <cell r="C1217" t="str">
            <v>ud</v>
          </cell>
          <cell r="D1217">
            <v>112.32</v>
          </cell>
          <cell r="E1217">
            <v>309.55</v>
          </cell>
          <cell r="F1217">
            <v>421.87</v>
          </cell>
          <cell r="G1217" t="str">
            <v>74234/001</v>
          </cell>
        </row>
        <row r="1218">
          <cell r="A1218" t="str">
            <v>130309</v>
          </cell>
          <cell r="B1218" t="str">
            <v xml:space="preserve">Papeleira de louça </v>
          </cell>
          <cell r="C1218" t="str">
            <v>ud</v>
          </cell>
          <cell r="D1218">
            <v>37.49</v>
          </cell>
          <cell r="E1218">
            <v>7.0000000000000007E-2</v>
          </cell>
          <cell r="F1218">
            <v>37.56</v>
          </cell>
        </row>
        <row r="1219">
          <cell r="A1219" t="str">
            <v>130310</v>
          </cell>
          <cell r="B1219" t="str">
            <v>Papeleira de metal</v>
          </cell>
          <cell r="C1219" t="str">
            <v>ud</v>
          </cell>
          <cell r="D1219">
            <v>6.31</v>
          </cell>
          <cell r="E1219">
            <v>41.01</v>
          </cell>
          <cell r="F1219">
            <v>47.32</v>
          </cell>
        </row>
        <row r="1220">
          <cell r="A1220" t="str">
            <v>130311</v>
          </cell>
          <cell r="B1220" t="str">
            <v>Porta-toalha de louça - tipo bastão</v>
          </cell>
          <cell r="C1220" t="str">
            <v>ud</v>
          </cell>
          <cell r="D1220">
            <v>18.940000000000001</v>
          </cell>
          <cell r="E1220">
            <v>1.81</v>
          </cell>
          <cell r="F1220">
            <v>20.75</v>
          </cell>
        </row>
        <row r="1221">
          <cell r="A1221" t="str">
            <v>130312</v>
          </cell>
          <cell r="B1221" t="str">
            <v>Porta-toalha de metal - tipo bastão</v>
          </cell>
          <cell r="C1221" t="str">
            <v>ud</v>
          </cell>
          <cell r="D1221">
            <v>10.52</v>
          </cell>
          <cell r="E1221">
            <v>48.79</v>
          </cell>
          <cell r="F1221">
            <v>59.31</v>
          </cell>
        </row>
        <row r="1222">
          <cell r="A1222" t="str">
            <v>130313</v>
          </cell>
          <cell r="B1222" t="str">
            <v>Saboneteira de louça</v>
          </cell>
          <cell r="C1222" t="str">
            <v>ud</v>
          </cell>
          <cell r="D1222">
            <v>16.829999999999998</v>
          </cell>
          <cell r="E1222">
            <v>1.1399999999999999</v>
          </cell>
          <cell r="F1222">
            <v>17.97</v>
          </cell>
        </row>
        <row r="1223">
          <cell r="A1223" t="str">
            <v>130314</v>
          </cell>
          <cell r="B1223" t="str">
            <v>Saboneteira de metal</v>
          </cell>
          <cell r="C1223" t="str">
            <v>ud</v>
          </cell>
          <cell r="D1223">
            <v>6.31</v>
          </cell>
          <cell r="E1223">
            <v>26.85</v>
          </cell>
          <cell r="F1223">
            <v>33.159999999999997</v>
          </cell>
        </row>
        <row r="1224">
          <cell r="A1224" t="str">
            <v>130315</v>
          </cell>
          <cell r="B1224" t="str">
            <v>Cuba inox para pia</v>
          </cell>
          <cell r="C1224" t="str">
            <v>ud</v>
          </cell>
          <cell r="D1224">
            <v>99.46</v>
          </cell>
          <cell r="E1224">
            <v>91.8</v>
          </cell>
          <cell r="F1224">
            <v>191.26</v>
          </cell>
          <cell r="G1224">
            <v>86935</v>
          </cell>
        </row>
        <row r="1225">
          <cell r="A1225" t="str">
            <v>130316</v>
          </cell>
          <cell r="B1225" t="str">
            <v>Cuba inox para laboratório</v>
          </cell>
          <cell r="C1225" t="str">
            <v>ud</v>
          </cell>
          <cell r="D1225">
            <v>112.47</v>
          </cell>
          <cell r="E1225">
            <v>934.1</v>
          </cell>
          <cell r="F1225">
            <v>1046.57</v>
          </cell>
        </row>
        <row r="1226">
          <cell r="A1226" t="str">
            <v>130317</v>
          </cell>
          <cell r="B1226" t="str">
            <v>Tampo em aço inox 1,30 m x 0,60 m com 1 cuba</v>
          </cell>
          <cell r="C1226" t="str">
            <v>ud</v>
          </cell>
          <cell r="D1226">
            <v>112.47</v>
          </cell>
          <cell r="E1226">
            <v>235.08</v>
          </cell>
          <cell r="F1226">
            <v>347.55</v>
          </cell>
        </row>
        <row r="1227">
          <cell r="A1227" t="str">
            <v>130318</v>
          </cell>
          <cell r="B1227" t="str">
            <v>Tampo em granito esp. 2 cm</v>
          </cell>
          <cell r="C1227" t="str">
            <v>m2</v>
          </cell>
          <cell r="D1227">
            <v>0</v>
          </cell>
          <cell r="F1227">
            <v>0</v>
          </cell>
        </row>
        <row r="1228">
          <cell r="A1228" t="str">
            <v>130319</v>
          </cell>
          <cell r="B1228" t="str">
            <v>Balcão para laboratório (fórmica)</v>
          </cell>
          <cell r="C1228" t="str">
            <v>m2</v>
          </cell>
          <cell r="D1228">
            <v>0</v>
          </cell>
          <cell r="E1228">
            <v>786.08</v>
          </cell>
          <cell r="F1228">
            <v>786.08</v>
          </cell>
        </row>
        <row r="1229">
          <cell r="A1229" t="str">
            <v>130320</v>
          </cell>
          <cell r="B1229" t="str">
            <v>Torneira metálica para jardim</v>
          </cell>
          <cell r="C1229" t="str">
            <v>ud</v>
          </cell>
          <cell r="D1229">
            <v>10.52</v>
          </cell>
          <cell r="E1229">
            <v>10.43</v>
          </cell>
          <cell r="F1229">
            <v>20.95</v>
          </cell>
        </row>
        <row r="1230">
          <cell r="A1230" t="str">
            <v>130321</v>
          </cell>
          <cell r="B1230" t="str">
            <v>Torneira cromada para lavatório</v>
          </cell>
          <cell r="C1230" t="str">
            <v>ud</v>
          </cell>
          <cell r="D1230">
            <v>8.56</v>
          </cell>
          <cell r="E1230">
            <v>27.11</v>
          </cell>
          <cell r="F1230">
            <v>35.67</v>
          </cell>
          <cell r="G1230">
            <v>86906</v>
          </cell>
        </row>
        <row r="1231">
          <cell r="A1231" t="str">
            <v>130322</v>
          </cell>
          <cell r="B1231" t="str">
            <v>Torneira cromada bica alta para pia</v>
          </cell>
          <cell r="C1231" t="str">
            <v>ud</v>
          </cell>
          <cell r="D1231">
            <v>5.81</v>
          </cell>
          <cell r="E1231">
            <v>24.77</v>
          </cell>
          <cell r="F1231">
            <v>30.58</v>
          </cell>
          <cell r="G1231">
            <v>86912</v>
          </cell>
        </row>
        <row r="1232">
          <cell r="A1232" t="str">
            <v>130323</v>
          </cell>
          <cell r="B1232" t="str">
            <v>Torneira cromada para pia</v>
          </cell>
          <cell r="C1232" t="str">
            <v>ud</v>
          </cell>
          <cell r="D1232">
            <v>7.34</v>
          </cell>
          <cell r="E1232">
            <v>23.24</v>
          </cell>
          <cell r="F1232">
            <v>30.58</v>
          </cell>
          <cell r="G1232">
            <v>86911</v>
          </cell>
        </row>
        <row r="1233">
          <cell r="A1233" t="str">
            <v>130324</v>
          </cell>
          <cell r="B1233" t="str">
            <v>Torneira com fechamento automático</v>
          </cell>
          <cell r="C1233" t="str">
            <v>ud</v>
          </cell>
          <cell r="D1233">
            <v>10.52</v>
          </cell>
          <cell r="E1233">
            <v>123.12</v>
          </cell>
          <cell r="F1233">
            <v>133.63999999999999</v>
          </cell>
        </row>
        <row r="1234">
          <cell r="A1234" t="str">
            <v>1304</v>
          </cell>
          <cell r="B1234" t="str">
            <v>ÁGUA PLUVIAL</v>
          </cell>
        </row>
        <row r="1235">
          <cell r="A1235" t="str">
            <v>130401</v>
          </cell>
          <cell r="B1235" t="str">
            <v xml:space="preserve">Calha de platibanda de chapa galvanizada n° 26, corte 35 cm </v>
          </cell>
          <cell r="C1235" t="str">
            <v>m</v>
          </cell>
          <cell r="D1235">
            <v>0</v>
          </cell>
          <cell r="E1235">
            <v>33.08</v>
          </cell>
          <cell r="F1235">
            <v>33.08</v>
          </cell>
        </row>
        <row r="1236">
          <cell r="A1236" t="str">
            <v>130402</v>
          </cell>
          <cell r="B1236" t="str">
            <v xml:space="preserve">Calha de beiral de chapa galvanizada n° 26, corte 45 cm  </v>
          </cell>
          <cell r="C1236" t="str">
            <v>m</v>
          </cell>
          <cell r="D1236">
            <v>0</v>
          </cell>
          <cell r="E1236">
            <v>42.53</v>
          </cell>
          <cell r="F1236">
            <v>42.53</v>
          </cell>
        </row>
        <row r="1237">
          <cell r="A1237" t="str">
            <v>130403</v>
          </cell>
          <cell r="B1237" t="str">
            <v xml:space="preserve">Rincão de chapa galvanizada n° 26, corte 50 cm </v>
          </cell>
          <cell r="C1237" t="str">
            <v>m</v>
          </cell>
          <cell r="D1237">
            <v>0</v>
          </cell>
          <cell r="E1237">
            <v>47.25</v>
          </cell>
          <cell r="F1237">
            <v>47.25</v>
          </cell>
        </row>
        <row r="1238">
          <cell r="A1238" t="str">
            <v>130404</v>
          </cell>
          <cell r="B1238" t="str">
            <v xml:space="preserve">Rufo de chapa galvanizada n° 26, corte 35 cm </v>
          </cell>
          <cell r="C1238" t="str">
            <v>m</v>
          </cell>
          <cell r="D1238">
            <v>0</v>
          </cell>
          <cell r="E1238">
            <v>33.08</v>
          </cell>
          <cell r="F1238">
            <v>33.08</v>
          </cell>
        </row>
        <row r="1239">
          <cell r="A1239" t="str">
            <v>130405</v>
          </cell>
          <cell r="B1239" t="str">
            <v xml:space="preserve">Condutor de chapa galvanizada n° 26, 100 mm </v>
          </cell>
          <cell r="C1239" t="str">
            <v>m</v>
          </cell>
          <cell r="D1239">
            <v>0</v>
          </cell>
          <cell r="E1239">
            <v>31.15</v>
          </cell>
          <cell r="F1239">
            <v>31.15</v>
          </cell>
        </row>
        <row r="1240">
          <cell r="A1240" t="str">
            <v>130406</v>
          </cell>
          <cell r="B1240" t="str">
            <v>Calha de beiral de PVC</v>
          </cell>
          <cell r="C1240" t="str">
            <v>m</v>
          </cell>
          <cell r="D1240">
            <v>29.95</v>
          </cell>
          <cell r="E1240">
            <v>28.99</v>
          </cell>
          <cell r="F1240">
            <v>58.94</v>
          </cell>
        </row>
        <row r="1241">
          <cell r="A1241" t="str">
            <v>130407</v>
          </cell>
          <cell r="B1241" t="str">
            <v>Condutor de PVC</v>
          </cell>
          <cell r="C1241" t="str">
            <v>m</v>
          </cell>
          <cell r="D1241">
            <v>41.93</v>
          </cell>
          <cell r="E1241">
            <v>30.11</v>
          </cell>
          <cell r="F1241">
            <v>72.040000000000006</v>
          </cell>
        </row>
        <row r="1242">
          <cell r="A1242" t="str">
            <v>1305</v>
          </cell>
          <cell r="B1242" t="str">
            <v>INSTALAÇÃO ELÉTRICA</v>
          </cell>
        </row>
        <row r="1243">
          <cell r="A1243" t="str">
            <v>130501</v>
          </cell>
          <cell r="B1243" t="str">
            <v>Entrada em BT trifásica 40A</v>
          </cell>
          <cell r="C1243" t="str">
            <v>ud</v>
          </cell>
          <cell r="D1243">
            <v>1252.96</v>
          </cell>
          <cell r="E1243">
            <v>1230.0999999999999</v>
          </cell>
          <cell r="F1243">
            <v>2483.06</v>
          </cell>
        </row>
        <row r="1244">
          <cell r="A1244" t="str">
            <v>130502</v>
          </cell>
          <cell r="B1244" t="str">
            <v>Entrada em BT trifásica 50A</v>
          </cell>
          <cell r="C1244" t="str">
            <v>ud</v>
          </cell>
          <cell r="D1244">
            <v>1252.96</v>
          </cell>
          <cell r="E1244">
            <v>1531.13</v>
          </cell>
          <cell r="F1244">
            <v>2784.09</v>
          </cell>
        </row>
        <row r="1245">
          <cell r="A1245" t="str">
            <v>130503</v>
          </cell>
          <cell r="B1245" t="str">
            <v>Entrada em BT trifásica 70A</v>
          </cell>
          <cell r="C1245" t="str">
            <v>ud</v>
          </cell>
          <cell r="D1245">
            <v>1252.96</v>
          </cell>
          <cell r="E1245">
            <v>1547.63</v>
          </cell>
          <cell r="F1245">
            <v>2800.59</v>
          </cell>
        </row>
        <row r="1246">
          <cell r="A1246" t="str">
            <v>130504</v>
          </cell>
          <cell r="B1246" t="str">
            <v>Entrada em BT trifásica 100A</v>
          </cell>
          <cell r="C1246" t="str">
            <v>ud</v>
          </cell>
          <cell r="D1246">
            <v>1270.96</v>
          </cell>
          <cell r="E1246">
            <v>1834.43</v>
          </cell>
          <cell r="F1246">
            <v>3105.39</v>
          </cell>
        </row>
        <row r="1247">
          <cell r="A1247" t="str">
            <v>130505</v>
          </cell>
          <cell r="B1247" t="str">
            <v xml:space="preserve">Ramal de alim. do QDLF Trif. - 10 (10) mm²,   40A </v>
          </cell>
          <cell r="C1247" t="str">
            <v>m</v>
          </cell>
          <cell r="D1247">
            <v>7.35</v>
          </cell>
          <cell r="E1247">
            <v>25.93</v>
          </cell>
          <cell r="F1247">
            <v>33.28</v>
          </cell>
        </row>
        <row r="1248">
          <cell r="A1248" t="str">
            <v>130506</v>
          </cell>
          <cell r="B1248" t="str">
            <v xml:space="preserve">Ramal de alim. do QDLF Trif. - 25 (16) mm²,   50A </v>
          </cell>
          <cell r="C1248" t="str">
            <v>m</v>
          </cell>
          <cell r="D1248">
            <v>7.35</v>
          </cell>
          <cell r="E1248">
            <v>52.05</v>
          </cell>
          <cell r="F1248">
            <v>59.4</v>
          </cell>
        </row>
        <row r="1249">
          <cell r="A1249" t="str">
            <v>130507</v>
          </cell>
          <cell r="B1249" t="str">
            <v xml:space="preserve">Ramal de alim. do QDLF Trif. - 35 (25) mm²,   70A </v>
          </cell>
          <cell r="C1249" t="str">
            <v>m</v>
          </cell>
          <cell r="D1249">
            <v>7.35</v>
          </cell>
          <cell r="E1249">
            <v>70.41</v>
          </cell>
          <cell r="F1249">
            <v>77.760000000000005</v>
          </cell>
        </row>
        <row r="1250">
          <cell r="A1250" t="str">
            <v>130508</v>
          </cell>
          <cell r="B1250" t="str">
            <v xml:space="preserve">Ramal de alim. do QDLF Trif. - 50 (35) mm², 100A </v>
          </cell>
          <cell r="C1250" t="str">
            <v>m</v>
          </cell>
          <cell r="D1250">
            <v>7.5</v>
          </cell>
          <cell r="E1250">
            <v>100.61</v>
          </cell>
          <cell r="F1250">
            <v>108.11</v>
          </cell>
        </row>
        <row r="1251">
          <cell r="A1251" t="str">
            <v>130509</v>
          </cell>
          <cell r="B1251" t="str">
            <v>QDLF em instalação embutida, até 04 disjuntores</v>
          </cell>
          <cell r="C1251" t="str">
            <v>ud</v>
          </cell>
          <cell r="D1251">
            <v>75.239999999999995</v>
          </cell>
          <cell r="E1251">
            <v>34.869999999999997</v>
          </cell>
          <cell r="F1251">
            <v>110.11</v>
          </cell>
        </row>
        <row r="1252">
          <cell r="A1252" t="str">
            <v>130510</v>
          </cell>
          <cell r="B1252" t="str">
            <v>QDLF em instalação embutida, até 08 disjuntores</v>
          </cell>
          <cell r="C1252" t="str">
            <v>ud</v>
          </cell>
          <cell r="D1252">
            <v>75.239999999999995</v>
          </cell>
          <cell r="E1252">
            <v>46.48</v>
          </cell>
          <cell r="F1252">
            <v>121.72</v>
          </cell>
        </row>
        <row r="1253">
          <cell r="A1253" t="str">
            <v>130511</v>
          </cell>
          <cell r="B1253" t="str">
            <v>QDLF em instalação embutida, até 12 disjuntores</v>
          </cell>
          <cell r="C1253" t="str">
            <v>ud</v>
          </cell>
          <cell r="D1253">
            <v>93.99</v>
          </cell>
          <cell r="E1253">
            <v>56.78</v>
          </cell>
          <cell r="F1253">
            <v>150.77000000000001</v>
          </cell>
        </row>
        <row r="1254">
          <cell r="A1254" t="str">
            <v>130512</v>
          </cell>
          <cell r="B1254" t="str">
            <v>QDLF em instalação de sobrepor até 04 disjuntores</v>
          </cell>
          <cell r="C1254" t="str">
            <v>ud</v>
          </cell>
          <cell r="D1254">
            <v>13.12</v>
          </cell>
          <cell r="E1254">
            <v>37.06</v>
          </cell>
          <cell r="F1254">
            <v>50.18</v>
          </cell>
        </row>
        <row r="1255">
          <cell r="A1255" t="str">
            <v>130513</v>
          </cell>
          <cell r="B1255" t="str">
            <v>QDLF em instalação de sobrepor até 08 disjuntores</v>
          </cell>
          <cell r="C1255" t="str">
            <v>ud</v>
          </cell>
          <cell r="D1255">
            <v>13.12</v>
          </cell>
          <cell r="E1255">
            <v>48.67</v>
          </cell>
          <cell r="F1255">
            <v>61.79</v>
          </cell>
        </row>
        <row r="1256">
          <cell r="A1256" t="str">
            <v>130514</v>
          </cell>
          <cell r="B1256" t="str">
            <v>QDLF em instalação de sobrepor até 12 disjuntores</v>
          </cell>
          <cell r="C1256" t="str">
            <v>ud</v>
          </cell>
          <cell r="D1256">
            <v>13.12</v>
          </cell>
          <cell r="E1256">
            <v>58.97</v>
          </cell>
          <cell r="F1256">
            <v>72.09</v>
          </cell>
        </row>
        <row r="1257">
          <cell r="A1257" t="str">
            <v>130515</v>
          </cell>
          <cell r="B1257" t="str">
            <v>Disjuntor trifásico até 50A</v>
          </cell>
          <cell r="C1257" t="str">
            <v>ud</v>
          </cell>
          <cell r="D1257">
            <v>10.52</v>
          </cell>
          <cell r="E1257">
            <v>35.520000000000003</v>
          </cell>
          <cell r="F1257">
            <v>46.04</v>
          </cell>
          <cell r="G1257" t="str">
            <v>74130/004</v>
          </cell>
        </row>
        <row r="1258">
          <cell r="A1258" t="str">
            <v>130516</v>
          </cell>
          <cell r="B1258" t="str">
            <v>Disjuntor trifásico de 70A a 100A</v>
          </cell>
          <cell r="C1258" t="str">
            <v>ud</v>
          </cell>
          <cell r="D1258">
            <v>10.52</v>
          </cell>
          <cell r="E1258">
            <v>52.02</v>
          </cell>
          <cell r="F1258">
            <v>62.54</v>
          </cell>
          <cell r="G1258" t="str">
            <v>74130/005</v>
          </cell>
        </row>
        <row r="1259">
          <cell r="A1259" t="str">
            <v>130517</v>
          </cell>
          <cell r="B1259" t="str">
            <v>Eletroduto rígido aparente 1/2"</v>
          </cell>
          <cell r="C1259" t="str">
            <v>m</v>
          </cell>
          <cell r="D1259">
            <v>5.47</v>
          </cell>
          <cell r="E1259">
            <v>2.58</v>
          </cell>
          <cell r="F1259">
            <v>8.0500000000000007</v>
          </cell>
          <cell r="G1259">
            <v>91870</v>
          </cell>
        </row>
        <row r="1260">
          <cell r="A1260" t="str">
            <v>130518</v>
          </cell>
          <cell r="B1260" t="str">
            <v>Eletroduto rígido aparente 3/4"</v>
          </cell>
          <cell r="C1260" t="str">
            <v>m</v>
          </cell>
          <cell r="D1260">
            <v>6.42</v>
          </cell>
          <cell r="E1260">
            <v>2.89</v>
          </cell>
          <cell r="F1260">
            <v>9.31</v>
          </cell>
          <cell r="G1260">
            <v>91871</v>
          </cell>
        </row>
        <row r="1261">
          <cell r="A1261" t="str">
            <v>130519</v>
          </cell>
          <cell r="B1261" t="str">
            <v>Eletroduto rígido aparente 1"</v>
          </cell>
          <cell r="C1261" t="str">
            <v>m</v>
          </cell>
          <cell r="D1261">
            <v>7.7</v>
          </cell>
          <cell r="E1261">
            <v>4.1500000000000004</v>
          </cell>
          <cell r="F1261">
            <v>11.85</v>
          </cell>
          <cell r="G1261">
            <v>91872</v>
          </cell>
        </row>
        <row r="1262">
          <cell r="A1262" t="str">
            <v>130520</v>
          </cell>
          <cell r="B1262" t="str">
            <v>Eletroduto rígido aparente 1 1/4"</v>
          </cell>
          <cell r="C1262" t="str">
            <v>m</v>
          </cell>
          <cell r="D1262">
            <v>8.6300000000000008</v>
          </cell>
          <cell r="E1262">
            <v>5.76</v>
          </cell>
          <cell r="F1262">
            <v>14.39</v>
          </cell>
          <cell r="G1262">
            <v>91873</v>
          </cell>
        </row>
        <row r="1263">
          <cell r="A1263" t="str">
            <v>130521</v>
          </cell>
          <cell r="B1263" t="str">
            <v>Eletroduto flexível corrugado embutido 20 mm</v>
          </cell>
          <cell r="C1263" t="str">
            <v>m</v>
          </cell>
          <cell r="D1263">
            <v>4.95</v>
          </cell>
          <cell r="E1263">
            <v>1.31</v>
          </cell>
          <cell r="F1263">
            <v>6.26</v>
          </cell>
          <cell r="G1263">
            <v>91852</v>
          </cell>
        </row>
        <row r="1264">
          <cell r="A1264" t="str">
            <v>130522</v>
          </cell>
          <cell r="B1264" t="str">
            <v>Eletroduto flexível corrugado embutido 25 mm</v>
          </cell>
          <cell r="C1264" t="str">
            <v>m</v>
          </cell>
          <cell r="D1264">
            <v>5.62</v>
          </cell>
          <cell r="E1264">
            <v>1.32</v>
          </cell>
          <cell r="F1264">
            <v>6.94</v>
          </cell>
          <cell r="G1264">
            <v>91854</v>
          </cell>
        </row>
        <row r="1265">
          <cell r="A1265" t="str">
            <v>130523</v>
          </cell>
          <cell r="B1265" t="str">
            <v>Eletroduto flexível corrugado embutido 32 mm</v>
          </cell>
          <cell r="C1265" t="str">
            <v>m</v>
          </cell>
          <cell r="D1265">
            <v>6.59</v>
          </cell>
          <cell r="E1265">
            <v>2.2000000000000002</v>
          </cell>
          <cell r="F1265">
            <v>8.7899999999999991</v>
          </cell>
          <cell r="G1265">
            <v>91856</v>
          </cell>
        </row>
        <row r="1266">
          <cell r="A1266" t="str">
            <v>130524</v>
          </cell>
          <cell r="B1266" t="str">
            <v>Condutor isolado - fio 1,5 mm²</v>
          </cell>
          <cell r="C1266" t="str">
            <v>m</v>
          </cell>
          <cell r="D1266">
            <v>0.37</v>
          </cell>
          <cell r="E1266">
            <v>1.22</v>
          </cell>
          <cell r="F1266">
            <v>1.59</v>
          </cell>
        </row>
        <row r="1267">
          <cell r="A1267" t="str">
            <v>130525</v>
          </cell>
          <cell r="B1267" t="str">
            <v>Condutor isolado - fio 2,5 mm²</v>
          </cell>
          <cell r="C1267" t="str">
            <v>m</v>
          </cell>
          <cell r="D1267">
            <v>0.56999999999999995</v>
          </cell>
          <cell r="E1267">
            <v>1.69</v>
          </cell>
          <cell r="F1267">
            <v>2.2599999999999998</v>
          </cell>
        </row>
        <row r="1268">
          <cell r="A1268" t="str">
            <v>130526</v>
          </cell>
          <cell r="B1268" t="str">
            <v>Condutor isolado - fio 4,0 mm²</v>
          </cell>
          <cell r="C1268" t="str">
            <v>m</v>
          </cell>
          <cell r="D1268">
            <v>0.68</v>
          </cell>
          <cell r="E1268">
            <v>2.4300000000000002</v>
          </cell>
          <cell r="F1268">
            <v>3.11</v>
          </cell>
        </row>
        <row r="1269">
          <cell r="A1269" t="str">
            <v>130527</v>
          </cell>
          <cell r="B1269" t="str">
            <v>Condutor isolado - fio 6,0 mm²</v>
          </cell>
          <cell r="C1269" t="str">
            <v>m</v>
          </cell>
          <cell r="D1269">
            <v>0.75</v>
          </cell>
          <cell r="E1269">
            <v>3.32</v>
          </cell>
          <cell r="F1269">
            <v>4.07</v>
          </cell>
        </row>
        <row r="1270">
          <cell r="A1270" t="str">
            <v>130528</v>
          </cell>
          <cell r="B1270" t="str">
            <v>Condutor isolado - fio 10,0 mm²</v>
          </cell>
          <cell r="C1270" t="str">
            <v>m</v>
          </cell>
          <cell r="D1270">
            <v>1.1200000000000001</v>
          </cell>
          <cell r="E1270">
            <v>5.32</v>
          </cell>
          <cell r="F1270">
            <v>6.44</v>
          </cell>
        </row>
        <row r="1271">
          <cell r="A1271" t="str">
            <v>130529</v>
          </cell>
          <cell r="B1271" t="str">
            <v>Condutor isolado - fio 16,0 mm²</v>
          </cell>
          <cell r="C1271" t="str">
            <v>m</v>
          </cell>
          <cell r="D1271">
            <v>1.32</v>
          </cell>
          <cell r="E1271">
            <v>8.16</v>
          </cell>
          <cell r="F1271">
            <v>9.48</v>
          </cell>
        </row>
        <row r="1272">
          <cell r="A1272" t="str">
            <v>130530</v>
          </cell>
          <cell r="B1272" t="str">
            <v>Condutor isolado - cabo 2,5 mm²</v>
          </cell>
          <cell r="C1272" t="str">
            <v>m</v>
          </cell>
          <cell r="D1272">
            <v>0.77</v>
          </cell>
          <cell r="E1272">
            <v>1.72</v>
          </cell>
          <cell r="F1272">
            <v>2.4900000000000002</v>
          </cell>
          <cell r="G1272">
            <v>91926</v>
          </cell>
        </row>
        <row r="1273">
          <cell r="A1273" t="str">
            <v>130531</v>
          </cell>
          <cell r="B1273" t="str">
            <v>Condutor isolado - cabo 4,0 mm²</v>
          </cell>
          <cell r="C1273" t="str">
            <v>m</v>
          </cell>
          <cell r="D1273">
            <v>1.26</v>
          </cell>
          <cell r="E1273">
            <v>2.67</v>
          </cell>
          <cell r="F1273">
            <v>3.93</v>
          </cell>
          <cell r="G1273">
            <v>91928</v>
          </cell>
        </row>
        <row r="1274">
          <cell r="A1274" t="str">
            <v>130532</v>
          </cell>
          <cell r="B1274" t="str">
            <v>Condutor isolado - cabo 6,0 mm²</v>
          </cell>
          <cell r="C1274" t="str">
            <v>m</v>
          </cell>
          <cell r="D1274">
            <v>1.66</v>
          </cell>
          <cell r="E1274">
            <v>3.7</v>
          </cell>
          <cell r="F1274">
            <v>5.36</v>
          </cell>
          <cell r="G1274">
            <v>91930</v>
          </cell>
        </row>
        <row r="1275">
          <cell r="A1275" t="str">
            <v>130533</v>
          </cell>
          <cell r="B1275" t="str">
            <v>Condutor isolado - cabo 10,0 mm²</v>
          </cell>
          <cell r="C1275" t="str">
            <v>m</v>
          </cell>
          <cell r="D1275">
            <v>2.2599999999999998</v>
          </cell>
          <cell r="E1275">
            <v>6.45</v>
          </cell>
          <cell r="F1275">
            <v>8.7100000000000009</v>
          </cell>
          <cell r="G1275">
            <v>91932</v>
          </cell>
        </row>
        <row r="1276">
          <cell r="A1276" t="str">
            <v>130534</v>
          </cell>
          <cell r="B1276" t="str">
            <v>Condutor isolado - cabo 16,0 mm²</v>
          </cell>
          <cell r="C1276" t="str">
            <v>m</v>
          </cell>
          <cell r="D1276">
            <v>1.96</v>
          </cell>
          <cell r="E1276">
            <v>6.93</v>
          </cell>
          <cell r="F1276">
            <v>8.89</v>
          </cell>
          <cell r="G1276">
            <v>92982</v>
          </cell>
        </row>
        <row r="1277">
          <cell r="A1277" t="str">
            <v>130535</v>
          </cell>
          <cell r="B1277" t="str">
            <v>Condutor isolado - cabo 25,0 mm²</v>
          </cell>
          <cell r="C1277" t="str">
            <v>m</v>
          </cell>
          <cell r="D1277">
            <v>2.4900000000000002</v>
          </cell>
          <cell r="E1277">
            <v>12.17</v>
          </cell>
          <cell r="F1277">
            <v>14.66</v>
          </cell>
          <cell r="G1277">
            <v>92983</v>
          </cell>
        </row>
        <row r="1278">
          <cell r="A1278" t="str">
            <v>130536</v>
          </cell>
          <cell r="B1278" t="str">
            <v>Luminária fluorescente, completa, em instalação embutida 1 X 20 W</v>
          </cell>
          <cell r="C1278" t="str">
            <v>ud</v>
          </cell>
          <cell r="D1278">
            <v>37.44</v>
          </cell>
          <cell r="E1278">
            <v>31.72</v>
          </cell>
          <cell r="F1278">
            <v>69.16</v>
          </cell>
          <cell r="G1278" t="str">
            <v>73953/001</v>
          </cell>
        </row>
        <row r="1279">
          <cell r="A1279" t="str">
            <v>130537</v>
          </cell>
          <cell r="B1279" t="str">
            <v>Luminária fluorescente, completa, em instalação embutida 1 X 40 W</v>
          </cell>
          <cell r="C1279" t="str">
            <v>ud</v>
          </cell>
          <cell r="D1279">
            <v>37.44</v>
          </cell>
          <cell r="E1279">
            <v>45.74</v>
          </cell>
          <cell r="F1279">
            <v>83.18</v>
          </cell>
          <cell r="G1279" t="str">
            <v>73953/005</v>
          </cell>
        </row>
        <row r="1280">
          <cell r="A1280" t="str">
            <v>130538</v>
          </cell>
          <cell r="B1280" t="str">
            <v>Luminária fluorescente, completa, em instalação embutida 2 X 20 W</v>
          </cell>
          <cell r="C1280" t="str">
            <v>ud</v>
          </cell>
          <cell r="D1280">
            <v>41.18</v>
          </cell>
          <cell r="E1280">
            <v>43.1</v>
          </cell>
          <cell r="F1280">
            <v>84.28</v>
          </cell>
          <cell r="G1280" t="str">
            <v>73953/002</v>
          </cell>
        </row>
        <row r="1281">
          <cell r="A1281" t="str">
            <v>130539</v>
          </cell>
          <cell r="B1281" t="str">
            <v>Luminária fluorescente, completa, em instalação embutida 2 X 40 W</v>
          </cell>
          <cell r="C1281" t="str">
            <v>ud</v>
          </cell>
          <cell r="D1281">
            <v>41.18</v>
          </cell>
          <cell r="E1281">
            <v>60.02</v>
          </cell>
          <cell r="F1281">
            <v>101.2</v>
          </cell>
          <cell r="G1281" t="str">
            <v>73953/006</v>
          </cell>
        </row>
        <row r="1282">
          <cell r="A1282" t="str">
            <v>130540</v>
          </cell>
          <cell r="B1282" t="str">
            <v>Luminária fluorescente, completa, em instalação embutida 3 X 20 W</v>
          </cell>
          <cell r="C1282" t="str">
            <v>ud</v>
          </cell>
          <cell r="D1282">
            <v>41.18</v>
          </cell>
          <cell r="E1282">
            <v>78.09</v>
          </cell>
          <cell r="F1282">
            <v>119.27</v>
          </cell>
          <cell r="G1282" t="str">
            <v>73953/003</v>
          </cell>
        </row>
        <row r="1283">
          <cell r="A1283" t="str">
            <v>130541</v>
          </cell>
          <cell r="B1283" t="str">
            <v>Luminária fluorescente, completa, em instalação embutida 3 X 40 W</v>
          </cell>
          <cell r="C1283" t="str">
            <v>ud</v>
          </cell>
          <cell r="D1283">
            <v>41.18</v>
          </cell>
          <cell r="E1283">
            <v>85.48</v>
          </cell>
          <cell r="F1283">
            <v>126.66</v>
          </cell>
          <cell r="G1283" t="str">
            <v>73953/007</v>
          </cell>
        </row>
        <row r="1284">
          <cell r="A1284" t="str">
            <v>130542</v>
          </cell>
          <cell r="B1284" t="str">
            <v>Luminária fluorescente, completa, em instalação embutida 4 X 40 W</v>
          </cell>
          <cell r="C1284" t="str">
            <v>ud</v>
          </cell>
          <cell r="D1284">
            <v>43.06</v>
          </cell>
          <cell r="E1284">
            <v>108.94</v>
          </cell>
          <cell r="F1284">
            <v>152</v>
          </cell>
          <cell r="G1284" t="str">
            <v>73953/008</v>
          </cell>
        </row>
        <row r="1285">
          <cell r="A1285" t="str">
            <v>130543</v>
          </cell>
          <cell r="B1285" t="str">
            <v>Luminária redonda para 100 W - E 27 - completa</v>
          </cell>
          <cell r="C1285" t="str">
            <v>ud</v>
          </cell>
          <cell r="D1285">
            <v>28.08</v>
          </cell>
          <cell r="E1285">
            <v>35.869999999999997</v>
          </cell>
          <cell r="F1285">
            <v>63.95</v>
          </cell>
          <cell r="G1285" t="str">
            <v>74041/002</v>
          </cell>
        </row>
        <row r="1286">
          <cell r="A1286" t="str">
            <v>130544</v>
          </cell>
          <cell r="B1286" t="str">
            <v>Interruptor simples, aparente, com 1 tecla</v>
          </cell>
          <cell r="C1286" t="str">
            <v>ud</v>
          </cell>
          <cell r="D1286">
            <v>10.65</v>
          </cell>
          <cell r="E1286">
            <v>27.92</v>
          </cell>
          <cell r="F1286">
            <v>38.57</v>
          </cell>
        </row>
        <row r="1287">
          <cell r="A1287" t="str">
            <v>130545</v>
          </cell>
          <cell r="B1287" t="str">
            <v>Interruptor paralelo, aparente, com 1 tecla</v>
          </cell>
          <cell r="C1287" t="str">
            <v>ud</v>
          </cell>
          <cell r="D1287">
            <v>12.52</v>
          </cell>
          <cell r="E1287">
            <v>30.43</v>
          </cell>
          <cell r="F1287">
            <v>42.95</v>
          </cell>
        </row>
        <row r="1288">
          <cell r="A1288" t="str">
            <v>130546</v>
          </cell>
          <cell r="B1288" t="str">
            <v>Interruptor simples, aparente, com 2 teclas</v>
          </cell>
          <cell r="C1288" t="str">
            <v>ud</v>
          </cell>
          <cell r="D1288">
            <v>16.260000000000002</v>
          </cell>
          <cell r="E1288">
            <v>35.770000000000003</v>
          </cell>
          <cell r="F1288">
            <v>52.03</v>
          </cell>
        </row>
        <row r="1289">
          <cell r="A1289" t="str">
            <v>130547</v>
          </cell>
          <cell r="B1289" t="str">
            <v>Interruptor simples, aparente, com 3 teclas</v>
          </cell>
          <cell r="C1289" t="str">
            <v>ud</v>
          </cell>
          <cell r="D1289">
            <v>21.88</v>
          </cell>
          <cell r="E1289">
            <v>48.95</v>
          </cell>
          <cell r="F1289">
            <v>70.83</v>
          </cell>
        </row>
        <row r="1290">
          <cell r="A1290" t="str">
            <v>130548</v>
          </cell>
          <cell r="B1290" t="str">
            <v>Interruptor simples, aparente, com 1 tecla e tomada universal</v>
          </cell>
          <cell r="C1290" t="str">
            <v>ud</v>
          </cell>
          <cell r="D1290">
            <v>16.260000000000002</v>
          </cell>
          <cell r="E1290">
            <v>38.99</v>
          </cell>
          <cell r="F1290">
            <v>55.25</v>
          </cell>
        </row>
        <row r="1291">
          <cell r="A1291" t="str">
            <v>130549</v>
          </cell>
          <cell r="B1291" t="str">
            <v>Interruptor simples, aparente, com 2 teclas e tomada universal</v>
          </cell>
          <cell r="C1291" t="str">
            <v>ud</v>
          </cell>
          <cell r="D1291">
            <v>22.25</v>
          </cell>
          <cell r="E1291">
            <v>45.66</v>
          </cell>
          <cell r="F1291">
            <v>67.91</v>
          </cell>
        </row>
        <row r="1292">
          <cell r="A1292" t="str">
            <v>130550</v>
          </cell>
          <cell r="B1292" t="str">
            <v>Tomada universal, aparente</v>
          </cell>
          <cell r="C1292" t="str">
            <v>ud</v>
          </cell>
          <cell r="D1292">
            <v>10.65</v>
          </cell>
          <cell r="E1292">
            <v>27.92</v>
          </cell>
          <cell r="F1292">
            <v>38.57</v>
          </cell>
        </row>
        <row r="1293">
          <cell r="A1293" t="str">
            <v>130551</v>
          </cell>
          <cell r="B1293" t="str">
            <v>Tomada universal dupla, aparente</v>
          </cell>
          <cell r="C1293" t="str">
            <v>ud</v>
          </cell>
          <cell r="D1293">
            <v>16.260000000000002</v>
          </cell>
          <cell r="E1293">
            <v>31.1</v>
          </cell>
          <cell r="F1293">
            <v>47.36</v>
          </cell>
        </row>
        <row r="1294">
          <cell r="A1294" t="str">
            <v>130552</v>
          </cell>
          <cell r="B1294" t="str">
            <v>Tomada com 2 pólos e 1 terra, aparente</v>
          </cell>
          <cell r="C1294" t="str">
            <v>ud</v>
          </cell>
          <cell r="D1294">
            <v>13.64</v>
          </cell>
          <cell r="E1294">
            <v>30.3</v>
          </cell>
          <cell r="F1294">
            <v>43.94</v>
          </cell>
        </row>
        <row r="1295">
          <cell r="A1295" t="str">
            <v>130553</v>
          </cell>
          <cell r="B1295" t="str">
            <v>Campainha, para tubulação aparente</v>
          </cell>
          <cell r="C1295" t="str">
            <v>ud</v>
          </cell>
          <cell r="D1295">
            <v>0</v>
          </cell>
          <cell r="F1295">
            <v>0</v>
          </cell>
        </row>
        <row r="1296">
          <cell r="A1296" t="str">
            <v>130554</v>
          </cell>
          <cell r="B1296" t="str">
            <v>Interruptor simples, embutido, com 1 tecla</v>
          </cell>
          <cell r="C1296" t="str">
            <v>ud</v>
          </cell>
          <cell r="D1296">
            <v>8.1199999999999992</v>
          </cell>
          <cell r="E1296">
            <v>11.22</v>
          </cell>
          <cell r="F1296">
            <v>19.34</v>
          </cell>
          <cell r="G1296">
            <v>91953</v>
          </cell>
        </row>
        <row r="1297">
          <cell r="A1297" t="str">
            <v>130555</v>
          </cell>
          <cell r="B1297" t="str">
            <v>Interruptor paralelo, embutido, com 1 tecla</v>
          </cell>
          <cell r="C1297" t="str">
            <v>ud</v>
          </cell>
          <cell r="D1297">
            <v>10.07</v>
          </cell>
          <cell r="E1297">
            <v>13.91</v>
          </cell>
          <cell r="F1297">
            <v>23.98</v>
          </cell>
          <cell r="G1297">
            <v>91955</v>
          </cell>
        </row>
        <row r="1298">
          <cell r="A1298" t="str">
            <v>130556</v>
          </cell>
          <cell r="B1298" t="str">
            <v>Interruptor simples, embutido, com 2 teclas</v>
          </cell>
          <cell r="C1298" t="str">
            <v>ud</v>
          </cell>
          <cell r="D1298">
            <v>12.84</v>
          </cell>
          <cell r="E1298">
            <v>17.739999999999998</v>
          </cell>
          <cell r="F1298">
            <v>30.58</v>
          </cell>
          <cell r="G1298">
            <v>91959</v>
          </cell>
        </row>
        <row r="1299">
          <cell r="A1299" t="str">
            <v>130557</v>
          </cell>
          <cell r="B1299" t="str">
            <v>Interruptor simples, embutido, com 3 teclas</v>
          </cell>
          <cell r="C1299" t="str">
            <v>ud</v>
          </cell>
          <cell r="D1299">
            <v>15.89</v>
          </cell>
          <cell r="E1299">
            <v>25.92</v>
          </cell>
          <cell r="F1299">
            <v>41.81</v>
          </cell>
          <cell r="G1299">
            <v>91967</v>
          </cell>
        </row>
        <row r="1300">
          <cell r="A1300" t="str">
            <v>130558</v>
          </cell>
          <cell r="B1300" t="str">
            <v>Interruptor simples, embutido, com 1 tecla e tomada universal</v>
          </cell>
          <cell r="C1300" t="str">
            <v>ud</v>
          </cell>
          <cell r="D1300">
            <v>13.4</v>
          </cell>
          <cell r="E1300">
            <v>20.96</v>
          </cell>
          <cell r="F1300">
            <v>34.36</v>
          </cell>
          <cell r="G1300">
            <v>92023</v>
          </cell>
        </row>
        <row r="1301">
          <cell r="A1301" t="str">
            <v>130559</v>
          </cell>
          <cell r="B1301" t="str">
            <v>Interruptor simples, embutido, com 2 teclas e tomada universal</v>
          </cell>
          <cell r="C1301" t="str">
            <v>ud</v>
          </cell>
          <cell r="D1301">
            <v>18.690000000000001</v>
          </cell>
          <cell r="E1301">
            <v>26.9</v>
          </cell>
          <cell r="F1301">
            <v>45.59</v>
          </cell>
          <cell r="G1301">
            <v>92027</v>
          </cell>
        </row>
        <row r="1302">
          <cell r="A1302" t="str">
            <v>130560</v>
          </cell>
          <cell r="B1302" t="str">
            <v>Tomada universal, embutida</v>
          </cell>
          <cell r="C1302" t="str">
            <v>ud</v>
          </cell>
          <cell r="D1302">
            <v>11.7</v>
          </cell>
          <cell r="E1302">
            <v>16.190000000000001</v>
          </cell>
          <cell r="F1302">
            <v>27.89</v>
          </cell>
        </row>
        <row r="1303">
          <cell r="A1303" t="str">
            <v>130561</v>
          </cell>
          <cell r="B1303" t="str">
            <v>Tomada universal dupla, embutida</v>
          </cell>
          <cell r="C1303" t="str">
            <v>ud</v>
          </cell>
          <cell r="D1303">
            <v>17.309999999999999</v>
          </cell>
          <cell r="E1303">
            <v>19.37</v>
          </cell>
          <cell r="F1303">
            <v>36.68</v>
          </cell>
        </row>
        <row r="1304">
          <cell r="A1304" t="str">
            <v>130562</v>
          </cell>
          <cell r="B1304" t="str">
            <v>Tomada com 2 pólos e 1 terra, embutida</v>
          </cell>
          <cell r="C1304" t="str">
            <v>ud</v>
          </cell>
          <cell r="D1304">
            <v>10.19</v>
          </cell>
          <cell r="E1304">
            <v>12.97</v>
          </cell>
          <cell r="F1304">
            <v>23.16</v>
          </cell>
          <cell r="G1304">
            <v>91996</v>
          </cell>
        </row>
        <row r="1305">
          <cell r="A1305" t="str">
            <v>130563</v>
          </cell>
          <cell r="B1305" t="str">
            <v>Campainha, para tubulação embutida</v>
          </cell>
          <cell r="C1305" t="str">
            <v>ud</v>
          </cell>
          <cell r="D1305">
            <v>0</v>
          </cell>
          <cell r="F1305">
            <v>0</v>
          </cell>
        </row>
        <row r="1306">
          <cell r="A1306" t="str">
            <v>130564</v>
          </cell>
          <cell r="B1306" t="str">
            <v>Haste de aterramento com 5/8" x 3,00 m</v>
          </cell>
          <cell r="C1306" t="str">
            <v>ud</v>
          </cell>
          <cell r="D1306">
            <v>0</v>
          </cell>
          <cell r="F1306">
            <v>0</v>
          </cell>
        </row>
        <row r="1307">
          <cell r="A1307" t="str">
            <v>1306</v>
          </cell>
          <cell r="B1307" t="str">
            <v>INSTALAÇÃO DE PREVENÇÃO E COMBATE A INCÊNDIO</v>
          </cell>
        </row>
        <row r="1308">
          <cell r="A1308" t="str">
            <v>130601</v>
          </cell>
          <cell r="B1308" t="str">
            <v>Hidrante predial interno embutido</v>
          </cell>
          <cell r="C1308" t="str">
            <v>ud</v>
          </cell>
          <cell r="D1308">
            <v>112.05</v>
          </cell>
          <cell r="E1308">
            <v>906.61</v>
          </cell>
          <cell r="F1308">
            <v>1018.66</v>
          </cell>
          <cell r="G1308">
            <v>72283</v>
          </cell>
        </row>
        <row r="1309">
          <cell r="A1309" t="str">
            <v>130602</v>
          </cell>
          <cell r="B1309" t="str">
            <v>Extintor de gás carbônico (CO2) 4 kg</v>
          </cell>
          <cell r="C1309" t="str">
            <v>ud</v>
          </cell>
          <cell r="D1309">
            <v>3.75</v>
          </cell>
          <cell r="E1309">
            <v>410.08</v>
          </cell>
          <cell r="F1309">
            <v>413.83</v>
          </cell>
        </row>
        <row r="1310">
          <cell r="A1310" t="str">
            <v>130603</v>
          </cell>
          <cell r="B1310" t="str">
            <v>Extintor de gás carbônico (CO2) 6 kg</v>
          </cell>
          <cell r="C1310" t="str">
            <v>ud</v>
          </cell>
          <cell r="D1310">
            <v>4.5599999999999996</v>
          </cell>
          <cell r="E1310">
            <v>450.96</v>
          </cell>
          <cell r="F1310">
            <v>455.52</v>
          </cell>
          <cell r="G1310">
            <v>72554</v>
          </cell>
        </row>
        <row r="1311">
          <cell r="A1311" t="str">
            <v>130604</v>
          </cell>
          <cell r="B1311" t="str">
            <v>Extintor de água pressurizada 10 l</v>
          </cell>
          <cell r="C1311" t="str">
            <v>ud</v>
          </cell>
          <cell r="D1311">
            <v>5.63</v>
          </cell>
          <cell r="E1311">
            <v>129.74</v>
          </cell>
          <cell r="F1311">
            <v>135.37</v>
          </cell>
          <cell r="G1311" t="str">
            <v>73775/002</v>
          </cell>
        </row>
        <row r="1312">
          <cell r="A1312" t="str">
            <v>130605</v>
          </cell>
          <cell r="B1312" t="str">
            <v>Extintor de pó químico 4 kg</v>
          </cell>
          <cell r="C1312" t="str">
            <v>ud</v>
          </cell>
          <cell r="D1312">
            <v>3.75</v>
          </cell>
          <cell r="E1312">
            <v>125.47</v>
          </cell>
          <cell r="F1312">
            <v>129.22</v>
          </cell>
          <cell r="G1312" t="str">
            <v>73775/001</v>
          </cell>
        </row>
        <row r="1313">
          <cell r="A1313" t="str">
            <v>130606</v>
          </cell>
          <cell r="B1313" t="str">
            <v>Extintor de pó químico 6 kg</v>
          </cell>
          <cell r="C1313" t="str">
            <v>ud</v>
          </cell>
          <cell r="D1313">
            <v>6.67</v>
          </cell>
          <cell r="E1313">
            <v>160.07</v>
          </cell>
          <cell r="F1313">
            <v>166.74</v>
          </cell>
          <cell r="G1313">
            <v>83635</v>
          </cell>
        </row>
        <row r="1314">
          <cell r="A1314" t="str">
            <v>130607</v>
          </cell>
          <cell r="B1314" t="str">
            <v>Extintor de pó químico 8 kg</v>
          </cell>
          <cell r="C1314" t="str">
            <v>ud</v>
          </cell>
          <cell r="D1314">
            <v>5.63</v>
          </cell>
          <cell r="E1314">
            <v>176.7</v>
          </cell>
          <cell r="F1314">
            <v>182.33</v>
          </cell>
        </row>
        <row r="1315">
          <cell r="A1315" t="str">
            <v>130608</v>
          </cell>
          <cell r="B1315" t="str">
            <v>Extintor de pó químico 12 kg</v>
          </cell>
          <cell r="C1315" t="str">
            <v>ud</v>
          </cell>
          <cell r="D1315">
            <v>5.63</v>
          </cell>
          <cell r="E1315">
            <v>205.16</v>
          </cell>
          <cell r="F1315">
            <v>210.79</v>
          </cell>
        </row>
        <row r="1316">
          <cell r="A1316" t="str">
            <v>1307</v>
          </cell>
          <cell r="B1316" t="str">
            <v>INSTALAÇÃO TELEFÔNICA</v>
          </cell>
        </row>
        <row r="1317">
          <cell r="A1317" t="str">
            <v>130701</v>
          </cell>
          <cell r="B1317" t="str">
            <v>Entrada aérea com poste</v>
          </cell>
          <cell r="C1317" t="str">
            <v>ud</v>
          </cell>
          <cell r="D1317">
            <v>0</v>
          </cell>
          <cell r="F1317">
            <v>0</v>
          </cell>
        </row>
        <row r="1318">
          <cell r="A1318" t="str">
            <v>130702</v>
          </cell>
          <cell r="B1318" t="str">
            <v>Entrada aérea sem poste</v>
          </cell>
          <cell r="C1318" t="str">
            <v>ud</v>
          </cell>
          <cell r="D1318">
            <v>0</v>
          </cell>
          <cell r="F1318">
            <v>0</v>
          </cell>
        </row>
        <row r="1319">
          <cell r="A1319" t="str">
            <v>130703</v>
          </cell>
          <cell r="B1319" t="str">
            <v>Entrada subterrânea</v>
          </cell>
          <cell r="C1319" t="str">
            <v>ud</v>
          </cell>
          <cell r="D1319">
            <v>0</v>
          </cell>
          <cell r="F1319">
            <v>0</v>
          </cell>
        </row>
        <row r="1320">
          <cell r="A1320" t="str">
            <v>130704</v>
          </cell>
          <cell r="B1320" t="str">
            <v>Eletroduto flexível corrugado subterrâneo 20 mm</v>
          </cell>
          <cell r="C1320" t="str">
            <v>m</v>
          </cell>
          <cell r="D1320">
            <v>0</v>
          </cell>
          <cell r="F1320">
            <v>0</v>
          </cell>
        </row>
        <row r="1321">
          <cell r="A1321" t="str">
            <v>130705</v>
          </cell>
          <cell r="B1321" t="str">
            <v>Eletroduto flexível corrugado subterrâneo 25 mm</v>
          </cell>
          <cell r="C1321" t="str">
            <v>m</v>
          </cell>
          <cell r="D1321">
            <v>11.72</v>
          </cell>
          <cell r="E1321">
            <v>4.47</v>
          </cell>
          <cell r="F1321">
            <v>16.190000000000001</v>
          </cell>
        </row>
        <row r="1322">
          <cell r="A1322" t="str">
            <v>130706</v>
          </cell>
          <cell r="B1322" t="str">
            <v>Eletroduto flexível corrugado subterrâneo 32 mm</v>
          </cell>
          <cell r="C1322" t="str">
            <v>m</v>
          </cell>
          <cell r="D1322">
            <v>0</v>
          </cell>
          <cell r="F1322">
            <v>0</v>
          </cell>
        </row>
        <row r="1323">
          <cell r="A1323" t="str">
            <v>130707</v>
          </cell>
          <cell r="B1323" t="str">
            <v>Eletroduto rígido aparente 1/2"</v>
          </cell>
          <cell r="C1323" t="str">
            <v>m</v>
          </cell>
          <cell r="D1323">
            <v>0</v>
          </cell>
          <cell r="F1323">
            <v>0</v>
          </cell>
        </row>
        <row r="1324">
          <cell r="A1324" t="str">
            <v>130708</v>
          </cell>
          <cell r="B1324" t="str">
            <v>Eletroduto rígido aparente 3/4"</v>
          </cell>
          <cell r="C1324" t="str">
            <v>m</v>
          </cell>
          <cell r="D1324">
            <v>0</v>
          </cell>
          <cell r="F1324">
            <v>0</v>
          </cell>
        </row>
        <row r="1325">
          <cell r="A1325" t="str">
            <v>130709</v>
          </cell>
          <cell r="B1325" t="str">
            <v>Eletroduto rígido aparente 1"</v>
          </cell>
          <cell r="C1325" t="str">
            <v>m</v>
          </cell>
          <cell r="D1325">
            <v>0</v>
          </cell>
          <cell r="F1325">
            <v>0</v>
          </cell>
        </row>
        <row r="1326">
          <cell r="A1326" t="str">
            <v>130710</v>
          </cell>
          <cell r="B1326" t="str">
            <v>Eletroduto rígido aparente 1 1/4"</v>
          </cell>
          <cell r="C1326" t="str">
            <v>m</v>
          </cell>
          <cell r="D1326">
            <v>0</v>
          </cell>
          <cell r="F1326">
            <v>0</v>
          </cell>
        </row>
        <row r="1327">
          <cell r="A1327" t="str">
            <v>130711</v>
          </cell>
          <cell r="B1327" t="str">
            <v>Eletroduto flexível corrugado embutido 20 mm</v>
          </cell>
          <cell r="C1327" t="str">
            <v>m</v>
          </cell>
          <cell r="D1327">
            <v>0</v>
          </cell>
          <cell r="F1327">
            <v>0</v>
          </cell>
        </row>
        <row r="1328">
          <cell r="A1328" t="str">
            <v>130712</v>
          </cell>
          <cell r="B1328" t="str">
            <v>Eletroduto flexível corrugado embutido 25 mm</v>
          </cell>
          <cell r="C1328" t="str">
            <v>m</v>
          </cell>
          <cell r="D1328">
            <v>0</v>
          </cell>
          <cell r="F1328">
            <v>0</v>
          </cell>
        </row>
        <row r="1329">
          <cell r="A1329" t="str">
            <v>130713</v>
          </cell>
          <cell r="B1329" t="str">
            <v>Eletroduto flexível corrugado embutido 32 mm</v>
          </cell>
          <cell r="C1329" t="str">
            <v>m</v>
          </cell>
          <cell r="D1329">
            <v>0</v>
          </cell>
          <cell r="F1329">
            <v>0</v>
          </cell>
        </row>
        <row r="1330">
          <cell r="A1330" t="str">
            <v>130714</v>
          </cell>
          <cell r="B1330" t="str">
            <v>Caixa distribuição / passagem em chapa de aço galvanizado, aparente, n. 2 (20 x 20 x 12 cm)</v>
          </cell>
          <cell r="C1330" t="str">
            <v>ud</v>
          </cell>
          <cell r="D1330">
            <v>0</v>
          </cell>
          <cell r="F1330">
            <v>0</v>
          </cell>
        </row>
        <row r="1331">
          <cell r="A1331" t="str">
            <v>130715</v>
          </cell>
          <cell r="B1331" t="str">
            <v>Caixa distribuição / passagem em chapa de aço galvanizado, aparente, n. 3 (40 x 40 x 12 cm)</v>
          </cell>
          <cell r="C1331" t="str">
            <v>ud</v>
          </cell>
          <cell r="D1331">
            <v>0</v>
          </cell>
          <cell r="F1331">
            <v>0</v>
          </cell>
        </row>
        <row r="1332">
          <cell r="A1332" t="str">
            <v>130716</v>
          </cell>
          <cell r="B1332" t="str">
            <v>Caixa distribuição / passagem em chapa de aço galvanizado, aparente, n. 4 (60 x 60 x 12 cm)</v>
          </cell>
          <cell r="C1332" t="str">
            <v>ud</v>
          </cell>
          <cell r="D1332">
            <v>0</v>
          </cell>
          <cell r="F1332">
            <v>0</v>
          </cell>
        </row>
        <row r="1333">
          <cell r="A1333" t="str">
            <v>130717</v>
          </cell>
          <cell r="B1333" t="str">
            <v>Caixa distribuição / passagem em chapa de aço galvanizado, aparente, n. 5 (80 x 80 x 12 cm)</v>
          </cell>
          <cell r="C1333" t="str">
            <v>ud</v>
          </cell>
          <cell r="D1333">
            <v>0</v>
          </cell>
          <cell r="F1333">
            <v>0</v>
          </cell>
        </row>
        <row r="1334">
          <cell r="A1334" t="str">
            <v>130718</v>
          </cell>
          <cell r="B1334" t="str">
            <v>Caixa distribuição / passagem em chapa de aço galvanizado, aparente, n. 6 (120 x 120 x 12 cm)</v>
          </cell>
          <cell r="C1334" t="str">
            <v>ud</v>
          </cell>
          <cell r="D1334">
            <v>0</v>
          </cell>
          <cell r="F1334">
            <v>0</v>
          </cell>
        </row>
        <row r="1335">
          <cell r="A1335" t="str">
            <v>130719</v>
          </cell>
          <cell r="B1335" t="str">
            <v>Caixa distribuição / passagem em chapa de aço galvanizado, embutida, n. 2 (20 x 20 x 12 cm)</v>
          </cell>
          <cell r="C1335" t="str">
            <v>ud</v>
          </cell>
          <cell r="D1335">
            <v>0</v>
          </cell>
          <cell r="F1335">
            <v>0</v>
          </cell>
        </row>
        <row r="1336">
          <cell r="A1336" t="str">
            <v>130720</v>
          </cell>
          <cell r="B1336" t="str">
            <v>Caixa distribuição / passagem em chapa de aço galvanizado, embutida, n. 3 (40 x 40 x 12 cm)</v>
          </cell>
          <cell r="C1336" t="str">
            <v>ud</v>
          </cell>
          <cell r="D1336">
            <v>0</v>
          </cell>
          <cell r="F1336">
            <v>0</v>
          </cell>
        </row>
        <row r="1337">
          <cell r="A1337" t="str">
            <v>130721</v>
          </cell>
          <cell r="B1337" t="str">
            <v>Caixa distribuição / passagem em chapa de aço galvanizado, embutida, n. 4 (60 x 60 x 12 cm)</v>
          </cell>
          <cell r="C1337" t="str">
            <v>ud</v>
          </cell>
          <cell r="D1337">
            <v>0</v>
          </cell>
          <cell r="F1337">
            <v>0</v>
          </cell>
        </row>
        <row r="1338">
          <cell r="A1338" t="str">
            <v>130722</v>
          </cell>
          <cell r="B1338" t="str">
            <v>Caixa distribuição / passagem em chapa de aço galvanizado, embutida, n. 5 (80 x 80 x 12 cm)</v>
          </cell>
          <cell r="C1338" t="str">
            <v>ud</v>
          </cell>
          <cell r="D1338">
            <v>0</v>
          </cell>
          <cell r="F1338">
            <v>0</v>
          </cell>
        </row>
        <row r="1339">
          <cell r="A1339" t="str">
            <v>130723</v>
          </cell>
          <cell r="B1339" t="str">
            <v>Caixa distribuição / passagem em chapa de aço galvanizado, embutida, n. 6 (120 x 120 x 12 cm)</v>
          </cell>
          <cell r="C1339" t="str">
            <v>ud</v>
          </cell>
          <cell r="D1339">
            <v>0</v>
          </cell>
          <cell r="F1339">
            <v>0</v>
          </cell>
        </row>
        <row r="1340">
          <cell r="A1340" t="str">
            <v>130724</v>
          </cell>
          <cell r="B1340" t="str">
            <v>Aterramento 6 mm²</v>
          </cell>
          <cell r="C1340" t="str">
            <v>ud</v>
          </cell>
          <cell r="D1340">
            <v>0</v>
          </cell>
          <cell r="F1340">
            <v>0</v>
          </cell>
        </row>
        <row r="1341">
          <cell r="A1341" t="str">
            <v>130725</v>
          </cell>
          <cell r="B1341" t="str">
            <v xml:space="preserve">Aterramento 10 mm² </v>
          </cell>
          <cell r="C1341" t="str">
            <v>ud</v>
          </cell>
          <cell r="D1341">
            <v>0</v>
          </cell>
          <cell r="F1341">
            <v>0</v>
          </cell>
        </row>
        <row r="1342">
          <cell r="A1342" t="str">
            <v>130726</v>
          </cell>
          <cell r="B1342" t="str">
            <v>Envelopamento em concreto não estrutural</v>
          </cell>
          <cell r="C1342" t="str">
            <v>m3</v>
          </cell>
          <cell r="D1342">
            <v>214.2</v>
          </cell>
          <cell r="E1342">
            <v>140.61000000000001</v>
          </cell>
          <cell r="F1342">
            <v>354.81</v>
          </cell>
        </row>
        <row r="1343">
          <cell r="A1343" t="str">
            <v>14</v>
          </cell>
          <cell r="B1343" t="str">
            <v>INSTALAÇÕES DE PRODUÇÃO</v>
          </cell>
        </row>
        <row r="1344">
          <cell r="A1344" t="str">
            <v>1401</v>
          </cell>
          <cell r="B1344" t="str">
            <v>INSTALAÇÃO DE CONJUNTO MOTOBOMBA</v>
          </cell>
        </row>
        <row r="1345">
          <cell r="A1345" t="str">
            <v>140101</v>
          </cell>
          <cell r="B1345" t="str">
            <v>Cj submerso para P. Prof. até 5 CV - Posicionamento</v>
          </cell>
          <cell r="C1345" t="str">
            <v>ud</v>
          </cell>
          <cell r="D1345">
            <v>194.16</v>
          </cell>
          <cell r="E1345">
            <v>0</v>
          </cell>
          <cell r="F1345">
            <v>194.16</v>
          </cell>
          <cell r="G1345" t="str">
            <v>73837/001</v>
          </cell>
        </row>
        <row r="1346">
          <cell r="A1346" t="str">
            <v>140102</v>
          </cell>
          <cell r="B1346" t="str">
            <v>Cj submerso para P. Prof. 6 CV a 25 CV - Posicionamento</v>
          </cell>
          <cell r="C1346" t="str">
            <v>ud</v>
          </cell>
          <cell r="D1346">
            <v>388.3</v>
          </cell>
          <cell r="E1346">
            <v>0</v>
          </cell>
          <cell r="F1346">
            <v>388.3</v>
          </cell>
          <cell r="G1346" t="str">
            <v>73837/002</v>
          </cell>
        </row>
        <row r="1347">
          <cell r="A1347" t="str">
            <v>140103</v>
          </cell>
          <cell r="B1347" t="str">
            <v>Cj submerso para P. Prof. 26 CV a 50 CV - Posicionamento</v>
          </cell>
          <cell r="C1347" t="str">
            <v>ud</v>
          </cell>
          <cell r="D1347">
            <v>776.6</v>
          </cell>
          <cell r="E1347">
            <v>0</v>
          </cell>
          <cell r="F1347">
            <v>776.6</v>
          </cell>
          <cell r="G1347" t="str">
            <v>73837/003</v>
          </cell>
        </row>
        <row r="1348">
          <cell r="A1348" t="str">
            <v>140104</v>
          </cell>
          <cell r="B1348" t="str">
            <v>Montagem de edutor de 1"</v>
          </cell>
          <cell r="C1348" t="str">
            <v>ud</v>
          </cell>
          <cell r="D1348">
            <v>26.92</v>
          </cell>
          <cell r="E1348">
            <v>0.16</v>
          </cell>
          <cell r="F1348">
            <v>27.08</v>
          </cell>
        </row>
        <row r="1349">
          <cell r="A1349" t="str">
            <v>140105</v>
          </cell>
          <cell r="B1349" t="str">
            <v>Montagem de edutor de 1 1/2"</v>
          </cell>
          <cell r="C1349" t="str">
            <v>ud</v>
          </cell>
          <cell r="D1349">
            <v>37.69</v>
          </cell>
          <cell r="E1349">
            <v>0.27</v>
          </cell>
          <cell r="F1349">
            <v>37.96</v>
          </cell>
        </row>
        <row r="1350">
          <cell r="A1350" t="str">
            <v>140106</v>
          </cell>
          <cell r="B1350" t="str">
            <v xml:space="preserve">Montagem de edutor de 2" </v>
          </cell>
          <cell r="C1350" t="str">
            <v>ud</v>
          </cell>
          <cell r="D1350">
            <v>40.380000000000003</v>
          </cell>
          <cell r="E1350">
            <v>0.35</v>
          </cell>
          <cell r="F1350">
            <v>40.729999999999997</v>
          </cell>
        </row>
        <row r="1351">
          <cell r="A1351" t="str">
            <v>140107</v>
          </cell>
          <cell r="B1351" t="str">
            <v xml:space="preserve">Montagem de edutor de 3" </v>
          </cell>
          <cell r="C1351" t="str">
            <v>ud</v>
          </cell>
          <cell r="D1351">
            <v>64.930000000000007</v>
          </cell>
          <cell r="E1351">
            <v>0.59</v>
          </cell>
          <cell r="F1351">
            <v>65.52</v>
          </cell>
        </row>
        <row r="1352">
          <cell r="A1352" t="str">
            <v>140108</v>
          </cell>
          <cell r="B1352" t="str">
            <v>Montagem de edutor de 4"</v>
          </cell>
          <cell r="C1352" t="str">
            <v>ud</v>
          </cell>
          <cell r="D1352">
            <v>75.760000000000005</v>
          </cell>
          <cell r="E1352">
            <v>0.86</v>
          </cell>
          <cell r="F1352">
            <v>76.62</v>
          </cell>
        </row>
        <row r="1353">
          <cell r="A1353" t="str">
            <v>140109</v>
          </cell>
          <cell r="B1353" t="str">
            <v>Montagem de edutor de 6"</v>
          </cell>
          <cell r="C1353" t="str">
            <v>ud</v>
          </cell>
          <cell r="D1353">
            <v>97.4</v>
          </cell>
          <cell r="E1353">
            <v>1.3</v>
          </cell>
          <cell r="F1353">
            <v>98.7</v>
          </cell>
        </row>
        <row r="1354">
          <cell r="A1354" t="str">
            <v>140110</v>
          </cell>
          <cell r="B1354" t="str">
            <v>Cj horizontal até 10 CV</v>
          </cell>
          <cell r="C1354" t="str">
            <v>ud</v>
          </cell>
          <cell r="D1354">
            <v>506.05</v>
          </cell>
          <cell r="E1354">
            <v>0</v>
          </cell>
          <cell r="F1354">
            <v>506.05</v>
          </cell>
          <cell r="G1354" t="str">
            <v>73836/001</v>
          </cell>
        </row>
        <row r="1355">
          <cell r="A1355" t="str">
            <v>140111</v>
          </cell>
          <cell r="B1355" t="str">
            <v xml:space="preserve">Cj horizontal 12,5 CV a 25 CV </v>
          </cell>
          <cell r="C1355" t="str">
            <v>ud</v>
          </cell>
          <cell r="D1355">
            <v>657.87</v>
          </cell>
          <cell r="E1355">
            <v>0</v>
          </cell>
          <cell r="F1355">
            <v>657.87</v>
          </cell>
          <cell r="G1355" t="str">
            <v>73836/002</v>
          </cell>
        </row>
        <row r="1356">
          <cell r="A1356" t="str">
            <v>140112</v>
          </cell>
          <cell r="B1356" t="str">
            <v xml:space="preserve">Cj horizontal 30 CV a 75 CV </v>
          </cell>
          <cell r="C1356" t="str">
            <v>ud</v>
          </cell>
          <cell r="D1356">
            <v>1012.1</v>
          </cell>
          <cell r="E1356">
            <v>0</v>
          </cell>
          <cell r="F1356">
            <v>1012.1</v>
          </cell>
          <cell r="G1356" t="str">
            <v>73836/003</v>
          </cell>
        </row>
        <row r="1357">
          <cell r="A1357" t="str">
            <v>140113</v>
          </cell>
          <cell r="B1357" t="str">
            <v xml:space="preserve">Cj horizontal 100 CV a  150 CV </v>
          </cell>
          <cell r="C1357" t="str">
            <v>ud</v>
          </cell>
          <cell r="D1357">
            <v>1619.36</v>
          </cell>
          <cell r="E1357">
            <v>0</v>
          </cell>
          <cell r="F1357">
            <v>1619.36</v>
          </cell>
          <cell r="G1357" t="str">
            <v>73836/004</v>
          </cell>
        </row>
        <row r="1358">
          <cell r="A1358" t="str">
            <v>140114</v>
          </cell>
          <cell r="B1358" t="str">
            <v xml:space="preserve">Cj horizontal 175 CV a  350 CV </v>
          </cell>
          <cell r="C1358" t="str">
            <v>ud</v>
          </cell>
          <cell r="D1358">
            <v>2024.2</v>
          </cell>
          <cell r="E1358">
            <v>0</v>
          </cell>
          <cell r="F1358">
            <v>2024.2</v>
          </cell>
        </row>
        <row r="1359">
          <cell r="A1359" t="str">
            <v>140115</v>
          </cell>
          <cell r="B1359" t="str">
            <v>Cj horizontal 400 CV a  600 CV</v>
          </cell>
          <cell r="C1359" t="str">
            <v>ud</v>
          </cell>
          <cell r="D1359">
            <v>2394.4299999999998</v>
          </cell>
          <cell r="E1359">
            <v>0</v>
          </cell>
          <cell r="F1359">
            <v>2394.4299999999998</v>
          </cell>
        </row>
        <row r="1360">
          <cell r="A1360" t="str">
            <v>140116</v>
          </cell>
          <cell r="B1360" t="str">
            <v>Cj horizontal monobloco até 10 CV</v>
          </cell>
          <cell r="C1360" t="str">
            <v>ud</v>
          </cell>
          <cell r="D1360">
            <v>404.84</v>
          </cell>
          <cell r="E1360">
            <v>0</v>
          </cell>
          <cell r="F1360">
            <v>404.84</v>
          </cell>
        </row>
        <row r="1361">
          <cell r="A1361" t="str">
            <v>140117</v>
          </cell>
          <cell r="B1361" t="str">
            <v>Cj horizontal monobloco 12,5 CV a 30 CV</v>
          </cell>
          <cell r="C1361" t="str">
            <v>ud</v>
          </cell>
          <cell r="D1361">
            <v>506.05</v>
          </cell>
          <cell r="E1361">
            <v>0</v>
          </cell>
          <cell r="F1361">
            <v>506.05</v>
          </cell>
        </row>
        <row r="1362">
          <cell r="A1362" t="str">
            <v>140118</v>
          </cell>
          <cell r="B1362" t="str">
            <v>Cj vertical de eixo prolongado até 100 CV</v>
          </cell>
          <cell r="C1362" t="str">
            <v>ud</v>
          </cell>
          <cell r="D1362">
            <v>1265.1300000000001</v>
          </cell>
          <cell r="E1362">
            <v>0</v>
          </cell>
          <cell r="F1362">
            <v>1265.1300000000001</v>
          </cell>
          <cell r="G1362" t="str">
            <v>73835/001</v>
          </cell>
        </row>
        <row r="1363">
          <cell r="A1363" t="str">
            <v>140119</v>
          </cell>
          <cell r="B1363" t="str">
            <v>Cj vertical de eixo prolongado 101 CV a 200 CV</v>
          </cell>
          <cell r="C1363" t="str">
            <v>ud</v>
          </cell>
          <cell r="D1363">
            <v>1720.57</v>
          </cell>
          <cell r="E1363">
            <v>0</v>
          </cell>
          <cell r="F1363">
            <v>1720.57</v>
          </cell>
          <cell r="G1363" t="str">
            <v>73835/002</v>
          </cell>
        </row>
        <row r="1364">
          <cell r="A1364" t="str">
            <v>140120</v>
          </cell>
          <cell r="B1364" t="str">
            <v>Cj vertical de eixo prolongado 201 CV a 300 CV</v>
          </cell>
          <cell r="C1364" t="str">
            <v>ud</v>
          </cell>
          <cell r="D1364">
            <v>1922.99</v>
          </cell>
          <cell r="E1364">
            <v>0</v>
          </cell>
          <cell r="F1364">
            <v>1922.99</v>
          </cell>
          <cell r="G1364" t="str">
            <v>73835/003</v>
          </cell>
        </row>
        <row r="1365">
          <cell r="A1365" t="str">
            <v>140121</v>
          </cell>
          <cell r="B1365" t="str">
            <v>Cj vertical de eixo prolongado 301 CV a 600 CV</v>
          </cell>
          <cell r="C1365" t="str">
            <v>ud</v>
          </cell>
          <cell r="D1365">
            <v>2024.2</v>
          </cell>
          <cell r="E1365">
            <v>0</v>
          </cell>
          <cell r="F1365">
            <v>2024.2</v>
          </cell>
        </row>
        <row r="1366">
          <cell r="A1366" t="str">
            <v>140122</v>
          </cell>
          <cell r="B1366" t="str">
            <v>Cj submersível até 10 CV</v>
          </cell>
          <cell r="C1366" t="str">
            <v>ud</v>
          </cell>
          <cell r="D1366">
            <v>194.16</v>
          </cell>
          <cell r="E1366">
            <v>0</v>
          </cell>
          <cell r="F1366">
            <v>194.16</v>
          </cell>
          <cell r="G1366" t="str">
            <v>73834/001</v>
          </cell>
        </row>
        <row r="1367">
          <cell r="A1367" t="str">
            <v>140123</v>
          </cell>
          <cell r="B1367" t="str">
            <v>Cj submersível 11 CV a    25 CV</v>
          </cell>
          <cell r="C1367" t="str">
            <v>ud</v>
          </cell>
          <cell r="D1367">
            <v>310.64</v>
          </cell>
          <cell r="E1367">
            <v>0</v>
          </cell>
          <cell r="F1367">
            <v>310.64</v>
          </cell>
          <cell r="G1367" t="str">
            <v>73834/002</v>
          </cell>
        </row>
        <row r="1368">
          <cell r="A1368" t="str">
            <v>140124</v>
          </cell>
          <cell r="B1368" t="str">
            <v>Cj submersível 26 CV a    50 CV</v>
          </cell>
          <cell r="C1368" t="str">
            <v>ud</v>
          </cell>
          <cell r="D1368">
            <v>621.28</v>
          </cell>
          <cell r="E1368">
            <v>0</v>
          </cell>
          <cell r="F1368">
            <v>621.28</v>
          </cell>
          <cell r="G1368" t="str">
            <v>73834/003</v>
          </cell>
        </row>
        <row r="1369">
          <cell r="A1369" t="str">
            <v>140125</v>
          </cell>
          <cell r="B1369" t="str">
            <v>Cj submersível 51 CV a  100 CV</v>
          </cell>
          <cell r="C1369" t="str">
            <v>ud</v>
          </cell>
          <cell r="D1369">
            <v>931.92</v>
          </cell>
          <cell r="E1369">
            <v>0</v>
          </cell>
          <cell r="F1369">
            <v>931.92</v>
          </cell>
          <cell r="G1369" t="str">
            <v>73834/004</v>
          </cell>
        </row>
        <row r="1370">
          <cell r="A1370" t="str">
            <v>140126</v>
          </cell>
          <cell r="B1370" t="str">
            <v>Cj submersível, com mangueira, até 10 CV</v>
          </cell>
          <cell r="C1370" t="str">
            <v>ud</v>
          </cell>
          <cell r="D1370">
            <v>194.16</v>
          </cell>
          <cell r="E1370">
            <v>0</v>
          </cell>
          <cell r="F1370">
            <v>194.16</v>
          </cell>
        </row>
        <row r="1371">
          <cell r="A1371" t="str">
            <v>1402</v>
          </cell>
          <cell r="B1371" t="str">
            <v>INSTALAÇÃO DE EQUIPAMENTOS DE MOVIMENTAÇÃO DE CARGAS</v>
          </cell>
        </row>
        <row r="1372">
          <cell r="A1372" t="str">
            <v>140201</v>
          </cell>
          <cell r="B1372" t="str">
            <v>Instalação de monovia</v>
          </cell>
          <cell r="C1372" t="str">
            <v>m</v>
          </cell>
          <cell r="D1372">
            <v>244.01</v>
          </cell>
          <cell r="E1372">
            <v>100.61</v>
          </cell>
          <cell r="F1372">
            <v>344.62</v>
          </cell>
        </row>
        <row r="1373">
          <cell r="A1373" t="str">
            <v>140202</v>
          </cell>
          <cell r="B1373" t="str">
            <v>Instalação de ponte rolante manual</v>
          </cell>
          <cell r="C1373" t="str">
            <v>ud</v>
          </cell>
          <cell r="D1373">
            <v>0</v>
          </cell>
          <cell r="F1373">
            <v>0</v>
          </cell>
        </row>
        <row r="1374">
          <cell r="A1374" t="str">
            <v>140203</v>
          </cell>
          <cell r="B1374" t="str">
            <v>Instalação de ponte rolante elétrica</v>
          </cell>
          <cell r="C1374" t="str">
            <v>ud</v>
          </cell>
          <cell r="D1374">
            <v>0</v>
          </cell>
          <cell r="F1374">
            <v>0</v>
          </cell>
        </row>
        <row r="1375">
          <cell r="A1375" t="str">
            <v>140204</v>
          </cell>
          <cell r="B1375" t="str">
            <v>Instalação de talha manual</v>
          </cell>
          <cell r="C1375" t="str">
            <v>ud</v>
          </cell>
          <cell r="D1375">
            <v>74.88</v>
          </cell>
          <cell r="E1375">
            <v>0</v>
          </cell>
          <cell r="F1375">
            <v>74.88</v>
          </cell>
        </row>
        <row r="1376">
          <cell r="A1376" t="str">
            <v>140205</v>
          </cell>
          <cell r="B1376" t="str">
            <v>Instalação de talha elétrica</v>
          </cell>
          <cell r="C1376" t="str">
            <v>ud</v>
          </cell>
          <cell r="D1376">
            <v>112.32</v>
          </cell>
          <cell r="E1376">
            <v>0</v>
          </cell>
          <cell r="F1376">
            <v>112.32</v>
          </cell>
        </row>
        <row r="1377">
          <cell r="A1377" t="str">
            <v>140206</v>
          </cell>
          <cell r="B1377" t="str">
            <v>Instalação de montacargas cap. até 300 kg</v>
          </cell>
          <cell r="C1377" t="str">
            <v>ud</v>
          </cell>
          <cell r="D1377">
            <v>0</v>
          </cell>
          <cell r="F1377">
            <v>0</v>
          </cell>
        </row>
        <row r="1378">
          <cell r="A1378" t="str">
            <v>140207</v>
          </cell>
          <cell r="B1378" t="str">
            <v>Instalação de montacargas cap. 301 a 1000 kg</v>
          </cell>
          <cell r="C1378" t="str">
            <v>ud</v>
          </cell>
          <cell r="D1378">
            <v>0</v>
          </cell>
          <cell r="F1378">
            <v>0</v>
          </cell>
        </row>
        <row r="1379">
          <cell r="A1379" t="str">
            <v>1403</v>
          </cell>
          <cell r="B1379" t="str">
            <v>INSTALAÇÃO DE EQUIPAMENTOS EM CANALIZAÇÕES</v>
          </cell>
        </row>
        <row r="1380">
          <cell r="A1380" t="str">
            <v>140301</v>
          </cell>
          <cell r="B1380" t="str">
            <v>Reservatório hidropneumático - RHO</v>
          </cell>
          <cell r="C1380" t="str">
            <v>ud</v>
          </cell>
          <cell r="D1380">
            <v>0</v>
          </cell>
          <cell r="F1380">
            <v>0</v>
          </cell>
        </row>
        <row r="1381">
          <cell r="A1381" t="str">
            <v>140302</v>
          </cell>
          <cell r="B1381" t="str">
            <v>Válvula de alívio até DN 100</v>
          </cell>
          <cell r="C1381" t="str">
            <v>ud</v>
          </cell>
          <cell r="D1381">
            <v>113.02</v>
          </cell>
          <cell r="E1381">
            <v>0</v>
          </cell>
          <cell r="F1381">
            <v>113.02</v>
          </cell>
          <cell r="G1381" t="str">
            <v>73884/003</v>
          </cell>
        </row>
        <row r="1382">
          <cell r="A1382" t="str">
            <v>140303</v>
          </cell>
          <cell r="B1382" t="str">
            <v>Válvula de alívio DN 150 a DN 200</v>
          </cell>
          <cell r="C1382" t="str">
            <v>ud</v>
          </cell>
          <cell r="D1382">
            <v>446.61</v>
          </cell>
          <cell r="E1382">
            <v>0</v>
          </cell>
          <cell r="F1382">
            <v>446.61</v>
          </cell>
          <cell r="G1382" t="str">
            <v>73884/004</v>
          </cell>
        </row>
        <row r="1383">
          <cell r="A1383" t="str">
            <v>140304</v>
          </cell>
          <cell r="B1383" t="str">
            <v>Válvula de retenção de portinhola simples até DN 100</v>
          </cell>
          <cell r="C1383" t="str">
            <v>ud</v>
          </cell>
          <cell r="D1383">
            <v>113.02</v>
          </cell>
          <cell r="E1383">
            <v>0</v>
          </cell>
          <cell r="F1383">
            <v>113.02</v>
          </cell>
          <cell r="G1383" t="str">
            <v>73884/003</v>
          </cell>
        </row>
        <row r="1384">
          <cell r="A1384" t="str">
            <v>140305</v>
          </cell>
          <cell r="B1384" t="str">
            <v>Válvula de retenção de portinhola simples DN 150 a DN 300</v>
          </cell>
          <cell r="C1384" t="str">
            <v>ud</v>
          </cell>
          <cell r="D1384">
            <v>707.14</v>
          </cell>
          <cell r="E1384">
            <v>0</v>
          </cell>
          <cell r="F1384">
            <v>707.14</v>
          </cell>
          <cell r="G1384" t="str">
            <v>73884/007</v>
          </cell>
        </row>
        <row r="1385">
          <cell r="A1385" t="str">
            <v>140306</v>
          </cell>
          <cell r="B1385" t="str">
            <v>Válvula de retenção de portinhola simples DN 350 a DN 500</v>
          </cell>
          <cell r="C1385" t="str">
            <v>ud</v>
          </cell>
          <cell r="D1385">
            <v>930.45</v>
          </cell>
          <cell r="E1385">
            <v>0</v>
          </cell>
          <cell r="F1385">
            <v>930.45</v>
          </cell>
          <cell r="G1385" t="str">
            <v>73884/011</v>
          </cell>
        </row>
        <row r="1386">
          <cell r="A1386" t="str">
            <v>140307</v>
          </cell>
          <cell r="B1386" t="str">
            <v>Válvula de retenção de portinhola simples DN 600</v>
          </cell>
          <cell r="C1386" t="str">
            <v>ud</v>
          </cell>
          <cell r="D1386">
            <v>1004.88</v>
          </cell>
          <cell r="E1386">
            <v>0</v>
          </cell>
          <cell r="F1386">
            <v>1004.88</v>
          </cell>
          <cell r="G1386" t="str">
            <v>73884/012</v>
          </cell>
        </row>
        <row r="1387">
          <cell r="A1387" t="str">
            <v>140308</v>
          </cell>
          <cell r="B1387" t="str">
            <v>Ventosa simples efeito DN 3/4" a DN 1 1/2"</v>
          </cell>
          <cell r="C1387" t="str">
            <v>ud</v>
          </cell>
          <cell r="D1387">
            <v>19.38</v>
          </cell>
          <cell r="E1387">
            <v>0.26</v>
          </cell>
          <cell r="F1387">
            <v>19.64</v>
          </cell>
        </row>
        <row r="1388">
          <cell r="A1388" t="str">
            <v>140309</v>
          </cell>
          <cell r="B1388" t="str">
            <v>Ventosa simples efeito DN 50</v>
          </cell>
          <cell r="C1388" t="str">
            <v>ud</v>
          </cell>
          <cell r="D1388">
            <v>57.42</v>
          </cell>
          <cell r="E1388">
            <v>0</v>
          </cell>
          <cell r="F1388">
            <v>57.42</v>
          </cell>
          <cell r="G1388" t="str">
            <v>73884/001</v>
          </cell>
        </row>
        <row r="1389">
          <cell r="A1389" t="str">
            <v>140310</v>
          </cell>
          <cell r="B1389" t="str">
            <v>Ventosa duplo efeito DN   50</v>
          </cell>
          <cell r="C1389" t="str">
            <v>ud</v>
          </cell>
          <cell r="D1389">
            <v>57.36</v>
          </cell>
          <cell r="E1389">
            <v>0</v>
          </cell>
          <cell r="F1389">
            <v>57.36</v>
          </cell>
        </row>
        <row r="1390">
          <cell r="A1390" t="str">
            <v>140311</v>
          </cell>
          <cell r="B1390" t="str">
            <v>Ventosa duplo efeito DN 100</v>
          </cell>
          <cell r="C1390" t="str">
            <v>ud</v>
          </cell>
          <cell r="D1390">
            <v>113.24</v>
          </cell>
          <cell r="E1390">
            <v>0</v>
          </cell>
          <cell r="F1390">
            <v>113.24</v>
          </cell>
        </row>
        <row r="1391">
          <cell r="A1391" t="str">
            <v>140312</v>
          </cell>
          <cell r="B1391" t="str">
            <v>Ventosa duplo efeito DN 150</v>
          </cell>
          <cell r="C1391" t="str">
            <v>ud</v>
          </cell>
          <cell r="D1391">
            <v>135.88999999999999</v>
          </cell>
          <cell r="E1391">
            <v>0</v>
          </cell>
          <cell r="F1391">
            <v>135.88999999999999</v>
          </cell>
        </row>
        <row r="1392">
          <cell r="A1392" t="str">
            <v>140313</v>
          </cell>
          <cell r="B1392" t="str">
            <v>Ventosa duplo efeito DN 200</v>
          </cell>
          <cell r="C1392" t="str">
            <v>ud</v>
          </cell>
          <cell r="D1392">
            <v>158.54</v>
          </cell>
          <cell r="E1392">
            <v>0</v>
          </cell>
          <cell r="F1392">
            <v>158.54</v>
          </cell>
        </row>
        <row r="1393">
          <cell r="A1393" t="str">
            <v>140314</v>
          </cell>
          <cell r="B1393" t="str">
            <v>Reg. Aut. Unidirecional (RAU) até DN 75</v>
          </cell>
          <cell r="C1393" t="str">
            <v>ud</v>
          </cell>
          <cell r="D1393">
            <v>99.65</v>
          </cell>
          <cell r="E1393">
            <v>0</v>
          </cell>
          <cell r="F1393">
            <v>99.65</v>
          </cell>
        </row>
        <row r="1394">
          <cell r="A1394" t="str">
            <v>140315</v>
          </cell>
          <cell r="B1394" t="str">
            <v>Reg. Aut. Unidirecional (RAU)  DN 150</v>
          </cell>
          <cell r="C1394" t="str">
            <v>ud</v>
          </cell>
          <cell r="D1394">
            <v>149.47999999999999</v>
          </cell>
          <cell r="E1394">
            <v>0</v>
          </cell>
          <cell r="F1394">
            <v>149.47999999999999</v>
          </cell>
        </row>
        <row r="1395">
          <cell r="A1395" t="str">
            <v>140316</v>
          </cell>
          <cell r="B1395" t="str">
            <v>Reg. Aut. Unidirecional (RAU)  DN 200</v>
          </cell>
          <cell r="C1395" t="str">
            <v>ud</v>
          </cell>
          <cell r="D1395">
            <v>174.4</v>
          </cell>
          <cell r="E1395">
            <v>0</v>
          </cell>
          <cell r="F1395">
            <v>174.4</v>
          </cell>
        </row>
        <row r="1396">
          <cell r="A1396" t="str">
            <v>140317</v>
          </cell>
          <cell r="B1396" t="str">
            <v>Válvula Solenóide DN 1/8" a DN 1 1/4"</v>
          </cell>
          <cell r="C1396" t="str">
            <v>ud</v>
          </cell>
          <cell r="D1396">
            <v>17.22</v>
          </cell>
          <cell r="E1396">
            <v>0.16</v>
          </cell>
          <cell r="F1396">
            <v>17.38</v>
          </cell>
        </row>
        <row r="1397">
          <cell r="A1397" t="str">
            <v>140318</v>
          </cell>
          <cell r="B1397" t="str">
            <v>Válvula auto-operada até  DN 3"</v>
          </cell>
          <cell r="C1397" t="str">
            <v>ud</v>
          </cell>
          <cell r="D1397">
            <v>99.65</v>
          </cell>
          <cell r="E1397">
            <v>0</v>
          </cell>
          <cell r="F1397">
            <v>99.65</v>
          </cell>
        </row>
        <row r="1398">
          <cell r="A1398" t="str">
            <v>140319</v>
          </cell>
          <cell r="B1398" t="str">
            <v>Válvula auto-operada DN 4" e DN   6"</v>
          </cell>
          <cell r="C1398" t="str">
            <v>ud</v>
          </cell>
          <cell r="D1398">
            <v>137.03</v>
          </cell>
          <cell r="E1398">
            <v>0</v>
          </cell>
          <cell r="F1398">
            <v>137.03</v>
          </cell>
        </row>
        <row r="1399">
          <cell r="A1399" t="str">
            <v>140320</v>
          </cell>
          <cell r="B1399" t="str">
            <v>Válvula auto-operada DN 8" e DN 10"</v>
          </cell>
          <cell r="C1399" t="str">
            <v>ud</v>
          </cell>
          <cell r="D1399">
            <v>193.08</v>
          </cell>
          <cell r="E1399">
            <v>0</v>
          </cell>
          <cell r="F1399">
            <v>193.08</v>
          </cell>
        </row>
        <row r="1400">
          <cell r="A1400" t="str">
            <v>140321</v>
          </cell>
          <cell r="B1400" t="str">
            <v>Válvula auto-operada DN 12" e DN 14"</v>
          </cell>
          <cell r="C1400" t="str">
            <v>ud</v>
          </cell>
          <cell r="D1400">
            <v>242.9</v>
          </cell>
          <cell r="E1400">
            <v>0</v>
          </cell>
          <cell r="F1400">
            <v>242.9</v>
          </cell>
        </row>
        <row r="1401">
          <cell r="A1401" t="str">
            <v>140322</v>
          </cell>
          <cell r="B1401" t="str">
            <v>Válvula auto-operada DN 16" e DN 18"</v>
          </cell>
          <cell r="C1401" t="str">
            <v>ud</v>
          </cell>
          <cell r="D1401">
            <v>280.27</v>
          </cell>
          <cell r="E1401">
            <v>0</v>
          </cell>
          <cell r="F1401">
            <v>280.27</v>
          </cell>
        </row>
        <row r="1402">
          <cell r="A1402" t="str">
            <v>140323</v>
          </cell>
          <cell r="B1402" t="str">
            <v>Válvula auto-operada DN 20"</v>
          </cell>
          <cell r="C1402" t="str">
            <v>ud</v>
          </cell>
          <cell r="D1402">
            <v>1010.85</v>
          </cell>
          <cell r="E1402">
            <v>0</v>
          </cell>
          <cell r="F1402">
            <v>1010.85</v>
          </cell>
        </row>
        <row r="1403">
          <cell r="A1403" t="str">
            <v>140324</v>
          </cell>
          <cell r="B1403" t="str">
            <v>Válvula redutora de pressão DN 1/2" a DN 2"</v>
          </cell>
          <cell r="C1403" t="str">
            <v>ud</v>
          </cell>
          <cell r="D1403">
            <v>23.97</v>
          </cell>
          <cell r="E1403">
            <v>0.35</v>
          </cell>
          <cell r="F1403">
            <v>24.32</v>
          </cell>
        </row>
        <row r="1404">
          <cell r="A1404" t="str">
            <v>140325</v>
          </cell>
          <cell r="B1404" t="str">
            <v>Válvula redutora de pressão DN 3" e DN 4"</v>
          </cell>
          <cell r="C1404" t="str">
            <v>ud</v>
          </cell>
          <cell r="D1404">
            <v>37.44</v>
          </cell>
          <cell r="E1404">
            <v>0.86</v>
          </cell>
          <cell r="F1404">
            <v>38.299999999999997</v>
          </cell>
        </row>
        <row r="1405">
          <cell r="A1405" t="str">
            <v>1404</v>
          </cell>
          <cell r="B1405" t="str">
            <v>INSTALAÇÃO DE VÁLVULA OU REGISTRO</v>
          </cell>
        </row>
        <row r="1406">
          <cell r="A1406" t="str">
            <v>140401</v>
          </cell>
          <cell r="B1406" t="str">
            <v>Junta elástica DN 50</v>
          </cell>
          <cell r="C1406" t="str">
            <v>ud</v>
          </cell>
          <cell r="D1406">
            <v>27.66</v>
          </cell>
          <cell r="E1406">
            <v>0.56000000000000005</v>
          </cell>
          <cell r="F1406">
            <v>28.22</v>
          </cell>
          <cell r="G1406" t="str">
            <v>73885/001</v>
          </cell>
        </row>
        <row r="1407">
          <cell r="A1407" t="str">
            <v>140402</v>
          </cell>
          <cell r="B1407" t="str">
            <v>Junta elástica DN 75</v>
          </cell>
          <cell r="C1407" t="str">
            <v>ud</v>
          </cell>
          <cell r="D1407">
            <v>32.880000000000003</v>
          </cell>
          <cell r="E1407">
            <v>1.02</v>
          </cell>
          <cell r="F1407">
            <v>33.9</v>
          </cell>
          <cell r="G1407" t="str">
            <v>73885/002</v>
          </cell>
        </row>
        <row r="1408">
          <cell r="A1408" t="str">
            <v>140403</v>
          </cell>
          <cell r="B1408" t="str">
            <v>Junta elástica DN 80</v>
          </cell>
          <cell r="C1408" t="str">
            <v>ud</v>
          </cell>
          <cell r="D1408">
            <v>32.880000000000003</v>
          </cell>
          <cell r="E1408">
            <v>1.02</v>
          </cell>
          <cell r="F1408">
            <v>33.9</v>
          </cell>
          <cell r="G1408" t="str">
            <v>73885/002</v>
          </cell>
        </row>
        <row r="1409">
          <cell r="A1409" t="str">
            <v>140404</v>
          </cell>
          <cell r="B1409" t="str">
            <v>Junta elástica DN 100</v>
          </cell>
          <cell r="C1409" t="str">
            <v>ud</v>
          </cell>
          <cell r="D1409">
            <v>37.270000000000003</v>
          </cell>
          <cell r="E1409">
            <v>1.1499999999999999</v>
          </cell>
          <cell r="F1409">
            <v>38.42</v>
          </cell>
          <cell r="G1409" t="str">
            <v>73885/003</v>
          </cell>
        </row>
        <row r="1410">
          <cell r="A1410" t="str">
            <v>140405</v>
          </cell>
          <cell r="B1410" t="str">
            <v>Junta elástica DN 150</v>
          </cell>
          <cell r="C1410" t="str">
            <v>ud</v>
          </cell>
          <cell r="D1410">
            <v>157.19999999999999</v>
          </cell>
          <cell r="E1410">
            <v>6.55</v>
          </cell>
          <cell r="F1410">
            <v>163.75</v>
          </cell>
          <cell r="G1410" t="str">
            <v>73885/004</v>
          </cell>
        </row>
        <row r="1411">
          <cell r="A1411" t="str">
            <v>140406</v>
          </cell>
          <cell r="B1411" t="str">
            <v>Junta elástica DN 200</v>
          </cell>
          <cell r="C1411" t="str">
            <v>ud</v>
          </cell>
          <cell r="D1411">
            <v>203.64</v>
          </cell>
          <cell r="E1411">
            <v>8.48</v>
          </cell>
          <cell r="F1411">
            <v>212.12</v>
          </cell>
          <cell r="G1411" t="str">
            <v>73885/005</v>
          </cell>
        </row>
        <row r="1412">
          <cell r="A1412" t="str">
            <v>140407</v>
          </cell>
          <cell r="B1412" t="str">
            <v>Junta elástica DN 250</v>
          </cell>
          <cell r="C1412" t="str">
            <v>ud</v>
          </cell>
          <cell r="D1412">
            <v>239.37</v>
          </cell>
          <cell r="E1412">
            <v>9.9700000000000006</v>
          </cell>
          <cell r="F1412">
            <v>249.34</v>
          </cell>
          <cell r="G1412" t="str">
            <v>73885/006</v>
          </cell>
        </row>
        <row r="1413">
          <cell r="A1413" t="str">
            <v>140408</v>
          </cell>
          <cell r="B1413" t="str">
            <v>Junta elástica DN 300</v>
          </cell>
          <cell r="C1413" t="str">
            <v>ud</v>
          </cell>
          <cell r="D1413">
            <v>260.81</v>
          </cell>
          <cell r="E1413">
            <v>10.87</v>
          </cell>
          <cell r="F1413">
            <v>271.68</v>
          </cell>
          <cell r="G1413" t="str">
            <v>73885/007</v>
          </cell>
        </row>
        <row r="1414">
          <cell r="A1414" t="str">
            <v>140409</v>
          </cell>
          <cell r="B1414" t="str">
            <v>Junta elástica DN 350</v>
          </cell>
          <cell r="C1414" t="str">
            <v>ud</v>
          </cell>
          <cell r="D1414">
            <v>282.85000000000002</v>
          </cell>
          <cell r="E1414">
            <v>14.89</v>
          </cell>
          <cell r="F1414">
            <v>297.74</v>
          </cell>
          <cell r="G1414" t="str">
            <v>73885/008</v>
          </cell>
        </row>
        <row r="1415">
          <cell r="A1415" t="str">
            <v>140410</v>
          </cell>
          <cell r="B1415" t="str">
            <v>Junta elástica DN 400</v>
          </cell>
          <cell r="C1415" t="str">
            <v>ud</v>
          </cell>
          <cell r="D1415">
            <v>311.13</v>
          </cell>
          <cell r="E1415">
            <v>16.37</v>
          </cell>
          <cell r="F1415">
            <v>327.5</v>
          </cell>
          <cell r="G1415" t="str">
            <v>73885/009</v>
          </cell>
        </row>
        <row r="1416">
          <cell r="A1416" t="str">
            <v>140411</v>
          </cell>
          <cell r="B1416" t="str">
            <v>Junta elástica DN 450</v>
          </cell>
          <cell r="C1416" t="str">
            <v>ud</v>
          </cell>
          <cell r="D1416">
            <v>335.88</v>
          </cell>
          <cell r="E1416">
            <v>17.68</v>
          </cell>
          <cell r="F1416">
            <v>353.56</v>
          </cell>
          <cell r="G1416" t="str">
            <v>73885/010</v>
          </cell>
        </row>
        <row r="1417">
          <cell r="A1417" t="str">
            <v>140412</v>
          </cell>
          <cell r="B1417" t="str">
            <v>Junta elástica DN 500</v>
          </cell>
          <cell r="C1417" t="str">
            <v>ud</v>
          </cell>
          <cell r="D1417">
            <v>364.74</v>
          </cell>
          <cell r="E1417">
            <v>7.44</v>
          </cell>
          <cell r="F1417">
            <v>372.18</v>
          </cell>
          <cell r="G1417" t="str">
            <v>73885/011</v>
          </cell>
        </row>
        <row r="1418">
          <cell r="A1418" t="str">
            <v>140413</v>
          </cell>
          <cell r="B1418" t="str">
            <v>Junta elástica DN 600</v>
          </cell>
          <cell r="C1418" t="str">
            <v>ud</v>
          </cell>
          <cell r="D1418">
            <v>415.78</v>
          </cell>
          <cell r="E1418">
            <v>8.49</v>
          </cell>
          <cell r="F1418">
            <v>424.27</v>
          </cell>
          <cell r="G1418" t="str">
            <v>73885/012</v>
          </cell>
        </row>
        <row r="1419">
          <cell r="A1419" t="str">
            <v>140414</v>
          </cell>
          <cell r="B1419" t="str">
            <v>Junta flangeada DN 50</v>
          </cell>
          <cell r="C1419" t="str">
            <v>ud</v>
          </cell>
          <cell r="D1419">
            <v>57.42</v>
          </cell>
          <cell r="E1419">
            <v>0</v>
          </cell>
          <cell r="F1419">
            <v>57.42</v>
          </cell>
          <cell r="G1419" t="str">
            <v>73884/001</v>
          </cell>
        </row>
        <row r="1420">
          <cell r="A1420" t="str">
            <v>140415</v>
          </cell>
          <cell r="B1420" t="str">
            <v>Junta flangeada DN 75</v>
          </cell>
          <cell r="C1420" t="str">
            <v>ud</v>
          </cell>
          <cell r="D1420">
            <v>90.41</v>
          </cell>
          <cell r="E1420">
            <v>0</v>
          </cell>
          <cell r="F1420">
            <v>90.41</v>
          </cell>
          <cell r="G1420" t="str">
            <v>73884/002</v>
          </cell>
        </row>
        <row r="1421">
          <cell r="A1421" t="str">
            <v>140416</v>
          </cell>
          <cell r="B1421" t="str">
            <v>Junta flangeada DN 80</v>
          </cell>
          <cell r="C1421" t="str">
            <v>ud</v>
          </cell>
          <cell r="D1421">
            <v>90.41</v>
          </cell>
          <cell r="E1421">
            <v>0</v>
          </cell>
          <cell r="F1421">
            <v>90.41</v>
          </cell>
          <cell r="G1421" t="str">
            <v>73884/002</v>
          </cell>
        </row>
        <row r="1422">
          <cell r="A1422" t="str">
            <v>140417</v>
          </cell>
          <cell r="B1422" t="str">
            <v>Junta flangeada DN 100</v>
          </cell>
          <cell r="C1422" t="str">
            <v>ud</v>
          </cell>
          <cell r="D1422">
            <v>113.02</v>
          </cell>
          <cell r="E1422">
            <v>0</v>
          </cell>
          <cell r="F1422">
            <v>113.02</v>
          </cell>
          <cell r="G1422" t="str">
            <v>73884/003</v>
          </cell>
        </row>
        <row r="1423">
          <cell r="A1423" t="str">
            <v>140418</v>
          </cell>
          <cell r="B1423" t="str">
            <v>Junta flangeada DN 150</v>
          </cell>
          <cell r="C1423" t="str">
            <v>ud</v>
          </cell>
          <cell r="D1423">
            <v>446.61</v>
          </cell>
          <cell r="E1423">
            <v>0</v>
          </cell>
          <cell r="F1423">
            <v>446.61</v>
          </cell>
          <cell r="G1423" t="str">
            <v>73884/004</v>
          </cell>
        </row>
        <row r="1424">
          <cell r="A1424" t="str">
            <v>140419</v>
          </cell>
          <cell r="B1424" t="str">
            <v>Junta flangeada DN 200</v>
          </cell>
          <cell r="C1424" t="str">
            <v>ud</v>
          </cell>
          <cell r="D1424">
            <v>521.04999999999995</v>
          </cell>
          <cell r="E1424">
            <v>0</v>
          </cell>
          <cell r="F1424">
            <v>521.04999999999995</v>
          </cell>
          <cell r="G1424" t="str">
            <v>73884/005</v>
          </cell>
        </row>
        <row r="1425">
          <cell r="A1425" t="str">
            <v>140420</v>
          </cell>
          <cell r="B1425" t="str">
            <v>Junta flangeada DN 250</v>
          </cell>
          <cell r="C1425" t="str">
            <v>ud</v>
          </cell>
          <cell r="D1425">
            <v>632.70000000000005</v>
          </cell>
          <cell r="E1425">
            <v>0</v>
          </cell>
          <cell r="F1425">
            <v>632.70000000000005</v>
          </cell>
          <cell r="G1425" t="str">
            <v>73884/006</v>
          </cell>
        </row>
        <row r="1426">
          <cell r="A1426" t="str">
            <v>140421</v>
          </cell>
          <cell r="B1426" t="str">
            <v>Junta flangeada DN 300</v>
          </cell>
          <cell r="C1426" t="str">
            <v>ud</v>
          </cell>
          <cell r="D1426">
            <v>707.14</v>
          </cell>
          <cell r="E1426">
            <v>0</v>
          </cell>
          <cell r="F1426">
            <v>707.14</v>
          </cell>
          <cell r="G1426" t="str">
            <v>73884/007</v>
          </cell>
        </row>
        <row r="1427">
          <cell r="A1427" t="str">
            <v>140422</v>
          </cell>
          <cell r="B1427" t="str">
            <v>Junta flangeada DN 350</v>
          </cell>
          <cell r="C1427" t="str">
            <v>ud</v>
          </cell>
          <cell r="D1427">
            <v>744.36</v>
          </cell>
          <cell r="E1427">
            <v>0</v>
          </cell>
          <cell r="F1427">
            <v>744.36</v>
          </cell>
          <cell r="G1427" t="str">
            <v>73884/008</v>
          </cell>
        </row>
        <row r="1428">
          <cell r="A1428" t="str">
            <v>140423</v>
          </cell>
          <cell r="B1428" t="str">
            <v>Junta flangeada DN 400</v>
          </cell>
          <cell r="C1428" t="str">
            <v>ud</v>
          </cell>
          <cell r="D1428">
            <v>818.79</v>
          </cell>
          <cell r="E1428">
            <v>0</v>
          </cell>
          <cell r="F1428">
            <v>818.79</v>
          </cell>
          <cell r="G1428" t="str">
            <v>73884/009</v>
          </cell>
        </row>
        <row r="1429">
          <cell r="A1429" t="str">
            <v>140424</v>
          </cell>
          <cell r="B1429" t="str">
            <v>Junta flangeada DN 450</v>
          </cell>
          <cell r="C1429" t="str">
            <v>ud</v>
          </cell>
          <cell r="D1429">
            <v>856.01</v>
          </cell>
          <cell r="E1429">
            <v>0</v>
          </cell>
          <cell r="F1429">
            <v>856.01</v>
          </cell>
          <cell r="G1429" t="str">
            <v>73884/010</v>
          </cell>
        </row>
        <row r="1430">
          <cell r="A1430" t="str">
            <v>140425</v>
          </cell>
          <cell r="B1430" t="str">
            <v>Junta flangeada DN 500</v>
          </cell>
          <cell r="C1430" t="str">
            <v>ud</v>
          </cell>
          <cell r="D1430">
            <v>930.45</v>
          </cell>
          <cell r="E1430">
            <v>0</v>
          </cell>
          <cell r="F1430">
            <v>930.45</v>
          </cell>
          <cell r="G1430" t="str">
            <v>73884/011</v>
          </cell>
        </row>
        <row r="1431">
          <cell r="A1431" t="str">
            <v>140426</v>
          </cell>
          <cell r="B1431" t="str">
            <v>Junta flangeada DN 600</v>
          </cell>
          <cell r="C1431" t="str">
            <v>ud</v>
          </cell>
          <cell r="D1431">
            <v>1004.88</v>
          </cell>
          <cell r="E1431">
            <v>0</v>
          </cell>
          <cell r="F1431">
            <v>1004.88</v>
          </cell>
          <cell r="G1431" t="str">
            <v>73884/012</v>
          </cell>
        </row>
        <row r="1432">
          <cell r="A1432" t="str">
            <v>140427</v>
          </cell>
          <cell r="B1432" t="str">
            <v xml:space="preserve">Junta flangeada DN 700 </v>
          </cell>
          <cell r="C1432" t="str">
            <v>ud</v>
          </cell>
          <cell r="D1432">
            <v>1134.22</v>
          </cell>
          <cell r="E1432">
            <v>0</v>
          </cell>
          <cell r="F1432">
            <v>1134.22</v>
          </cell>
          <cell r="G1432" t="str">
            <v>73884/013</v>
          </cell>
        </row>
        <row r="1433">
          <cell r="A1433" t="str">
            <v>140428</v>
          </cell>
          <cell r="B1433" t="str">
            <v>Junta flangeada DN 800</v>
          </cell>
          <cell r="C1433" t="str">
            <v>ud</v>
          </cell>
          <cell r="D1433">
            <v>1134.22</v>
          </cell>
          <cell r="E1433">
            <v>0</v>
          </cell>
          <cell r="F1433">
            <v>1134.22</v>
          </cell>
          <cell r="G1433" t="str">
            <v>73884/014</v>
          </cell>
        </row>
        <row r="1434">
          <cell r="A1434" t="str">
            <v>140429</v>
          </cell>
          <cell r="B1434" t="str">
            <v>Junta flangeada DN 900</v>
          </cell>
          <cell r="C1434" t="str">
            <v>ud</v>
          </cell>
          <cell r="D1434">
            <v>1148.8</v>
          </cell>
          <cell r="E1434">
            <v>0</v>
          </cell>
          <cell r="F1434">
            <v>1148.8</v>
          </cell>
          <cell r="G1434" t="str">
            <v>73884/015</v>
          </cell>
        </row>
        <row r="1435">
          <cell r="A1435" t="str">
            <v>140430</v>
          </cell>
          <cell r="B1435" t="str">
            <v>Junta flangeada DN 1000</v>
          </cell>
          <cell r="C1435" t="str">
            <v>ud</v>
          </cell>
          <cell r="D1435">
            <v>1296.25</v>
          </cell>
          <cell r="E1435">
            <v>0</v>
          </cell>
          <cell r="F1435">
            <v>1296.25</v>
          </cell>
          <cell r="G1435" t="str">
            <v>73884/016</v>
          </cell>
        </row>
        <row r="1436">
          <cell r="A1436" t="str">
            <v>140431</v>
          </cell>
          <cell r="B1436" t="str">
            <v>Entre flanges até DN 200</v>
          </cell>
          <cell r="C1436" t="str">
            <v>ud</v>
          </cell>
          <cell r="D1436">
            <v>521.04999999999995</v>
          </cell>
          <cell r="E1436">
            <v>0</v>
          </cell>
          <cell r="F1436">
            <v>521.04999999999995</v>
          </cell>
          <cell r="G1436" t="str">
            <v>73884/005</v>
          </cell>
        </row>
        <row r="1437">
          <cell r="A1437" t="str">
            <v>140432</v>
          </cell>
          <cell r="B1437" t="str">
            <v>Entre flanges  DN 250</v>
          </cell>
          <cell r="C1437" t="str">
            <v>ud</v>
          </cell>
          <cell r="D1437">
            <v>632.70000000000005</v>
          </cell>
          <cell r="E1437">
            <v>0</v>
          </cell>
          <cell r="F1437">
            <v>632.70000000000005</v>
          </cell>
          <cell r="G1437" t="str">
            <v>73884/006</v>
          </cell>
        </row>
        <row r="1438">
          <cell r="A1438" t="str">
            <v>140433</v>
          </cell>
          <cell r="B1438" t="str">
            <v>Entre flanges  DN 300</v>
          </cell>
          <cell r="C1438" t="str">
            <v>ud</v>
          </cell>
          <cell r="D1438">
            <v>707.14</v>
          </cell>
          <cell r="E1438">
            <v>0</v>
          </cell>
          <cell r="F1438">
            <v>707.14</v>
          </cell>
          <cell r="G1438" t="str">
            <v>73884/007</v>
          </cell>
        </row>
        <row r="1439">
          <cell r="A1439" t="str">
            <v>140434</v>
          </cell>
          <cell r="B1439" t="str">
            <v>Entre flanges  DN 400</v>
          </cell>
          <cell r="C1439" t="str">
            <v>ud</v>
          </cell>
          <cell r="D1439">
            <v>818.79</v>
          </cell>
          <cell r="E1439">
            <v>0</v>
          </cell>
          <cell r="F1439">
            <v>818.79</v>
          </cell>
          <cell r="G1439" t="str">
            <v>73884/009</v>
          </cell>
        </row>
        <row r="1440">
          <cell r="A1440" t="str">
            <v>140435</v>
          </cell>
          <cell r="B1440" t="str">
            <v>Entre flanges  DN 450</v>
          </cell>
          <cell r="C1440" t="str">
            <v>ud</v>
          </cell>
          <cell r="D1440">
            <v>856.01</v>
          </cell>
          <cell r="E1440">
            <v>0</v>
          </cell>
          <cell r="F1440">
            <v>856.01</v>
          </cell>
          <cell r="G1440" t="str">
            <v>73884/010</v>
          </cell>
        </row>
        <row r="1441">
          <cell r="A1441" t="str">
            <v>140436</v>
          </cell>
          <cell r="B1441" t="str">
            <v>Entre flanges  DN 500</v>
          </cell>
          <cell r="C1441" t="str">
            <v>ud</v>
          </cell>
          <cell r="D1441">
            <v>930.45</v>
          </cell>
          <cell r="E1441">
            <v>0</v>
          </cell>
          <cell r="F1441">
            <v>930.45</v>
          </cell>
          <cell r="G1441" t="str">
            <v>73884/011</v>
          </cell>
        </row>
        <row r="1442">
          <cell r="A1442" t="str">
            <v>140437</v>
          </cell>
          <cell r="B1442" t="str">
            <v>Entre flanges  DN 600</v>
          </cell>
          <cell r="C1442" t="str">
            <v>ud</v>
          </cell>
          <cell r="D1442">
            <v>1004.88</v>
          </cell>
          <cell r="E1442">
            <v>0</v>
          </cell>
          <cell r="F1442">
            <v>1004.88</v>
          </cell>
          <cell r="G1442" t="str">
            <v>73884/012</v>
          </cell>
        </row>
        <row r="1443">
          <cell r="A1443" t="str">
            <v>140438</v>
          </cell>
          <cell r="B1443" t="str">
            <v>Junta rosqueada FG / Bronze até 1"</v>
          </cell>
          <cell r="C1443" t="str">
            <v>ud</v>
          </cell>
          <cell r="D1443">
            <v>34.450000000000003</v>
          </cell>
          <cell r="E1443">
            <v>0.32</v>
          </cell>
          <cell r="F1443">
            <v>34.770000000000003</v>
          </cell>
        </row>
        <row r="1444">
          <cell r="A1444" t="str">
            <v>140439</v>
          </cell>
          <cell r="B1444" t="str">
            <v>Junta rosqueada FG / Bronze 1.1/4" a 2"</v>
          </cell>
          <cell r="C1444" t="str">
            <v>ud</v>
          </cell>
          <cell r="D1444">
            <v>47.92</v>
          </cell>
          <cell r="E1444">
            <v>0.7</v>
          </cell>
          <cell r="F1444">
            <v>48.62</v>
          </cell>
        </row>
        <row r="1445">
          <cell r="A1445" t="str">
            <v>140440</v>
          </cell>
          <cell r="B1445" t="str">
            <v>Junta rosqueada FG / Bronze 2.1/2" a 3"</v>
          </cell>
          <cell r="C1445" t="str">
            <v>ud</v>
          </cell>
          <cell r="D1445">
            <v>59.9</v>
          </cell>
          <cell r="E1445">
            <v>1.19</v>
          </cell>
          <cell r="F1445">
            <v>61.09</v>
          </cell>
        </row>
        <row r="1446">
          <cell r="A1446" t="str">
            <v>140441</v>
          </cell>
          <cell r="B1446" t="str">
            <v>Junta rosqueada FG / Bronze 4"</v>
          </cell>
          <cell r="C1446" t="str">
            <v>ud</v>
          </cell>
          <cell r="D1446">
            <v>89.86</v>
          </cell>
          <cell r="E1446">
            <v>1.73</v>
          </cell>
          <cell r="F1446">
            <v>91.59</v>
          </cell>
        </row>
        <row r="1447">
          <cell r="A1447" t="str">
            <v>140442</v>
          </cell>
          <cell r="B1447" t="str">
            <v>Junta rosqueada PVC até 1"</v>
          </cell>
          <cell r="C1447" t="str">
            <v>ud</v>
          </cell>
          <cell r="D1447">
            <v>17.22</v>
          </cell>
          <cell r="E1447">
            <v>0.32</v>
          </cell>
          <cell r="F1447">
            <v>17.54</v>
          </cell>
        </row>
        <row r="1448">
          <cell r="A1448" t="str">
            <v>140443</v>
          </cell>
          <cell r="B1448" t="str">
            <v>Junta rosqueada PVC 1.1/4" a 2"</v>
          </cell>
          <cell r="C1448" t="str">
            <v>ud</v>
          </cell>
          <cell r="D1448">
            <v>23.97</v>
          </cell>
          <cell r="E1448">
            <v>0.7</v>
          </cell>
          <cell r="F1448">
            <v>24.67</v>
          </cell>
        </row>
        <row r="1449">
          <cell r="A1449" t="str">
            <v>140444</v>
          </cell>
          <cell r="B1449" t="str">
            <v>Junta rosqueada PVC 2.1/2" a 3"</v>
          </cell>
          <cell r="C1449" t="str">
            <v>ud</v>
          </cell>
          <cell r="D1449">
            <v>29.95</v>
          </cell>
          <cell r="E1449">
            <v>1.19</v>
          </cell>
          <cell r="F1449">
            <v>31.14</v>
          </cell>
        </row>
        <row r="1450">
          <cell r="A1450" t="str">
            <v>140445</v>
          </cell>
          <cell r="B1450" t="str">
            <v>Junta rosqueada PVC 4"</v>
          </cell>
          <cell r="C1450" t="str">
            <v>ud</v>
          </cell>
          <cell r="D1450">
            <v>44.93</v>
          </cell>
          <cell r="E1450">
            <v>1.73</v>
          </cell>
          <cell r="F1450">
            <v>46.66</v>
          </cell>
        </row>
        <row r="1451">
          <cell r="A1451" t="str">
            <v>1405</v>
          </cell>
          <cell r="B1451" t="str">
            <v>INSTALAÇÃO DE JUNTA DIFERENCIADA</v>
          </cell>
        </row>
        <row r="1452">
          <cell r="A1452" t="str">
            <v>140501</v>
          </cell>
          <cell r="B1452" t="str">
            <v>Junta de expansão de borracha DN 32 a DN 65</v>
          </cell>
          <cell r="C1452" t="str">
            <v>ud</v>
          </cell>
          <cell r="D1452">
            <v>57.36</v>
          </cell>
          <cell r="E1452">
            <v>0</v>
          </cell>
          <cell r="F1452">
            <v>57.36</v>
          </cell>
        </row>
        <row r="1453">
          <cell r="A1453" t="str">
            <v>140502</v>
          </cell>
          <cell r="B1453" t="str">
            <v>Junta de expansão de borracha DN 80 a DN 150</v>
          </cell>
          <cell r="C1453" t="str">
            <v>ud</v>
          </cell>
          <cell r="D1453">
            <v>135.88999999999999</v>
          </cell>
          <cell r="E1453">
            <v>0</v>
          </cell>
          <cell r="F1453">
            <v>135.88999999999999</v>
          </cell>
        </row>
        <row r="1454">
          <cell r="A1454" t="str">
            <v>140503</v>
          </cell>
          <cell r="B1454" t="str">
            <v>Junta de expansão de borracha DN 200</v>
          </cell>
          <cell r="C1454" t="str">
            <v>ud</v>
          </cell>
          <cell r="D1454">
            <v>158.54</v>
          </cell>
          <cell r="E1454">
            <v>0</v>
          </cell>
          <cell r="F1454">
            <v>158.54</v>
          </cell>
        </row>
        <row r="1455">
          <cell r="A1455" t="str">
            <v>140504</v>
          </cell>
          <cell r="B1455" t="str">
            <v>Junta de expansão de borracha DN 250</v>
          </cell>
          <cell r="C1455" t="str">
            <v>ud</v>
          </cell>
          <cell r="D1455">
            <v>192.51</v>
          </cell>
          <cell r="E1455">
            <v>0</v>
          </cell>
          <cell r="F1455">
            <v>192.51</v>
          </cell>
        </row>
        <row r="1456">
          <cell r="A1456" t="str">
            <v>140505</v>
          </cell>
          <cell r="B1456" t="str">
            <v>Junta de expansão de borracha DN 300</v>
          </cell>
          <cell r="C1456" t="str">
            <v>ud</v>
          </cell>
          <cell r="D1456">
            <v>215.16</v>
          </cell>
          <cell r="E1456">
            <v>0</v>
          </cell>
          <cell r="F1456">
            <v>215.16</v>
          </cell>
        </row>
        <row r="1457">
          <cell r="A1457" t="str">
            <v>140506</v>
          </cell>
          <cell r="B1457" t="str">
            <v>Junta de expansão de borracha DN 350</v>
          </cell>
          <cell r="C1457" t="str">
            <v>ud</v>
          </cell>
          <cell r="D1457">
            <v>226.48</v>
          </cell>
          <cell r="E1457">
            <v>0</v>
          </cell>
          <cell r="F1457">
            <v>226.48</v>
          </cell>
        </row>
        <row r="1458">
          <cell r="A1458" t="str">
            <v>140507</v>
          </cell>
          <cell r="B1458" t="str">
            <v>Junta de expansão de borracha DN 400</v>
          </cell>
          <cell r="C1458" t="str">
            <v>ud</v>
          </cell>
          <cell r="D1458">
            <v>249.13</v>
          </cell>
          <cell r="E1458">
            <v>0</v>
          </cell>
          <cell r="F1458">
            <v>249.13</v>
          </cell>
        </row>
        <row r="1459">
          <cell r="A1459" t="str">
            <v>140508</v>
          </cell>
          <cell r="B1459" t="str">
            <v>Junta de expansão de borracha DN 450</v>
          </cell>
          <cell r="C1459" t="str">
            <v>ud</v>
          </cell>
          <cell r="D1459">
            <v>260.45</v>
          </cell>
          <cell r="E1459">
            <v>0</v>
          </cell>
          <cell r="F1459">
            <v>260.45</v>
          </cell>
        </row>
        <row r="1460">
          <cell r="A1460" t="str">
            <v>140509</v>
          </cell>
          <cell r="B1460" t="str">
            <v>Junta de expansão de borracha DN 500</v>
          </cell>
          <cell r="C1460" t="str">
            <v>ud</v>
          </cell>
          <cell r="D1460">
            <v>918.95</v>
          </cell>
          <cell r="E1460">
            <v>0</v>
          </cell>
          <cell r="F1460">
            <v>918.95</v>
          </cell>
        </row>
        <row r="1461">
          <cell r="A1461" t="str">
            <v>140510</v>
          </cell>
          <cell r="B1461" t="str">
            <v>Junta Dresser DN 50 a DN 200</v>
          </cell>
          <cell r="C1461" t="str">
            <v>ud</v>
          </cell>
          <cell r="D1461">
            <v>135.88999999999999</v>
          </cell>
          <cell r="E1461">
            <v>0</v>
          </cell>
          <cell r="F1461">
            <v>135.88999999999999</v>
          </cell>
        </row>
        <row r="1462">
          <cell r="A1462" t="str">
            <v>140511</v>
          </cell>
          <cell r="B1462" t="str">
            <v>Junta Dresser DN 250 a DN 400</v>
          </cell>
          <cell r="C1462" t="str">
            <v>ud</v>
          </cell>
          <cell r="D1462">
            <v>220.83</v>
          </cell>
          <cell r="E1462">
            <v>0</v>
          </cell>
          <cell r="F1462">
            <v>220.83</v>
          </cell>
        </row>
        <row r="1463">
          <cell r="A1463" t="str">
            <v>140512</v>
          </cell>
          <cell r="B1463" t="str">
            <v>Junta Dresser DN 500 a DN 600</v>
          </cell>
          <cell r="C1463" t="str">
            <v>ud</v>
          </cell>
          <cell r="D1463">
            <v>955.72</v>
          </cell>
          <cell r="E1463">
            <v>0</v>
          </cell>
          <cell r="F1463">
            <v>955.72</v>
          </cell>
        </row>
        <row r="1464">
          <cell r="A1464" t="str">
            <v>140513</v>
          </cell>
          <cell r="B1464" t="str">
            <v>Junta Gibault DN 50 a DN 200</v>
          </cell>
          <cell r="C1464" t="str">
            <v>ud</v>
          </cell>
          <cell r="D1464">
            <v>135.88999999999999</v>
          </cell>
          <cell r="E1464">
            <v>0</v>
          </cell>
          <cell r="F1464">
            <v>135.88999999999999</v>
          </cell>
        </row>
        <row r="1465">
          <cell r="A1465" t="str">
            <v>140514</v>
          </cell>
          <cell r="B1465" t="str">
            <v>Junta Gibault DN 250 a DN 400</v>
          </cell>
          <cell r="C1465" t="str">
            <v>ud</v>
          </cell>
          <cell r="D1465">
            <v>220.83</v>
          </cell>
          <cell r="E1465">
            <v>0</v>
          </cell>
          <cell r="F1465">
            <v>220.83</v>
          </cell>
        </row>
        <row r="1466">
          <cell r="A1466" t="str">
            <v>140515</v>
          </cell>
          <cell r="B1466" t="str">
            <v>Junta Gibault DN 500 a DN 600</v>
          </cell>
          <cell r="C1466" t="str">
            <v>ud</v>
          </cell>
          <cell r="D1466">
            <v>955.72</v>
          </cell>
          <cell r="E1466">
            <v>0</v>
          </cell>
          <cell r="F1466">
            <v>955.72</v>
          </cell>
        </row>
        <row r="1467">
          <cell r="A1467" t="str">
            <v>140516</v>
          </cell>
          <cell r="B1467" t="str">
            <v>Junta mecânica de conexão de FD DN 50</v>
          </cell>
          <cell r="C1467" t="str">
            <v>ud</v>
          </cell>
          <cell r="D1467">
            <v>45.89</v>
          </cell>
          <cell r="E1467">
            <v>0</v>
          </cell>
          <cell r="F1467">
            <v>45.89</v>
          </cell>
        </row>
        <row r="1468">
          <cell r="A1468" t="str">
            <v>140517</v>
          </cell>
          <cell r="B1468" t="str">
            <v>Junta mecânica de conexão de FD DN 75</v>
          </cell>
          <cell r="C1468" t="str">
            <v>ud</v>
          </cell>
          <cell r="D1468">
            <v>72.47</v>
          </cell>
          <cell r="E1468">
            <v>0</v>
          </cell>
          <cell r="F1468">
            <v>72.47</v>
          </cell>
        </row>
        <row r="1469">
          <cell r="A1469" t="str">
            <v>140518</v>
          </cell>
          <cell r="B1469" t="str">
            <v>Junta mecânica de conexão de FD DN 100</v>
          </cell>
          <cell r="C1469" t="str">
            <v>ud</v>
          </cell>
          <cell r="D1469">
            <v>90.59</v>
          </cell>
          <cell r="E1469">
            <v>0</v>
          </cell>
          <cell r="F1469">
            <v>90.59</v>
          </cell>
        </row>
        <row r="1470">
          <cell r="A1470" t="str">
            <v>140519</v>
          </cell>
          <cell r="B1470" t="str">
            <v>Junta mecânica de conexão de FD DN 150</v>
          </cell>
          <cell r="C1470" t="str">
            <v>ud</v>
          </cell>
          <cell r="D1470">
            <v>108.71</v>
          </cell>
          <cell r="E1470">
            <v>0</v>
          </cell>
          <cell r="F1470">
            <v>108.71</v>
          </cell>
        </row>
        <row r="1471">
          <cell r="A1471" t="str">
            <v>140520</v>
          </cell>
          <cell r="B1471" t="str">
            <v>Junta mecânica de conexão de FD DN 200</v>
          </cell>
          <cell r="C1471" t="str">
            <v>ud</v>
          </cell>
          <cell r="D1471">
            <v>126.83</v>
          </cell>
          <cell r="E1471">
            <v>0</v>
          </cell>
          <cell r="F1471">
            <v>126.83</v>
          </cell>
        </row>
        <row r="1472">
          <cell r="A1472" t="str">
            <v>140521</v>
          </cell>
          <cell r="B1472" t="str">
            <v>Junta mecânica de conexão de FD DN 250</v>
          </cell>
          <cell r="C1472" t="str">
            <v>ud</v>
          </cell>
          <cell r="D1472">
            <v>154.01</v>
          </cell>
          <cell r="E1472">
            <v>0</v>
          </cell>
          <cell r="F1472">
            <v>154.01</v>
          </cell>
        </row>
        <row r="1473">
          <cell r="A1473" t="str">
            <v>140522</v>
          </cell>
          <cell r="B1473" t="str">
            <v>Junta mecânica de conexão de FD DN 300</v>
          </cell>
          <cell r="C1473" t="str">
            <v>ud</v>
          </cell>
          <cell r="D1473">
            <v>172.12</v>
          </cell>
          <cell r="E1473">
            <v>0</v>
          </cell>
          <cell r="F1473">
            <v>172.12</v>
          </cell>
        </row>
        <row r="1474">
          <cell r="A1474" t="str">
            <v>140523</v>
          </cell>
          <cell r="B1474" t="str">
            <v>Junta mecânica de conexão de FD DN 350</v>
          </cell>
          <cell r="C1474" t="str">
            <v>ud</v>
          </cell>
          <cell r="D1474">
            <v>181.18</v>
          </cell>
          <cell r="E1474">
            <v>0</v>
          </cell>
          <cell r="F1474">
            <v>181.18</v>
          </cell>
        </row>
        <row r="1475">
          <cell r="A1475" t="str">
            <v>140524</v>
          </cell>
          <cell r="B1475" t="str">
            <v>Junta mecânica de conexão de FD DN 400</v>
          </cell>
          <cell r="C1475" t="str">
            <v>ud</v>
          </cell>
          <cell r="D1475">
            <v>199.3</v>
          </cell>
          <cell r="E1475">
            <v>0</v>
          </cell>
          <cell r="F1475">
            <v>199.3</v>
          </cell>
        </row>
        <row r="1476">
          <cell r="A1476" t="str">
            <v>140525</v>
          </cell>
          <cell r="B1476" t="str">
            <v>Junta mecânica de conexão de FD DN 500</v>
          </cell>
          <cell r="C1476" t="str">
            <v>ud</v>
          </cell>
          <cell r="D1476">
            <v>735.16</v>
          </cell>
          <cell r="E1476">
            <v>0</v>
          </cell>
          <cell r="F1476">
            <v>735.16</v>
          </cell>
        </row>
        <row r="1477">
          <cell r="A1477" t="str">
            <v>140526</v>
          </cell>
          <cell r="B1477" t="str">
            <v>Junta mecânica de conexão de FD DN 600</v>
          </cell>
          <cell r="C1477" t="str">
            <v>ud</v>
          </cell>
          <cell r="D1477">
            <v>793.97</v>
          </cell>
          <cell r="E1477">
            <v>0</v>
          </cell>
          <cell r="F1477">
            <v>793.97</v>
          </cell>
        </row>
        <row r="1478">
          <cell r="A1478" t="str">
            <v>140527</v>
          </cell>
          <cell r="B1478" t="str">
            <v>Junta mecânica de conexão de FD DN 700</v>
          </cell>
          <cell r="C1478" t="str">
            <v>ud</v>
          </cell>
          <cell r="D1478">
            <v>864.82</v>
          </cell>
          <cell r="E1478">
            <v>0</v>
          </cell>
          <cell r="F1478">
            <v>864.82</v>
          </cell>
        </row>
        <row r="1479">
          <cell r="A1479" t="str">
            <v>140528</v>
          </cell>
          <cell r="B1479" t="str">
            <v>Junta mecânica de conexão de FD DN 800</v>
          </cell>
          <cell r="C1479" t="str">
            <v>ud</v>
          </cell>
          <cell r="D1479">
            <v>906.7</v>
          </cell>
          <cell r="E1479">
            <v>0</v>
          </cell>
          <cell r="F1479">
            <v>906.7</v>
          </cell>
        </row>
        <row r="1480">
          <cell r="A1480" t="str">
            <v>140529</v>
          </cell>
          <cell r="B1480" t="str">
            <v>Junta mecânica de conexão de FD DN 900</v>
          </cell>
          <cell r="C1480" t="str">
            <v>ud</v>
          </cell>
          <cell r="D1480">
            <v>939.09</v>
          </cell>
          <cell r="E1480">
            <v>0</v>
          </cell>
          <cell r="F1480">
            <v>939.09</v>
          </cell>
        </row>
        <row r="1481">
          <cell r="A1481" t="str">
            <v>140530</v>
          </cell>
          <cell r="B1481" t="str">
            <v xml:space="preserve">Junta mecânica de conexão de FD DN 1000 </v>
          </cell>
          <cell r="C1481" t="str">
            <v>ud</v>
          </cell>
          <cell r="D1481">
            <v>1036.24</v>
          </cell>
          <cell r="E1481">
            <v>0</v>
          </cell>
          <cell r="F1481">
            <v>1036.24</v>
          </cell>
        </row>
        <row r="1482">
          <cell r="A1482" t="str">
            <v>140531</v>
          </cell>
          <cell r="B1482" t="str">
            <v>Junta mecânica de conexão de FD DN 1200</v>
          </cell>
          <cell r="C1482" t="str">
            <v>ud</v>
          </cell>
          <cell r="D1482">
            <v>1173.8599999999999</v>
          </cell>
          <cell r="E1482">
            <v>0</v>
          </cell>
          <cell r="F1482">
            <v>1173.8599999999999</v>
          </cell>
        </row>
        <row r="1483">
          <cell r="A1483" t="str">
            <v>140532</v>
          </cell>
          <cell r="B1483" t="str">
            <v>Junta elástica travada axialmente externamente DN   300</v>
          </cell>
          <cell r="C1483" t="str">
            <v>ud</v>
          </cell>
          <cell r="D1483">
            <v>172.12</v>
          </cell>
          <cell r="E1483">
            <v>0</v>
          </cell>
          <cell r="F1483">
            <v>172.12</v>
          </cell>
        </row>
        <row r="1484">
          <cell r="A1484" t="str">
            <v>140533</v>
          </cell>
          <cell r="B1484" t="str">
            <v>Junta elástica travada axialmente externamente DN   350</v>
          </cell>
          <cell r="C1484" t="str">
            <v>ud</v>
          </cell>
          <cell r="D1484">
            <v>181.18</v>
          </cell>
          <cell r="E1484">
            <v>0</v>
          </cell>
          <cell r="F1484">
            <v>181.18</v>
          </cell>
        </row>
        <row r="1485">
          <cell r="A1485" t="str">
            <v>140534</v>
          </cell>
          <cell r="B1485" t="str">
            <v>Junta elástica travada axialmente externamente DN   400</v>
          </cell>
          <cell r="C1485" t="str">
            <v>ud</v>
          </cell>
          <cell r="D1485">
            <v>199.3</v>
          </cell>
          <cell r="E1485">
            <v>0</v>
          </cell>
          <cell r="F1485">
            <v>199.3</v>
          </cell>
        </row>
        <row r="1486">
          <cell r="A1486" t="str">
            <v>140535</v>
          </cell>
          <cell r="B1486" t="str">
            <v>Junta elástica travada axialmente externamente DN   500</v>
          </cell>
          <cell r="C1486" t="str">
            <v>ud</v>
          </cell>
          <cell r="D1486">
            <v>735.16</v>
          </cell>
          <cell r="E1486">
            <v>0</v>
          </cell>
          <cell r="F1486">
            <v>735.16</v>
          </cell>
        </row>
        <row r="1487">
          <cell r="A1487" t="str">
            <v>140536</v>
          </cell>
          <cell r="B1487" t="str">
            <v>Junta elástica travada axialmente externamente DN   600</v>
          </cell>
          <cell r="C1487" t="str">
            <v>ud</v>
          </cell>
          <cell r="D1487">
            <v>793.97</v>
          </cell>
          <cell r="E1487">
            <v>0</v>
          </cell>
          <cell r="F1487">
            <v>793.97</v>
          </cell>
        </row>
        <row r="1488">
          <cell r="A1488" t="str">
            <v>140537</v>
          </cell>
          <cell r="B1488" t="str">
            <v>Junta elástica travada axialmente externamente DN   700</v>
          </cell>
          <cell r="C1488" t="str">
            <v>ud</v>
          </cell>
          <cell r="D1488">
            <v>864.82</v>
          </cell>
          <cell r="E1488">
            <v>0</v>
          </cell>
          <cell r="F1488">
            <v>864.82</v>
          </cell>
        </row>
        <row r="1489">
          <cell r="A1489" t="str">
            <v>140538</v>
          </cell>
          <cell r="B1489" t="str">
            <v>Junta elástica travada axialmente externamente DN   800</v>
          </cell>
          <cell r="C1489" t="str">
            <v>ud</v>
          </cell>
          <cell r="D1489">
            <v>906.7</v>
          </cell>
          <cell r="E1489">
            <v>0</v>
          </cell>
          <cell r="F1489">
            <v>906.7</v>
          </cell>
        </row>
        <row r="1490">
          <cell r="A1490" t="str">
            <v>140539</v>
          </cell>
          <cell r="B1490" t="str">
            <v>Junta elástica travada axialmente externamente DN   900</v>
          </cell>
          <cell r="C1490" t="str">
            <v>ud</v>
          </cell>
          <cell r="D1490">
            <v>939.09</v>
          </cell>
          <cell r="E1490">
            <v>0</v>
          </cell>
          <cell r="F1490">
            <v>939.09</v>
          </cell>
        </row>
        <row r="1491">
          <cell r="A1491" t="str">
            <v>140540</v>
          </cell>
          <cell r="B1491" t="str">
            <v>Junta elástica travada axialmente externamente DN 1000</v>
          </cell>
          <cell r="C1491" t="str">
            <v>ud</v>
          </cell>
          <cell r="D1491">
            <v>1036.24</v>
          </cell>
          <cell r="E1491">
            <v>0</v>
          </cell>
          <cell r="F1491">
            <v>1036.24</v>
          </cell>
        </row>
        <row r="1492">
          <cell r="A1492" t="str">
            <v>140541</v>
          </cell>
          <cell r="B1492" t="str">
            <v>Junta multipartida DN 600 a DN 1100</v>
          </cell>
          <cell r="C1492" t="str">
            <v>ud</v>
          </cell>
          <cell r="D1492">
            <v>0</v>
          </cell>
          <cell r="F1492">
            <v>0</v>
          </cell>
        </row>
        <row r="1493">
          <cell r="A1493" t="str">
            <v>140542</v>
          </cell>
          <cell r="B1493" t="str">
            <v>Junta multipartida DN 1200 a DN 1800</v>
          </cell>
          <cell r="C1493" t="str">
            <v>ud</v>
          </cell>
          <cell r="D1493">
            <v>0</v>
          </cell>
          <cell r="F1493">
            <v>0</v>
          </cell>
        </row>
        <row r="1494">
          <cell r="A1494" t="str">
            <v>140543</v>
          </cell>
          <cell r="B1494" t="str">
            <v>Cinta de vedação de 3 seções (para tubos) DN   40 a DN   80</v>
          </cell>
          <cell r="C1494" t="str">
            <v>ud</v>
          </cell>
          <cell r="D1494">
            <v>22.65</v>
          </cell>
          <cell r="E1494">
            <v>0</v>
          </cell>
          <cell r="F1494">
            <v>22.65</v>
          </cell>
        </row>
        <row r="1495">
          <cell r="A1495" t="str">
            <v>140544</v>
          </cell>
          <cell r="B1495" t="str">
            <v>Cinta de vedação de 3 seções (para tubos) DN 100 a DN 150</v>
          </cell>
          <cell r="C1495" t="str">
            <v>ud</v>
          </cell>
          <cell r="D1495">
            <v>33.97</v>
          </cell>
          <cell r="E1495">
            <v>0</v>
          </cell>
          <cell r="F1495">
            <v>33.97</v>
          </cell>
        </row>
        <row r="1496">
          <cell r="A1496" t="str">
            <v>140545</v>
          </cell>
          <cell r="B1496" t="str">
            <v>Cinta de vedação de 3 seções (para tubos) DN 200 a DN 250</v>
          </cell>
          <cell r="C1496" t="str">
            <v>ud</v>
          </cell>
          <cell r="D1496">
            <v>48.13</v>
          </cell>
          <cell r="E1496">
            <v>0</v>
          </cell>
          <cell r="F1496">
            <v>48.13</v>
          </cell>
        </row>
        <row r="1497">
          <cell r="A1497" t="str">
            <v>140546</v>
          </cell>
          <cell r="B1497" t="str">
            <v>Cinta de vedação de 3 seções (para tubos) DN 300 a DN 350</v>
          </cell>
          <cell r="C1497" t="str">
            <v>ud</v>
          </cell>
          <cell r="D1497">
            <v>59.46</v>
          </cell>
          <cell r="E1497">
            <v>0</v>
          </cell>
          <cell r="F1497">
            <v>59.46</v>
          </cell>
        </row>
        <row r="1498">
          <cell r="A1498" t="str">
            <v>140547</v>
          </cell>
          <cell r="B1498" t="str">
            <v>Cinta de vedação de 3 seções (para tubos) DN 400 a DN 450</v>
          </cell>
          <cell r="C1498" t="str">
            <v>ud</v>
          </cell>
          <cell r="D1498">
            <v>67.95</v>
          </cell>
          <cell r="E1498">
            <v>0</v>
          </cell>
          <cell r="F1498">
            <v>67.95</v>
          </cell>
        </row>
        <row r="1499">
          <cell r="A1499" t="str">
            <v>140548</v>
          </cell>
          <cell r="B1499" t="str">
            <v>Cinta de vedação de 3 seções (para tubos) DN 500</v>
          </cell>
          <cell r="C1499" t="str">
            <v>ud</v>
          </cell>
          <cell r="D1499">
            <v>238.93</v>
          </cell>
          <cell r="E1499">
            <v>0</v>
          </cell>
          <cell r="F1499">
            <v>238.93</v>
          </cell>
        </row>
        <row r="1500">
          <cell r="A1500" t="str">
            <v>140549</v>
          </cell>
          <cell r="B1500" t="str">
            <v>Cinta de vedação de 3 seções (para tubos) DN 600</v>
          </cell>
          <cell r="C1500" t="str">
            <v>ud</v>
          </cell>
          <cell r="D1500">
            <v>257.31</v>
          </cell>
          <cell r="E1500">
            <v>0</v>
          </cell>
          <cell r="F1500">
            <v>257.31</v>
          </cell>
        </row>
        <row r="1501">
          <cell r="A1501" t="str">
            <v>140550</v>
          </cell>
          <cell r="B1501" t="str">
            <v>Cinta de vedação de 2 seções (para bolsas) DN   80 e DN 100</v>
          </cell>
          <cell r="C1501" t="str">
            <v>ud</v>
          </cell>
          <cell r="D1501">
            <v>0</v>
          </cell>
          <cell r="F1501">
            <v>0</v>
          </cell>
        </row>
        <row r="1502">
          <cell r="A1502" t="str">
            <v>140551</v>
          </cell>
          <cell r="B1502" t="str">
            <v>Cinta de vedação de 2 seções (para bolsas) DN 125 a DN 200</v>
          </cell>
          <cell r="C1502" t="str">
            <v>ud</v>
          </cell>
          <cell r="D1502">
            <v>0</v>
          </cell>
          <cell r="F1502">
            <v>0</v>
          </cell>
        </row>
        <row r="1503">
          <cell r="A1503" t="str">
            <v>140552</v>
          </cell>
          <cell r="B1503" t="str">
            <v>Cinta de vedação de 2 seções (para bolsas) DN 250 a DN 300</v>
          </cell>
          <cell r="C1503" t="str">
            <v>ud</v>
          </cell>
          <cell r="D1503">
            <v>0</v>
          </cell>
          <cell r="F1503">
            <v>0</v>
          </cell>
        </row>
        <row r="1504">
          <cell r="A1504" t="str">
            <v>140553</v>
          </cell>
          <cell r="B1504" t="str">
            <v>Cinta de vedação de 2 seções (para bolsas) DN 400</v>
          </cell>
          <cell r="C1504" t="str">
            <v>ud</v>
          </cell>
          <cell r="D1504">
            <v>0</v>
          </cell>
          <cell r="F1504">
            <v>0</v>
          </cell>
        </row>
        <row r="1505">
          <cell r="A1505" t="str">
            <v>140554</v>
          </cell>
          <cell r="B1505" t="str">
            <v>Acoplamento tipo rápido para tubos Alvenius ou Vitalic DN 1 1/4" a DN 10"</v>
          </cell>
          <cell r="C1505" t="str">
            <v>ud</v>
          </cell>
          <cell r="D1505">
            <v>0</v>
          </cell>
          <cell r="F1505">
            <v>0</v>
          </cell>
        </row>
        <row r="1506">
          <cell r="A1506" t="str">
            <v>140555</v>
          </cell>
          <cell r="B1506" t="str">
            <v>Acoplamento tipo rápido para tubos Alvenius ou Vitalic DN 12" a DN 48"</v>
          </cell>
          <cell r="C1506" t="str">
            <v>ud</v>
          </cell>
          <cell r="D1506">
            <v>0</v>
          </cell>
          <cell r="F1506">
            <v>0</v>
          </cell>
        </row>
        <row r="1507">
          <cell r="A1507" t="str">
            <v>1406</v>
          </cell>
          <cell r="B1507" t="str">
            <v>INSTALAÇÃO DE HIDRANTE PARA INCÊNDIO</v>
          </cell>
        </row>
        <row r="1508">
          <cell r="A1508" t="str">
            <v>140601</v>
          </cell>
          <cell r="B1508" t="str">
            <v xml:space="preserve">Hidrante subterrâneo DN 75 </v>
          </cell>
          <cell r="C1508" t="str">
            <v>ud</v>
          </cell>
          <cell r="D1508">
            <v>372.84</v>
          </cell>
          <cell r="E1508">
            <v>0</v>
          </cell>
          <cell r="F1508">
            <v>372.84</v>
          </cell>
        </row>
        <row r="1509">
          <cell r="A1509" t="str">
            <v>140602</v>
          </cell>
          <cell r="B1509" t="str">
            <v>Hidrante de coluna DN 75</v>
          </cell>
          <cell r="C1509" t="str">
            <v>ud</v>
          </cell>
          <cell r="D1509">
            <v>158.36000000000001</v>
          </cell>
          <cell r="E1509">
            <v>0</v>
          </cell>
          <cell r="F1509">
            <v>158.36000000000001</v>
          </cell>
        </row>
        <row r="1510">
          <cell r="A1510" t="str">
            <v>140603</v>
          </cell>
          <cell r="B1510" t="str">
            <v>Hidrante de coluna DN 100</v>
          </cell>
          <cell r="C1510" t="str">
            <v>ud</v>
          </cell>
          <cell r="D1510">
            <v>192.32</v>
          </cell>
          <cell r="E1510">
            <v>0</v>
          </cell>
          <cell r="F1510">
            <v>192.32</v>
          </cell>
        </row>
        <row r="1511">
          <cell r="A1511" t="str">
            <v>1407</v>
          </cell>
          <cell r="B1511" t="str">
            <v>INSTALAÇÃO DE APARELHO DE MEDIÇÃO E INSTRUMENTAÇÃO</v>
          </cell>
        </row>
        <row r="1512">
          <cell r="A1512" t="str">
            <v>140701</v>
          </cell>
          <cell r="B1512" t="str">
            <v>Medidor de vazão até DN 150</v>
          </cell>
          <cell r="C1512" t="str">
            <v>ud</v>
          </cell>
          <cell r="D1512">
            <v>135.88999999999999</v>
          </cell>
          <cell r="E1512">
            <v>0</v>
          </cell>
          <cell r="F1512">
            <v>135.88999999999999</v>
          </cell>
        </row>
        <row r="1513">
          <cell r="A1513" t="str">
            <v>140702</v>
          </cell>
          <cell r="B1513" t="str">
            <v>Medidor de vazão entre DN 200 e DN 400</v>
          </cell>
          <cell r="C1513" t="str">
            <v>ud</v>
          </cell>
          <cell r="D1513">
            <v>203.84</v>
          </cell>
          <cell r="E1513">
            <v>0</v>
          </cell>
          <cell r="F1513">
            <v>203.84</v>
          </cell>
        </row>
        <row r="1514">
          <cell r="A1514" t="str">
            <v>140703</v>
          </cell>
          <cell r="B1514" t="str">
            <v>Medidor de vazão entre DN 500 e DN 600</v>
          </cell>
          <cell r="C1514" t="str">
            <v>ud</v>
          </cell>
          <cell r="D1514">
            <v>955.72</v>
          </cell>
          <cell r="E1514">
            <v>0</v>
          </cell>
          <cell r="F1514">
            <v>955.72</v>
          </cell>
        </row>
        <row r="1515">
          <cell r="A1515" t="str">
            <v>140704</v>
          </cell>
          <cell r="B1515" t="str">
            <v>Calha Parshall -   3" a   9"</v>
          </cell>
          <cell r="C1515" t="str">
            <v>ud</v>
          </cell>
          <cell r="D1515">
            <v>599.84</v>
          </cell>
          <cell r="E1515">
            <v>0</v>
          </cell>
          <cell r="F1515">
            <v>599.84</v>
          </cell>
        </row>
        <row r="1516">
          <cell r="A1516" t="str">
            <v>140705</v>
          </cell>
          <cell r="B1516" t="str">
            <v>Calha Parshall - 12" a 36"</v>
          </cell>
          <cell r="C1516" t="str">
            <v>ud</v>
          </cell>
          <cell r="D1516">
            <v>0</v>
          </cell>
          <cell r="E1516">
            <v>0</v>
          </cell>
          <cell r="F1516">
            <v>0</v>
          </cell>
        </row>
        <row r="1517">
          <cell r="A1517" t="str">
            <v>140706</v>
          </cell>
          <cell r="B1517" t="str">
            <v>Calha Parshall - 48" a 60"</v>
          </cell>
          <cell r="C1517" t="str">
            <v>ud</v>
          </cell>
          <cell r="D1517">
            <v>0</v>
          </cell>
          <cell r="F1517">
            <v>0</v>
          </cell>
        </row>
        <row r="1518">
          <cell r="A1518" t="str">
            <v>140707</v>
          </cell>
          <cell r="B1518" t="str">
            <v>Calha Parshall - 72" a 96"</v>
          </cell>
          <cell r="C1518" t="str">
            <v>ud</v>
          </cell>
          <cell r="D1518">
            <v>0</v>
          </cell>
          <cell r="F1518">
            <v>0</v>
          </cell>
        </row>
        <row r="1519">
          <cell r="A1519" t="str">
            <v>140708</v>
          </cell>
          <cell r="B1519" t="str">
            <v>Medidor de pressão de 1/2" e 1/4"</v>
          </cell>
          <cell r="C1519" t="str">
            <v>ud</v>
          </cell>
          <cell r="D1519">
            <v>26.92</v>
          </cell>
          <cell r="E1519">
            <v>0.14000000000000001</v>
          </cell>
          <cell r="F1519">
            <v>27.06</v>
          </cell>
        </row>
        <row r="1520">
          <cell r="A1520" t="str">
            <v>140709</v>
          </cell>
          <cell r="B1520" t="str">
            <v>Indicador e conversor de sinais</v>
          </cell>
          <cell r="C1520" t="str">
            <v>ud</v>
          </cell>
          <cell r="D1520">
            <v>0</v>
          </cell>
          <cell r="F1520">
            <v>0</v>
          </cell>
        </row>
        <row r="1521">
          <cell r="A1521" t="str">
            <v>140710</v>
          </cell>
          <cell r="B1521" t="str">
            <v>Medidor de nível</v>
          </cell>
          <cell r="C1521" t="str">
            <v>ud</v>
          </cell>
          <cell r="D1521">
            <v>0</v>
          </cell>
          <cell r="F1521">
            <v>0</v>
          </cell>
        </row>
        <row r="1522">
          <cell r="A1522" t="str">
            <v>140711</v>
          </cell>
          <cell r="B1522" t="str">
            <v>Analisador de processo</v>
          </cell>
          <cell r="C1522" t="str">
            <v>ud</v>
          </cell>
          <cell r="D1522">
            <v>0</v>
          </cell>
          <cell r="F1522">
            <v>0</v>
          </cell>
        </row>
        <row r="1523">
          <cell r="A1523" t="str">
            <v>1408</v>
          </cell>
          <cell r="B1523" t="str">
            <v>INSTALAÇÃO DE COMPRESSOR DE AR OU SOPRADOR</v>
          </cell>
        </row>
        <row r="1524">
          <cell r="A1524" t="str">
            <v>140801</v>
          </cell>
          <cell r="B1524" t="str">
            <v>Potência  até  5 CV</v>
          </cell>
          <cell r="C1524" t="str">
            <v>ud</v>
          </cell>
          <cell r="D1524">
            <v>506.05</v>
          </cell>
          <cell r="E1524">
            <v>0</v>
          </cell>
          <cell r="F1524">
            <v>506.05</v>
          </cell>
          <cell r="G1524" t="str">
            <v>73826/001</v>
          </cell>
        </row>
        <row r="1525">
          <cell r="A1525" t="str">
            <v>140802</v>
          </cell>
          <cell r="B1525" t="str">
            <v>Potência  de 6 CV a 10 CV</v>
          </cell>
          <cell r="C1525" t="str">
            <v>ud</v>
          </cell>
          <cell r="D1525">
            <v>657.87</v>
          </cell>
          <cell r="E1525">
            <v>0</v>
          </cell>
          <cell r="F1525">
            <v>657.87</v>
          </cell>
          <cell r="G1525" t="str">
            <v>73826/002</v>
          </cell>
        </row>
        <row r="1526">
          <cell r="A1526" t="str">
            <v>140803</v>
          </cell>
          <cell r="B1526" t="str">
            <v>Potência  de 11 CV a 50 CV</v>
          </cell>
          <cell r="C1526" t="str">
            <v>ud</v>
          </cell>
          <cell r="D1526">
            <v>0</v>
          </cell>
          <cell r="F1526">
            <v>0</v>
          </cell>
        </row>
        <row r="1527">
          <cell r="A1527" t="str">
            <v>1409</v>
          </cell>
          <cell r="B1527" t="str">
            <v>INSTALAÇÃO DE EXAUSTOR OU VENTILADOR</v>
          </cell>
        </row>
        <row r="1528">
          <cell r="A1528" t="str">
            <v>140901</v>
          </cell>
          <cell r="B1528" t="str">
            <v>Até DN 350</v>
          </cell>
          <cell r="C1528" t="str">
            <v>ud</v>
          </cell>
          <cell r="D1528">
            <v>599.04</v>
          </cell>
          <cell r="E1528">
            <v>0</v>
          </cell>
          <cell r="F1528">
            <v>599.04</v>
          </cell>
        </row>
        <row r="1529">
          <cell r="A1529" t="str">
            <v>140902</v>
          </cell>
          <cell r="B1529" t="str">
            <v>DN 400 a DN 600</v>
          </cell>
          <cell r="C1529" t="str">
            <v>ud</v>
          </cell>
          <cell r="D1529">
            <v>748.8</v>
          </cell>
          <cell r="E1529">
            <v>0</v>
          </cell>
          <cell r="F1529">
            <v>748.8</v>
          </cell>
        </row>
        <row r="1530">
          <cell r="A1530" t="str">
            <v>1410</v>
          </cell>
          <cell r="B1530" t="str">
            <v>INSTALAÇÃO DE COMPORTA SEM MECANISMO DE MANOBRA</v>
          </cell>
        </row>
        <row r="1531">
          <cell r="A1531" t="str">
            <v>141001</v>
          </cell>
          <cell r="B1531" t="str">
            <v>De madeira</v>
          </cell>
          <cell r="C1531" t="str">
            <v>ud</v>
          </cell>
          <cell r="D1531">
            <v>215.36</v>
          </cell>
          <cell r="E1531">
            <v>0</v>
          </cell>
          <cell r="F1531">
            <v>215.36</v>
          </cell>
        </row>
        <row r="1532">
          <cell r="A1532" t="str">
            <v>141002</v>
          </cell>
          <cell r="B1532" t="str">
            <v>De fibra de vidro</v>
          </cell>
          <cell r="C1532" t="str">
            <v>ud</v>
          </cell>
          <cell r="D1532">
            <v>215.36</v>
          </cell>
          <cell r="E1532">
            <v>0</v>
          </cell>
          <cell r="F1532">
            <v>215.36</v>
          </cell>
        </row>
        <row r="1533">
          <cell r="A1533" t="str">
            <v>141003</v>
          </cell>
          <cell r="B1533" t="str">
            <v>De alumínio</v>
          </cell>
          <cell r="C1533" t="str">
            <v>ud</v>
          </cell>
          <cell r="D1533">
            <v>215.36</v>
          </cell>
          <cell r="E1533">
            <v>0</v>
          </cell>
          <cell r="F1533">
            <v>215.36</v>
          </cell>
        </row>
        <row r="1534">
          <cell r="A1534" t="str">
            <v>1411</v>
          </cell>
          <cell r="B1534" t="str">
            <v>INSTALAÇÃO DE COMPORTA COM MECANISMO DE MANOBRA</v>
          </cell>
        </row>
        <row r="1535">
          <cell r="A1535" t="str">
            <v>141101</v>
          </cell>
          <cell r="B1535" t="str">
            <v>Embutida de alumínio</v>
          </cell>
          <cell r="C1535" t="str">
            <v>ud</v>
          </cell>
          <cell r="D1535">
            <v>793.62</v>
          </cell>
          <cell r="E1535">
            <v>0</v>
          </cell>
          <cell r="F1535">
            <v>793.62</v>
          </cell>
        </row>
        <row r="1536">
          <cell r="A1536" t="str">
            <v>141102</v>
          </cell>
          <cell r="B1536" t="str">
            <v>Embutida de fibra de vidro</v>
          </cell>
          <cell r="C1536" t="str">
            <v>ud</v>
          </cell>
          <cell r="D1536">
            <v>793.62</v>
          </cell>
          <cell r="E1536">
            <v>0</v>
          </cell>
          <cell r="F1536">
            <v>793.62</v>
          </cell>
        </row>
        <row r="1537">
          <cell r="A1537" t="str">
            <v>141103</v>
          </cell>
          <cell r="B1537" t="str">
            <v>Embutida de ferro dúctil</v>
          </cell>
          <cell r="C1537" t="str">
            <v>ud</v>
          </cell>
          <cell r="D1537">
            <v>793.62</v>
          </cell>
          <cell r="E1537">
            <v>0</v>
          </cell>
          <cell r="F1537">
            <v>793.62</v>
          </cell>
        </row>
        <row r="1538">
          <cell r="A1538" t="str">
            <v>141104</v>
          </cell>
          <cell r="B1538" t="str">
            <v>De sobrepor de alumínio</v>
          </cell>
          <cell r="C1538" t="str">
            <v>ud</v>
          </cell>
          <cell r="D1538">
            <v>610.48</v>
          </cell>
          <cell r="E1538">
            <v>0</v>
          </cell>
          <cell r="F1538">
            <v>610.48</v>
          </cell>
        </row>
        <row r="1539">
          <cell r="A1539" t="str">
            <v>141105</v>
          </cell>
          <cell r="B1539" t="str">
            <v>De sobrepor de fibra de vidro</v>
          </cell>
          <cell r="C1539" t="str">
            <v>ud</v>
          </cell>
          <cell r="D1539">
            <v>610.48</v>
          </cell>
          <cell r="E1539">
            <v>0</v>
          </cell>
          <cell r="F1539">
            <v>610.48</v>
          </cell>
        </row>
        <row r="1540">
          <cell r="A1540" t="str">
            <v>141106</v>
          </cell>
          <cell r="B1540" t="str">
            <v xml:space="preserve">De sobrepor de ferro dúctil </v>
          </cell>
          <cell r="C1540" t="str">
            <v>ud</v>
          </cell>
          <cell r="D1540">
            <v>610.48</v>
          </cell>
          <cell r="E1540">
            <v>0</v>
          </cell>
          <cell r="F1540">
            <v>610.48</v>
          </cell>
        </row>
        <row r="1541">
          <cell r="A1541" t="str">
            <v>1412</v>
          </cell>
          <cell r="B1541" t="str">
            <v>INSTALAÇÃO DE VÁLVULA RETENÇÃO TIPO FLAP</v>
          </cell>
        </row>
        <row r="1542">
          <cell r="A1542" t="str">
            <v>141201</v>
          </cell>
          <cell r="B1542" t="str">
            <v>DN 100</v>
          </cell>
          <cell r="C1542" t="str">
            <v>ud</v>
          </cell>
          <cell r="D1542">
            <v>0</v>
          </cell>
          <cell r="F1542">
            <v>0</v>
          </cell>
        </row>
        <row r="1543">
          <cell r="A1543" t="str">
            <v>141202</v>
          </cell>
          <cell r="B1543" t="str">
            <v>DN 150</v>
          </cell>
          <cell r="C1543" t="str">
            <v>ud</v>
          </cell>
          <cell r="D1543">
            <v>0</v>
          </cell>
          <cell r="F1543">
            <v>0</v>
          </cell>
        </row>
        <row r="1544">
          <cell r="A1544" t="str">
            <v>141203</v>
          </cell>
          <cell r="B1544" t="str">
            <v>DN 200</v>
          </cell>
          <cell r="C1544" t="str">
            <v>ud</v>
          </cell>
          <cell r="D1544">
            <v>0</v>
          </cell>
          <cell r="F1544">
            <v>0</v>
          </cell>
        </row>
        <row r="1545">
          <cell r="A1545" t="str">
            <v>141204</v>
          </cell>
          <cell r="B1545" t="str">
            <v>DN 250</v>
          </cell>
          <cell r="C1545" t="str">
            <v>ud</v>
          </cell>
          <cell r="D1545">
            <v>0</v>
          </cell>
          <cell r="F1545">
            <v>0</v>
          </cell>
        </row>
        <row r="1546">
          <cell r="A1546" t="str">
            <v>141205</v>
          </cell>
          <cell r="B1546" t="str">
            <v>DN 300</v>
          </cell>
          <cell r="C1546" t="str">
            <v>ud</v>
          </cell>
          <cell r="D1546">
            <v>0</v>
          </cell>
          <cell r="F1546">
            <v>0</v>
          </cell>
        </row>
        <row r="1547">
          <cell r="A1547" t="str">
            <v>141206</v>
          </cell>
          <cell r="B1547" t="str">
            <v>DN 400</v>
          </cell>
          <cell r="C1547" t="str">
            <v>ud</v>
          </cell>
          <cell r="D1547">
            <v>0</v>
          </cell>
          <cell r="F1547">
            <v>0</v>
          </cell>
        </row>
        <row r="1548">
          <cell r="A1548" t="str">
            <v>1413</v>
          </cell>
          <cell r="B1548" t="str">
            <v>INSTALAÇÃO DE GUINDASTE GIRATÓRIO</v>
          </cell>
        </row>
        <row r="1549">
          <cell r="A1549" t="str">
            <v>141301</v>
          </cell>
          <cell r="B1549" t="str">
            <v>Até 500 kgf</v>
          </cell>
          <cell r="C1549" t="str">
            <v>ud</v>
          </cell>
          <cell r="D1549">
            <v>1499.6</v>
          </cell>
          <cell r="E1549">
            <v>0</v>
          </cell>
          <cell r="F1549">
            <v>1499.6</v>
          </cell>
        </row>
        <row r="1550">
          <cell r="A1550" t="str">
            <v>141302</v>
          </cell>
          <cell r="B1550" t="str">
            <v>501 kgf a 1000 kgf</v>
          </cell>
          <cell r="C1550" t="str">
            <v>ud</v>
          </cell>
          <cell r="D1550">
            <v>0</v>
          </cell>
          <cell r="F1550">
            <v>0</v>
          </cell>
        </row>
        <row r="1551">
          <cell r="A1551" t="str">
            <v>141303</v>
          </cell>
          <cell r="B1551" t="str">
            <v>1001 kgf a 2000 kgf</v>
          </cell>
          <cell r="C1551" t="str">
            <v>ud</v>
          </cell>
          <cell r="D1551">
            <v>0</v>
          </cell>
          <cell r="F1551">
            <v>0</v>
          </cell>
        </row>
        <row r="1552">
          <cell r="A1552" t="str">
            <v>1414</v>
          </cell>
          <cell r="B1552" t="str">
            <v>INSTALAÇÃO DE RESERVATÓRIO PRÉ-FABRICADO</v>
          </cell>
        </row>
        <row r="1553">
          <cell r="A1553" t="str">
            <v>141401</v>
          </cell>
          <cell r="B1553" t="str">
            <v>Até 25 m³</v>
          </cell>
          <cell r="C1553" t="str">
            <v>ud</v>
          </cell>
          <cell r="D1553">
            <v>430.72</v>
          </cell>
          <cell r="E1553">
            <v>0</v>
          </cell>
          <cell r="F1553">
            <v>430.72</v>
          </cell>
        </row>
        <row r="1554">
          <cell r="A1554" t="str">
            <v>141402</v>
          </cell>
          <cell r="B1554" t="str">
            <v>26 m³ a 75 m³</v>
          </cell>
          <cell r="C1554" t="str">
            <v>ud</v>
          </cell>
          <cell r="D1554">
            <v>646.08000000000004</v>
          </cell>
          <cell r="E1554">
            <v>0</v>
          </cell>
          <cell r="F1554">
            <v>646.08000000000004</v>
          </cell>
        </row>
        <row r="1555">
          <cell r="A1555" t="str">
            <v>141403</v>
          </cell>
          <cell r="B1555" t="str">
            <v>76 m³ a 150 m³</v>
          </cell>
          <cell r="C1555" t="str">
            <v>ud</v>
          </cell>
          <cell r="D1555">
            <v>861.44</v>
          </cell>
          <cell r="E1555">
            <v>0</v>
          </cell>
          <cell r="F1555">
            <v>861.44</v>
          </cell>
        </row>
        <row r="1556">
          <cell r="A1556" t="str">
            <v>1415</v>
          </cell>
          <cell r="B1556" t="str">
            <v>INSTALAÇÃO DE ETA PRÉ-FABRICADA</v>
          </cell>
        </row>
        <row r="1557">
          <cell r="A1557" t="str">
            <v>141501</v>
          </cell>
          <cell r="B1557" t="str">
            <v>3 l/s a  6 l/s</v>
          </cell>
          <cell r="C1557" t="str">
            <v>ud</v>
          </cell>
          <cell r="D1557">
            <v>0</v>
          </cell>
          <cell r="F1557">
            <v>0</v>
          </cell>
        </row>
        <row r="1558">
          <cell r="A1558" t="str">
            <v>141502</v>
          </cell>
          <cell r="B1558" t="str">
            <v>10 l/s a 15 l/s</v>
          </cell>
          <cell r="C1558" t="str">
            <v>ud</v>
          </cell>
          <cell r="D1558">
            <v>0</v>
          </cell>
          <cell r="F1558">
            <v>0</v>
          </cell>
        </row>
        <row r="1559">
          <cell r="A1559" t="str">
            <v>141503</v>
          </cell>
          <cell r="B1559" t="str">
            <v>20 l/s a 30 l/s</v>
          </cell>
          <cell r="C1559" t="str">
            <v>ud</v>
          </cell>
          <cell r="D1559">
            <v>0</v>
          </cell>
          <cell r="F1559">
            <v>0</v>
          </cell>
        </row>
        <row r="1560">
          <cell r="A1560" t="str">
            <v>1416</v>
          </cell>
          <cell r="B1560" t="str">
            <v>INSTALAÇÃO DE CLARIFICADOR</v>
          </cell>
        </row>
        <row r="1561">
          <cell r="A1561" t="str">
            <v>141601</v>
          </cell>
          <cell r="B1561" t="str">
            <v>Clarificador</v>
          </cell>
          <cell r="C1561" t="str">
            <v>ud</v>
          </cell>
          <cell r="D1561">
            <v>0</v>
          </cell>
          <cell r="F1561">
            <v>0</v>
          </cell>
        </row>
        <row r="1562">
          <cell r="A1562" t="str">
            <v>1417</v>
          </cell>
          <cell r="B1562" t="str">
            <v>CHAPA DIVISORA DE FLUXO</v>
          </cell>
        </row>
        <row r="1563">
          <cell r="A1563" t="str">
            <v>141701</v>
          </cell>
          <cell r="B1563" t="str">
            <v>De fibrocimento e= 2 x 8 mm</v>
          </cell>
          <cell r="C1563" t="str">
            <v>m2</v>
          </cell>
          <cell r="D1563">
            <v>74.88</v>
          </cell>
          <cell r="E1563">
            <v>82.15</v>
          </cell>
          <cell r="F1563">
            <v>157.03</v>
          </cell>
        </row>
        <row r="1564">
          <cell r="A1564" t="str">
            <v>141702</v>
          </cell>
          <cell r="B1564" t="str">
            <v>De fibrocimento e= 2 x 10 mm</v>
          </cell>
          <cell r="C1564" t="str">
            <v>m2</v>
          </cell>
          <cell r="D1564">
            <v>74.88</v>
          </cell>
          <cell r="E1564">
            <v>83.48</v>
          </cell>
          <cell r="F1564">
            <v>158.36000000000001</v>
          </cell>
        </row>
        <row r="1565">
          <cell r="A1565" t="str">
            <v>141703</v>
          </cell>
          <cell r="B1565" t="str">
            <v>Guias de alumínio</v>
          </cell>
          <cell r="C1565" t="str">
            <v>m</v>
          </cell>
          <cell r="D1565">
            <v>18.72</v>
          </cell>
          <cell r="E1565">
            <v>10.67</v>
          </cell>
          <cell r="F1565">
            <v>29.39</v>
          </cell>
        </row>
        <row r="1566">
          <cell r="A1566" t="str">
            <v>1418</v>
          </cell>
          <cell r="B1566" t="str">
            <v>CORTINA DEFLETORA DE ESCUMA</v>
          </cell>
        </row>
        <row r="1567">
          <cell r="A1567" t="str">
            <v>141801</v>
          </cell>
          <cell r="B1567" t="str">
            <v>Em alumínio e= 2,5mm, h= 0,20 m</v>
          </cell>
          <cell r="C1567" t="str">
            <v>m</v>
          </cell>
          <cell r="D1567">
            <v>43.06</v>
          </cell>
          <cell r="E1567">
            <v>78.069999999999993</v>
          </cell>
          <cell r="F1567">
            <v>121.13</v>
          </cell>
        </row>
        <row r="1568">
          <cell r="A1568" t="str">
            <v>141802</v>
          </cell>
          <cell r="B1568" t="str">
            <v>Em alumínio e= 2,5mm, h= 0,25 m</v>
          </cell>
          <cell r="C1568" t="str">
            <v>m</v>
          </cell>
          <cell r="D1568">
            <v>43.06</v>
          </cell>
          <cell r="E1568">
            <v>97.31</v>
          </cell>
          <cell r="F1568">
            <v>140.37</v>
          </cell>
        </row>
        <row r="1569">
          <cell r="A1569" t="str">
            <v>141803</v>
          </cell>
          <cell r="B1569" t="str">
            <v>Em alumínio e= 2,5mm, h= 0,30 m</v>
          </cell>
          <cell r="C1569" t="str">
            <v>m</v>
          </cell>
          <cell r="D1569">
            <v>44.93</v>
          </cell>
          <cell r="E1569">
            <v>117.11</v>
          </cell>
          <cell r="F1569">
            <v>162.04</v>
          </cell>
        </row>
        <row r="1570">
          <cell r="A1570" t="str">
            <v>141804</v>
          </cell>
          <cell r="B1570" t="str">
            <v>Em alumínio e= 2,5mm, h= 0,35 m</v>
          </cell>
          <cell r="C1570" t="str">
            <v>m</v>
          </cell>
          <cell r="D1570">
            <v>44.93</v>
          </cell>
          <cell r="E1570">
            <v>136.35</v>
          </cell>
          <cell r="F1570">
            <v>181.28</v>
          </cell>
        </row>
        <row r="1571">
          <cell r="A1571" t="str">
            <v>1419</v>
          </cell>
          <cell r="B1571" t="str">
            <v>VERTEDOR TRIANGULAR PARA REATOR</v>
          </cell>
        </row>
        <row r="1572">
          <cell r="A1572" t="str">
            <v>141901</v>
          </cell>
          <cell r="B1572" t="str">
            <v>Em alumínio e= 2,5mm, h= 0,15 m</v>
          </cell>
          <cell r="C1572" t="str">
            <v>m</v>
          </cell>
          <cell r="D1572">
            <v>43.06</v>
          </cell>
          <cell r="E1572">
            <v>61.03</v>
          </cell>
          <cell r="F1572">
            <v>104.09</v>
          </cell>
        </row>
        <row r="1573">
          <cell r="A1573" t="str">
            <v>141902</v>
          </cell>
          <cell r="B1573" t="str">
            <v>Em alumínio e= 2,5mm, h= 0,20 m</v>
          </cell>
          <cell r="C1573" t="str">
            <v>m</v>
          </cell>
          <cell r="D1573">
            <v>43.06</v>
          </cell>
          <cell r="E1573">
            <v>81.92</v>
          </cell>
          <cell r="F1573">
            <v>124.98</v>
          </cell>
        </row>
        <row r="1574">
          <cell r="A1574" t="str">
            <v>141903</v>
          </cell>
          <cell r="B1574" t="str">
            <v>Em alumínio e= 2,5mm, h= 0,25 m</v>
          </cell>
          <cell r="C1574" t="str">
            <v>m</v>
          </cell>
          <cell r="D1574">
            <v>43.06</v>
          </cell>
          <cell r="E1574">
            <v>102.26</v>
          </cell>
          <cell r="F1574">
            <v>145.32</v>
          </cell>
        </row>
        <row r="1575">
          <cell r="A1575" t="str">
            <v>141904</v>
          </cell>
          <cell r="B1575" t="str">
            <v>Em alumínio e= 2,5mm, h= 0,30 m</v>
          </cell>
          <cell r="C1575" t="str">
            <v>m</v>
          </cell>
          <cell r="D1575">
            <v>44.93</v>
          </cell>
          <cell r="E1575">
            <v>122.61</v>
          </cell>
          <cell r="F1575">
            <v>167.54</v>
          </cell>
        </row>
        <row r="1576">
          <cell r="A1576" t="str">
            <v>1420</v>
          </cell>
          <cell r="B1576" t="str">
            <v>INSTALAÇÃO DA TUBULAÇÃO DE DESCIDA DE ESGOTO</v>
          </cell>
        </row>
        <row r="1577">
          <cell r="A1577" t="str">
            <v>142001</v>
          </cell>
          <cell r="B1577" t="str">
            <v>PVC DN 75</v>
          </cell>
          <cell r="C1577" t="str">
            <v>ud</v>
          </cell>
          <cell r="D1577">
            <v>53.35</v>
          </cell>
          <cell r="E1577">
            <v>52.6</v>
          </cell>
          <cell r="F1577">
            <v>105.95</v>
          </cell>
        </row>
        <row r="1578">
          <cell r="A1578" t="str">
            <v>142002</v>
          </cell>
          <cell r="B1578" t="str">
            <v>PEAD DE 75</v>
          </cell>
          <cell r="C1578" t="str">
            <v>ud</v>
          </cell>
          <cell r="D1578">
            <v>0</v>
          </cell>
          <cell r="F1578">
            <v>0</v>
          </cell>
        </row>
        <row r="1579">
          <cell r="A1579" t="str">
            <v>142003</v>
          </cell>
          <cell r="B1579" t="str">
            <v>PEAD DE 90</v>
          </cell>
          <cell r="C1579" t="str">
            <v>ud</v>
          </cell>
          <cell r="D1579">
            <v>0</v>
          </cell>
          <cell r="F1579">
            <v>0</v>
          </cell>
        </row>
        <row r="1580">
          <cell r="A1580" t="str">
            <v>1421</v>
          </cell>
          <cell r="B1580" t="str">
            <v>PAREDE DEFLETORA COM LONA</v>
          </cell>
        </row>
        <row r="1581">
          <cell r="A1581" t="str">
            <v>142101</v>
          </cell>
          <cell r="B1581" t="str">
            <v>PVC para reator circular</v>
          </cell>
          <cell r="C1581" t="str">
            <v>m2</v>
          </cell>
          <cell r="D1581">
            <v>0</v>
          </cell>
          <cell r="E1581">
            <v>0</v>
          </cell>
          <cell r="F1581">
            <v>0</v>
          </cell>
        </row>
        <row r="1582">
          <cell r="A1582" t="str">
            <v>142102</v>
          </cell>
          <cell r="B1582" t="str">
            <v>PVC para reator quadrado</v>
          </cell>
          <cell r="C1582" t="str">
            <v>m2</v>
          </cell>
          <cell r="D1582">
            <v>0</v>
          </cell>
          <cell r="F1582">
            <v>0</v>
          </cell>
        </row>
        <row r="1583">
          <cell r="A1583" t="str">
            <v>142103</v>
          </cell>
          <cell r="B1583" t="str">
            <v>PEAD para reator circular</v>
          </cell>
          <cell r="C1583" t="str">
            <v>m2</v>
          </cell>
          <cell r="D1583">
            <v>0</v>
          </cell>
          <cell r="F1583">
            <v>0</v>
          </cell>
        </row>
        <row r="1584">
          <cell r="A1584" t="str">
            <v>142104</v>
          </cell>
          <cell r="B1584" t="str">
            <v>PEAD para reator quadrado</v>
          </cell>
          <cell r="C1584" t="str">
            <v>m2</v>
          </cell>
          <cell r="D1584">
            <v>0</v>
          </cell>
          <cell r="F1584">
            <v>0</v>
          </cell>
        </row>
        <row r="1585">
          <cell r="A1585" t="str">
            <v>1422</v>
          </cell>
          <cell r="B1585" t="str">
            <v>INSTALAÇÃO DE SISTEMA DE GRADEAMENTO</v>
          </cell>
        </row>
        <row r="1586">
          <cell r="A1586" t="str">
            <v>142201</v>
          </cell>
          <cell r="B1586" t="str">
            <v>Grade de limpeza manual</v>
          </cell>
          <cell r="C1586" t="str">
            <v>ud</v>
          </cell>
          <cell r="D1586">
            <v>149.76</v>
          </cell>
          <cell r="E1586">
            <v>0</v>
          </cell>
          <cell r="F1586">
            <v>149.76</v>
          </cell>
        </row>
        <row r="1587">
          <cell r="A1587" t="str">
            <v>142202</v>
          </cell>
          <cell r="B1587" t="str">
            <v>Grade de limpeza mecânica</v>
          </cell>
          <cell r="C1587" t="str">
            <v>ud</v>
          </cell>
          <cell r="D1587">
            <v>0</v>
          </cell>
          <cell r="F1587">
            <v>0</v>
          </cell>
        </row>
        <row r="1588">
          <cell r="A1588" t="str">
            <v>1423</v>
          </cell>
          <cell r="B1588" t="str">
            <v>INSTALAÇÃO DE VÁLVULA CORTA CHAMA E QUEIMADOR DE GÁS</v>
          </cell>
        </row>
        <row r="1589">
          <cell r="A1589" t="str">
            <v>142301</v>
          </cell>
          <cell r="B1589" t="str">
            <v>Válvula corta chama</v>
          </cell>
          <cell r="C1589" t="str">
            <v>ud</v>
          </cell>
          <cell r="D1589">
            <v>0</v>
          </cell>
          <cell r="F1589">
            <v>0</v>
          </cell>
        </row>
        <row r="1590">
          <cell r="A1590" t="str">
            <v>142302</v>
          </cell>
          <cell r="B1590" t="str">
            <v>Queimador de gás</v>
          </cell>
          <cell r="C1590" t="str">
            <v>ud</v>
          </cell>
          <cell r="D1590">
            <v>0</v>
          </cell>
          <cell r="F1590">
            <v>0</v>
          </cell>
        </row>
        <row r="1591">
          <cell r="A1591" t="str">
            <v>1424</v>
          </cell>
          <cell r="B1591" t="str">
            <v>INSTALAÇÃO DE AERADOR</v>
          </cell>
        </row>
        <row r="1592">
          <cell r="A1592" t="str">
            <v>142401</v>
          </cell>
          <cell r="B1592" t="str">
            <v>Aerador</v>
          </cell>
          <cell r="C1592" t="str">
            <v>ud</v>
          </cell>
          <cell r="D1592">
            <v>0</v>
          </cell>
          <cell r="F1592">
            <v>0</v>
          </cell>
        </row>
        <row r="1593">
          <cell r="A1593" t="str">
            <v>1425</v>
          </cell>
          <cell r="B1593" t="str">
            <v>LEITO DE SECAGEM</v>
          </cell>
        </row>
        <row r="1594">
          <cell r="A1594" t="str">
            <v>142501</v>
          </cell>
          <cell r="B1594" t="str">
            <v>Lajota de concreto para leito de secagem</v>
          </cell>
          <cell r="C1594" t="str">
            <v>m2</v>
          </cell>
          <cell r="D1594">
            <v>7.5</v>
          </cell>
          <cell r="E1594">
            <v>44.14</v>
          </cell>
          <cell r="F1594">
            <v>51.64</v>
          </cell>
        </row>
        <row r="1595">
          <cell r="A1595" t="str">
            <v>142502</v>
          </cell>
          <cell r="B1595" t="str">
            <v>Areia média - 0,43 a 2,00 mm</v>
          </cell>
          <cell r="C1595" t="str">
            <v>m3</v>
          </cell>
          <cell r="D1595">
            <v>17.14</v>
          </cell>
          <cell r="E1595">
            <v>83.66</v>
          </cell>
          <cell r="F1595">
            <v>100.8</v>
          </cell>
          <cell r="G1595">
            <v>83667</v>
          </cell>
        </row>
        <row r="1596">
          <cell r="A1596" t="str">
            <v>142503</v>
          </cell>
          <cell r="B1596" t="str">
            <v>Brita 1 - 4,8 a 12,5 mm</v>
          </cell>
          <cell r="C1596" t="str">
            <v>m3</v>
          </cell>
          <cell r="D1596">
            <v>30.27</v>
          </cell>
          <cell r="E1596">
            <v>51.55</v>
          </cell>
          <cell r="F1596">
            <v>81.819999999999993</v>
          </cell>
          <cell r="G1596">
            <v>83668</v>
          </cell>
        </row>
        <row r="1597">
          <cell r="A1597" t="str">
            <v>142504</v>
          </cell>
          <cell r="B1597" t="str">
            <v>Brita 3 - 25 a 50 mm</v>
          </cell>
          <cell r="C1597" t="str">
            <v>m3</v>
          </cell>
          <cell r="D1597">
            <v>30.58</v>
          </cell>
          <cell r="E1597">
            <v>52.06</v>
          </cell>
          <cell r="F1597">
            <v>82.64</v>
          </cell>
          <cell r="G1597" t="str">
            <v>73902/001</v>
          </cell>
        </row>
        <row r="1598">
          <cell r="A1598" t="str">
            <v>1426</v>
          </cell>
          <cell r="B1598" t="str">
            <v>INSTALAÇÃO DE TUBULACAO PARA ALIMENTAÇÃO E/OU INTERLIGAÇÃO</v>
          </cell>
        </row>
        <row r="1599">
          <cell r="A1599" t="str">
            <v>142601</v>
          </cell>
          <cell r="B1599" t="str">
            <v>Tubos e conexões até DN 32</v>
          </cell>
          <cell r="C1599" t="str">
            <v>m</v>
          </cell>
          <cell r="D1599">
            <v>5.62</v>
          </cell>
          <cell r="E1599">
            <v>1.04</v>
          </cell>
          <cell r="F1599">
            <v>6.66</v>
          </cell>
        </row>
        <row r="1600">
          <cell r="A1600" t="str">
            <v>1427</v>
          </cell>
          <cell r="B1600" t="str">
            <v>INSTALAÇÃO DE DOSADOR</v>
          </cell>
        </row>
        <row r="1601">
          <cell r="A1601" t="str">
            <v>142701</v>
          </cell>
          <cell r="B1601" t="str">
            <v>Dosador de coluna</v>
          </cell>
          <cell r="C1601" t="str">
            <v>ud</v>
          </cell>
          <cell r="D1601">
            <v>140.06</v>
          </cell>
          <cell r="E1601">
            <v>0</v>
          </cell>
          <cell r="F1601">
            <v>140.06</v>
          </cell>
          <cell r="G1601">
            <v>73694</v>
          </cell>
        </row>
        <row r="1602">
          <cell r="A1602" t="str">
            <v>142702</v>
          </cell>
          <cell r="B1602" t="str">
            <v>Hidroejetor</v>
          </cell>
          <cell r="C1602" t="str">
            <v>ud</v>
          </cell>
          <cell r="D1602">
            <v>0</v>
          </cell>
          <cell r="F1602">
            <v>0</v>
          </cell>
        </row>
        <row r="1603">
          <cell r="A1603" t="str">
            <v>142703</v>
          </cell>
          <cell r="B1603" t="str">
            <v>Conjunto moto bomba dosadora</v>
          </cell>
          <cell r="C1603" t="str">
            <v>ud</v>
          </cell>
          <cell r="D1603">
            <v>0</v>
          </cell>
          <cell r="F1603">
            <v>0</v>
          </cell>
        </row>
        <row r="1604">
          <cell r="A1604" t="str">
            <v>1428</v>
          </cell>
          <cell r="B1604" t="str">
            <v>INSTALAÇÃO DE CLORADOR</v>
          </cell>
        </row>
        <row r="1605">
          <cell r="A1605" t="str">
            <v>142801</v>
          </cell>
          <cell r="B1605" t="str">
            <v>Clorador</v>
          </cell>
          <cell r="C1605" t="str">
            <v>ud</v>
          </cell>
          <cell r="D1605">
            <v>362.9</v>
          </cell>
          <cell r="E1605">
            <v>0</v>
          </cell>
          <cell r="F1605">
            <v>362.9</v>
          </cell>
          <cell r="G1605">
            <v>73612</v>
          </cell>
        </row>
        <row r="1606">
          <cell r="A1606" t="str">
            <v>1429</v>
          </cell>
          <cell r="B1606" t="str">
            <v>INSTALAÇÃO DE MISTURADOR</v>
          </cell>
        </row>
        <row r="1607">
          <cell r="A1607" t="str">
            <v>142901</v>
          </cell>
          <cell r="B1607" t="str">
            <v>Vertical</v>
          </cell>
          <cell r="C1607" t="str">
            <v>ud</v>
          </cell>
          <cell r="D1607">
            <v>374.4</v>
          </cell>
          <cell r="E1607">
            <v>0</v>
          </cell>
          <cell r="F1607">
            <v>374.4</v>
          </cell>
          <cell r="G1607" t="str">
            <v>73824/001</v>
          </cell>
        </row>
        <row r="1608">
          <cell r="A1608" t="str">
            <v>142902</v>
          </cell>
          <cell r="B1608" t="str">
            <v>Inclinado</v>
          </cell>
          <cell r="C1608" t="str">
            <v>ud</v>
          </cell>
          <cell r="D1608">
            <v>0</v>
          </cell>
          <cell r="F1608">
            <v>0</v>
          </cell>
        </row>
        <row r="1609">
          <cell r="A1609" t="str">
            <v>142903</v>
          </cell>
          <cell r="B1609" t="str">
            <v>Submersível</v>
          </cell>
          <cell r="C1609" t="str">
            <v>ud</v>
          </cell>
          <cell r="D1609">
            <v>0</v>
          </cell>
          <cell r="F1609">
            <v>0</v>
          </cell>
        </row>
        <row r="1610">
          <cell r="A1610" t="str">
            <v>1430</v>
          </cell>
          <cell r="B1610" t="str">
            <v>INSTALAÇÃO DE VÁLVULA DE DIAFRAGMA</v>
          </cell>
        </row>
        <row r="1611">
          <cell r="A1611" t="str">
            <v>143001</v>
          </cell>
          <cell r="B1611" t="str">
            <v>Até  DN 100</v>
          </cell>
          <cell r="C1611" t="str">
            <v>ud</v>
          </cell>
          <cell r="D1611">
            <v>113.02</v>
          </cell>
          <cell r="E1611">
            <v>0</v>
          </cell>
          <cell r="F1611">
            <v>113.02</v>
          </cell>
          <cell r="G1611" t="str">
            <v>73884/003</v>
          </cell>
        </row>
        <row r="1612">
          <cell r="A1612" t="str">
            <v>143002</v>
          </cell>
          <cell r="B1612" t="str">
            <v>DN 150 e DN 200</v>
          </cell>
          <cell r="C1612" t="str">
            <v>ud</v>
          </cell>
          <cell r="D1612">
            <v>446.61</v>
          </cell>
          <cell r="E1612">
            <v>0</v>
          </cell>
          <cell r="F1612">
            <v>446.61</v>
          </cell>
          <cell r="G1612" t="str">
            <v>73884/004</v>
          </cell>
        </row>
        <row r="1613">
          <cell r="A1613" t="str">
            <v>143003</v>
          </cell>
          <cell r="B1613" t="str">
            <v>DN 250 e DN 300</v>
          </cell>
          <cell r="C1613" t="str">
            <v>ud</v>
          </cell>
          <cell r="D1613">
            <v>632.70000000000005</v>
          </cell>
          <cell r="E1613">
            <v>0</v>
          </cell>
          <cell r="F1613">
            <v>632.70000000000005</v>
          </cell>
          <cell r="G1613" t="str">
            <v>73884/006</v>
          </cell>
        </row>
        <row r="1614">
          <cell r="A1614" t="str">
            <v>1431</v>
          </cell>
          <cell r="B1614" t="str">
            <v>INSTALAÇÃO DE FLOCULADOR / AGITADOR</v>
          </cell>
        </row>
        <row r="1615">
          <cell r="A1615" t="str">
            <v>143101</v>
          </cell>
          <cell r="B1615" t="str">
            <v>Tipo palheta vertical</v>
          </cell>
          <cell r="C1615" t="str">
            <v>ud</v>
          </cell>
          <cell r="D1615">
            <v>0</v>
          </cell>
          <cell r="F1615">
            <v>0</v>
          </cell>
        </row>
        <row r="1616">
          <cell r="A1616" t="str">
            <v>143102</v>
          </cell>
          <cell r="B1616" t="str">
            <v>Tipo turbina</v>
          </cell>
          <cell r="C1616" t="str">
            <v>ud</v>
          </cell>
          <cell r="D1616">
            <v>0</v>
          </cell>
          <cell r="F1616">
            <v>0</v>
          </cell>
        </row>
        <row r="1617">
          <cell r="A1617" t="str">
            <v>143103</v>
          </cell>
          <cell r="B1617" t="str">
            <v>Tipo tela</v>
          </cell>
          <cell r="C1617" t="str">
            <v>ud</v>
          </cell>
          <cell r="D1617">
            <v>0</v>
          </cell>
          <cell r="F1617">
            <v>0</v>
          </cell>
        </row>
        <row r="1618">
          <cell r="A1618" t="str">
            <v>1432</v>
          </cell>
          <cell r="B1618" t="str">
            <v>SISTEMA DE DECANTAÇÃO ACELERADA</v>
          </cell>
        </row>
        <row r="1619">
          <cell r="A1619" t="str">
            <v>143201</v>
          </cell>
          <cell r="B1619" t="str">
            <v>Instalação de módulo pré-fabricado</v>
          </cell>
          <cell r="C1619" t="str">
            <v>m2</v>
          </cell>
          <cell r="D1619">
            <v>0</v>
          </cell>
          <cell r="F1619">
            <v>0</v>
          </cell>
        </row>
        <row r="1620">
          <cell r="A1620" t="str">
            <v>143202</v>
          </cell>
          <cell r="B1620" t="str">
            <v>Lona plástica</v>
          </cell>
          <cell r="C1620" t="str">
            <v>m2</v>
          </cell>
          <cell r="D1620">
            <v>0</v>
          </cell>
          <cell r="E1620">
            <v>0</v>
          </cell>
          <cell r="F1620">
            <v>0</v>
          </cell>
        </row>
        <row r="1621">
          <cell r="A1621" t="str">
            <v>143203</v>
          </cell>
          <cell r="B1621" t="str">
            <v>Calha coletora em PRFV</v>
          </cell>
          <cell r="C1621" t="str">
            <v>m2</v>
          </cell>
          <cell r="D1621">
            <v>0</v>
          </cell>
          <cell r="F1621">
            <v>0</v>
          </cell>
        </row>
        <row r="1622">
          <cell r="A1622" t="str">
            <v>1433</v>
          </cell>
          <cell r="B1622" t="str">
            <v>VIGUETA DE CONCRETO E MATERIAL FILTRANTE</v>
          </cell>
        </row>
        <row r="1623">
          <cell r="A1623" t="str">
            <v>143301</v>
          </cell>
          <cell r="B1623" t="str">
            <v>Areia</v>
          </cell>
          <cell r="C1623" t="str">
            <v>m3</v>
          </cell>
          <cell r="D1623">
            <v>74.98</v>
          </cell>
          <cell r="E1623">
            <v>0</v>
          </cell>
          <cell r="F1623">
            <v>74.98</v>
          </cell>
          <cell r="G1623" t="str">
            <v>73873/003</v>
          </cell>
        </row>
        <row r="1624">
          <cell r="A1624" t="str">
            <v>143302</v>
          </cell>
          <cell r="B1624" t="str">
            <v xml:space="preserve">Pedregulho </v>
          </cell>
          <cell r="C1624" t="str">
            <v>m3</v>
          </cell>
          <cell r="D1624">
            <v>74.98</v>
          </cell>
          <cell r="E1624">
            <v>0</v>
          </cell>
          <cell r="F1624">
            <v>74.98</v>
          </cell>
          <cell r="G1624" t="str">
            <v>73873/004</v>
          </cell>
        </row>
        <row r="1625">
          <cell r="A1625" t="str">
            <v>143303</v>
          </cell>
          <cell r="B1625" t="str">
            <v>Antracito</v>
          </cell>
          <cell r="C1625" t="str">
            <v>m3</v>
          </cell>
          <cell r="D1625">
            <v>74.98</v>
          </cell>
          <cell r="E1625">
            <v>0</v>
          </cell>
          <cell r="F1625">
            <v>74.98</v>
          </cell>
          <cell r="G1625" t="str">
            <v>73873/005</v>
          </cell>
        </row>
        <row r="1626">
          <cell r="A1626" t="str">
            <v>143304</v>
          </cell>
          <cell r="B1626" t="str">
            <v>Vigueta de concreto</v>
          </cell>
          <cell r="C1626" t="str">
            <v>m</v>
          </cell>
          <cell r="D1626">
            <v>85.49</v>
          </cell>
          <cell r="E1626">
            <v>46.4</v>
          </cell>
          <cell r="F1626">
            <v>131.88999999999999</v>
          </cell>
        </row>
        <row r="1627">
          <cell r="A1627" t="str">
            <v>1434</v>
          </cell>
          <cell r="B1627" t="str">
            <v>TABLADO DE MADEIRA</v>
          </cell>
        </row>
        <row r="1628">
          <cell r="A1628" t="str">
            <v>143401</v>
          </cell>
          <cell r="B1628" t="str">
            <v>Tablado de madeira</v>
          </cell>
          <cell r="C1628" t="str">
            <v>m2</v>
          </cell>
          <cell r="D1628">
            <v>10.52</v>
          </cell>
          <cell r="E1628">
            <v>45.26</v>
          </cell>
          <cell r="F1628">
            <v>55.78</v>
          </cell>
        </row>
        <row r="1629">
          <cell r="A1629" t="str">
            <v>1435</v>
          </cell>
          <cell r="B1629" t="str">
            <v>TANQUE PARA PRODUTOS QUIMICOS</v>
          </cell>
        </row>
        <row r="1630">
          <cell r="A1630" t="str">
            <v>143501</v>
          </cell>
          <cell r="B1630" t="str">
            <v>Fibra de vidro de 300 l</v>
          </cell>
          <cell r="C1630" t="str">
            <v>ud</v>
          </cell>
          <cell r="D1630">
            <v>37.49</v>
          </cell>
          <cell r="E1630">
            <v>0</v>
          </cell>
          <cell r="F1630">
            <v>37.49</v>
          </cell>
        </row>
        <row r="1631">
          <cell r="A1631" t="str">
            <v>143502</v>
          </cell>
          <cell r="B1631" t="str">
            <v>Fibra de vidro de 500 l</v>
          </cell>
          <cell r="C1631" t="str">
            <v>ud</v>
          </cell>
          <cell r="D1631">
            <v>56.24</v>
          </cell>
          <cell r="E1631">
            <v>0</v>
          </cell>
          <cell r="F1631">
            <v>56.24</v>
          </cell>
        </row>
        <row r="1632">
          <cell r="A1632" t="str">
            <v>143503</v>
          </cell>
          <cell r="B1632" t="str">
            <v>Fibra de vidro de 1000 l</v>
          </cell>
          <cell r="C1632" t="str">
            <v>ud</v>
          </cell>
          <cell r="D1632">
            <v>67.48</v>
          </cell>
          <cell r="E1632">
            <v>0</v>
          </cell>
          <cell r="F1632">
            <v>67.48</v>
          </cell>
        </row>
        <row r="1633">
          <cell r="A1633" t="str">
            <v>143504</v>
          </cell>
          <cell r="B1633" t="str">
            <v>Fibra de vidro de 1500 l</v>
          </cell>
          <cell r="C1633" t="str">
            <v>ud</v>
          </cell>
          <cell r="D1633">
            <v>0</v>
          </cell>
          <cell r="F1633">
            <v>0</v>
          </cell>
        </row>
        <row r="1634">
          <cell r="A1634" t="str">
            <v>143505</v>
          </cell>
          <cell r="B1634" t="str">
            <v>Fibra de vidro de 2000 l</v>
          </cell>
          <cell r="C1634" t="str">
            <v>ud</v>
          </cell>
          <cell r="D1634">
            <v>0</v>
          </cell>
          <cell r="F1634">
            <v>0</v>
          </cell>
        </row>
        <row r="1635">
          <cell r="A1635" t="str">
            <v>143506</v>
          </cell>
          <cell r="B1635" t="str">
            <v>Fibra de vidro de 2500 l</v>
          </cell>
          <cell r="C1635" t="str">
            <v>ud</v>
          </cell>
          <cell r="D1635">
            <v>0</v>
          </cell>
          <cell r="F1635">
            <v>0</v>
          </cell>
        </row>
        <row r="1636">
          <cell r="A1636" t="str">
            <v>143507</v>
          </cell>
          <cell r="B1636" t="str">
            <v>Fibra de vidro de 3000 l</v>
          </cell>
          <cell r="C1636" t="str">
            <v>ud</v>
          </cell>
          <cell r="D1636">
            <v>0</v>
          </cell>
          <cell r="F1636">
            <v>0</v>
          </cell>
        </row>
        <row r="1637">
          <cell r="A1637" t="str">
            <v>143508</v>
          </cell>
          <cell r="B1637" t="str">
            <v>Fibra de vidro de 4000 l</v>
          </cell>
          <cell r="C1637" t="str">
            <v>ud</v>
          </cell>
          <cell r="D1637">
            <v>0</v>
          </cell>
          <cell r="F1637">
            <v>0</v>
          </cell>
        </row>
        <row r="1638">
          <cell r="A1638" t="str">
            <v>143509</v>
          </cell>
          <cell r="B1638" t="str">
            <v>Fibra de vidro de 5000 l</v>
          </cell>
          <cell r="C1638" t="str">
            <v>ud</v>
          </cell>
          <cell r="D1638">
            <v>0</v>
          </cell>
          <cell r="F1638">
            <v>0</v>
          </cell>
        </row>
        <row r="1639">
          <cell r="A1639" t="str">
            <v>1436</v>
          </cell>
          <cell r="B1639" t="str">
            <v>MONTAGEM DE TUBULAÇÃO</v>
          </cell>
        </row>
        <row r="1640">
          <cell r="A1640" t="str">
            <v>143601</v>
          </cell>
          <cell r="B1640" t="str">
            <v>Tubo e conexão FD JE/JE2GS DN 75</v>
          </cell>
          <cell r="C1640" t="str">
            <v>ud</v>
          </cell>
          <cell r="D1640">
            <v>16.989999999999998</v>
          </cell>
          <cell r="E1640">
            <v>0.52</v>
          </cell>
          <cell r="F1640">
            <v>17.510000000000002</v>
          </cell>
        </row>
        <row r="1641">
          <cell r="A1641" t="str">
            <v>143602</v>
          </cell>
          <cell r="B1641" t="str">
            <v>Tubo e conexão FD JE/JE2GS DN 80</v>
          </cell>
          <cell r="C1641" t="str">
            <v>ud</v>
          </cell>
          <cell r="D1641">
            <v>16.989999999999998</v>
          </cell>
          <cell r="E1641">
            <v>0.57999999999999996</v>
          </cell>
          <cell r="F1641">
            <v>17.57</v>
          </cell>
        </row>
        <row r="1642">
          <cell r="A1642" t="str">
            <v>143603</v>
          </cell>
          <cell r="B1642" t="str">
            <v>Tubo e conexão FD JE/JE2GS DN 100</v>
          </cell>
          <cell r="C1642" t="str">
            <v>ud</v>
          </cell>
          <cell r="D1642">
            <v>19.25</v>
          </cell>
          <cell r="E1642">
            <v>0.64</v>
          </cell>
          <cell r="F1642">
            <v>19.89</v>
          </cell>
        </row>
        <row r="1643">
          <cell r="A1643" t="str">
            <v>143604</v>
          </cell>
          <cell r="B1643" t="str">
            <v>Tubo e conexão FD JE/JE2GS DN 150</v>
          </cell>
          <cell r="C1643" t="str">
            <v>ud</v>
          </cell>
          <cell r="D1643">
            <v>24.91</v>
          </cell>
          <cell r="E1643">
            <v>0.96</v>
          </cell>
          <cell r="F1643">
            <v>25.87</v>
          </cell>
        </row>
        <row r="1644">
          <cell r="A1644" t="str">
            <v>143605</v>
          </cell>
          <cell r="B1644" t="str">
            <v>Tubo e conexão FD JE/JE2GS DN 200</v>
          </cell>
          <cell r="C1644" t="str">
            <v>ud</v>
          </cell>
          <cell r="D1644">
            <v>32.270000000000003</v>
          </cell>
          <cell r="E1644">
            <v>1.25</v>
          </cell>
          <cell r="F1644">
            <v>33.520000000000003</v>
          </cell>
        </row>
        <row r="1645">
          <cell r="A1645" t="str">
            <v>143606</v>
          </cell>
          <cell r="B1645" t="str">
            <v>Tubo e conexão FD JE/JE2GS DN 250</v>
          </cell>
          <cell r="C1645" t="str">
            <v>ud</v>
          </cell>
          <cell r="D1645">
            <v>37.94</v>
          </cell>
          <cell r="E1645">
            <v>1.57</v>
          </cell>
          <cell r="F1645">
            <v>39.51</v>
          </cell>
        </row>
        <row r="1646">
          <cell r="A1646" t="str">
            <v>143607</v>
          </cell>
          <cell r="B1646" t="str">
            <v>Tubo e conexão FD JE/JE2GS DN 300</v>
          </cell>
          <cell r="C1646" t="str">
            <v>ud</v>
          </cell>
          <cell r="D1646">
            <v>41.33</v>
          </cell>
          <cell r="E1646">
            <v>1.89</v>
          </cell>
          <cell r="F1646">
            <v>43.22</v>
          </cell>
        </row>
        <row r="1647">
          <cell r="A1647" t="str">
            <v>143608</v>
          </cell>
          <cell r="B1647" t="str">
            <v>Tubo e conexão FD JE/JE2GS DN 350</v>
          </cell>
          <cell r="C1647" t="str">
            <v>ud</v>
          </cell>
          <cell r="D1647">
            <v>45.3</v>
          </cell>
          <cell r="E1647">
            <v>2.2200000000000002</v>
          </cell>
          <cell r="F1647">
            <v>47.52</v>
          </cell>
        </row>
        <row r="1648">
          <cell r="A1648" t="str">
            <v>143609</v>
          </cell>
          <cell r="B1648" t="str">
            <v>Tubo e conexão FD JE/JE2GS DN 400</v>
          </cell>
          <cell r="C1648" t="str">
            <v>ud</v>
          </cell>
          <cell r="D1648">
            <v>49.82</v>
          </cell>
          <cell r="E1648">
            <v>2.54</v>
          </cell>
          <cell r="F1648">
            <v>52.36</v>
          </cell>
        </row>
        <row r="1649">
          <cell r="A1649" t="str">
            <v>143610</v>
          </cell>
          <cell r="B1649" t="str">
            <v>Tubo e conexão FD JE/JE2GS DN 450</v>
          </cell>
          <cell r="C1649" t="str">
            <v>ud</v>
          </cell>
          <cell r="D1649">
            <v>53.79</v>
          </cell>
          <cell r="E1649">
            <v>2.86</v>
          </cell>
          <cell r="F1649">
            <v>56.65</v>
          </cell>
        </row>
        <row r="1650">
          <cell r="A1650" t="str">
            <v>143611</v>
          </cell>
          <cell r="B1650" t="str">
            <v>Tubo e conexão FD JE/JE2GS DN 500</v>
          </cell>
          <cell r="C1650" t="str">
            <v>ud</v>
          </cell>
          <cell r="D1650">
            <v>183.79</v>
          </cell>
          <cell r="E1650">
            <v>3.18</v>
          </cell>
          <cell r="F1650">
            <v>186.97</v>
          </cell>
        </row>
        <row r="1651">
          <cell r="A1651" t="str">
            <v>143612</v>
          </cell>
          <cell r="B1651" t="str">
            <v>Tubo e conexão FD JE/JE2GS DN 600</v>
          </cell>
          <cell r="C1651" t="str">
            <v>ud</v>
          </cell>
          <cell r="D1651">
            <v>209.52</v>
          </cell>
          <cell r="E1651">
            <v>3.79</v>
          </cell>
          <cell r="F1651">
            <v>213.31</v>
          </cell>
        </row>
        <row r="1652">
          <cell r="A1652" t="str">
            <v>143613</v>
          </cell>
          <cell r="B1652" t="str">
            <v>Tubo e conexão FD JE/JE2GS DN 700</v>
          </cell>
          <cell r="C1652" t="str">
            <v>ud</v>
          </cell>
          <cell r="D1652">
            <v>226.06</v>
          </cell>
          <cell r="E1652">
            <v>4.43</v>
          </cell>
          <cell r="F1652">
            <v>230.49</v>
          </cell>
        </row>
        <row r="1653">
          <cell r="A1653" t="str">
            <v>143614</v>
          </cell>
          <cell r="B1653" t="str">
            <v>Tubo e conexão FD JE/JE2GS DN 800</v>
          </cell>
          <cell r="C1653" t="str">
            <v>ud</v>
          </cell>
          <cell r="D1653">
            <v>247.74</v>
          </cell>
          <cell r="E1653">
            <v>5.07</v>
          </cell>
          <cell r="F1653">
            <v>252.81</v>
          </cell>
        </row>
        <row r="1654">
          <cell r="A1654" t="str">
            <v>143615</v>
          </cell>
          <cell r="B1654" t="str">
            <v>Tubo e conexão FD JE/JE2GS DN 900</v>
          </cell>
          <cell r="C1654" t="str">
            <v>ud</v>
          </cell>
          <cell r="D1654">
            <v>263.36</v>
          </cell>
          <cell r="E1654">
            <v>5.68</v>
          </cell>
          <cell r="F1654">
            <v>269.04000000000002</v>
          </cell>
        </row>
        <row r="1655">
          <cell r="A1655" t="str">
            <v>143616</v>
          </cell>
          <cell r="B1655" t="str">
            <v>Tubo e conexão FD JE/JE2GS DN 1000</v>
          </cell>
          <cell r="C1655" t="str">
            <v>ud</v>
          </cell>
          <cell r="D1655">
            <v>267.82</v>
          </cell>
          <cell r="E1655">
            <v>6.33</v>
          </cell>
          <cell r="F1655">
            <v>274.14999999999998</v>
          </cell>
        </row>
        <row r="1656">
          <cell r="A1656" t="str">
            <v>143617</v>
          </cell>
          <cell r="B1656" t="str">
            <v>Tubo e conexão FD JE/JE2GS DN 1100</v>
          </cell>
          <cell r="C1656" t="str">
            <v>ud</v>
          </cell>
          <cell r="D1656">
            <v>329.2</v>
          </cell>
          <cell r="E1656">
            <v>6.97</v>
          </cell>
          <cell r="F1656">
            <v>336.17</v>
          </cell>
        </row>
        <row r="1657">
          <cell r="A1657" t="str">
            <v>143618</v>
          </cell>
          <cell r="B1657" t="str">
            <v>Tubo e conexão FD JE/JE2GS DN 1200</v>
          </cell>
          <cell r="C1657" t="str">
            <v>ud</v>
          </cell>
          <cell r="D1657">
            <v>381.58</v>
          </cell>
          <cell r="E1657">
            <v>7.58</v>
          </cell>
          <cell r="F1657">
            <v>389.16</v>
          </cell>
        </row>
        <row r="1658">
          <cell r="A1658" t="str">
            <v>143619</v>
          </cell>
          <cell r="B1658" t="str">
            <v>Tubo e conexão FD JF DN 75</v>
          </cell>
          <cell r="C1658" t="str">
            <v>ud</v>
          </cell>
          <cell r="D1658">
            <v>45.3</v>
          </cell>
          <cell r="E1658">
            <v>0</v>
          </cell>
          <cell r="F1658">
            <v>45.3</v>
          </cell>
        </row>
        <row r="1659">
          <cell r="A1659" t="str">
            <v>143620</v>
          </cell>
          <cell r="B1659" t="str">
            <v>Tubo e conexão FD JF DN 80</v>
          </cell>
          <cell r="C1659" t="str">
            <v>ud</v>
          </cell>
          <cell r="D1659">
            <v>56.62</v>
          </cell>
          <cell r="E1659">
            <v>0</v>
          </cell>
          <cell r="F1659">
            <v>56.62</v>
          </cell>
        </row>
        <row r="1660">
          <cell r="A1660" t="str">
            <v>143621</v>
          </cell>
          <cell r="B1660" t="str">
            <v>Tubo e conexão FD JF DN 100</v>
          </cell>
          <cell r="C1660" t="str">
            <v>ud</v>
          </cell>
          <cell r="D1660">
            <v>56.62</v>
          </cell>
          <cell r="E1660">
            <v>0</v>
          </cell>
          <cell r="F1660">
            <v>56.62</v>
          </cell>
        </row>
        <row r="1661">
          <cell r="A1661" t="str">
            <v>143622</v>
          </cell>
          <cell r="B1661" t="str">
            <v>Tubo e conexão FD JF DN 150</v>
          </cell>
          <cell r="C1661" t="str">
            <v>ud</v>
          </cell>
          <cell r="D1661">
            <v>67.94</v>
          </cell>
          <cell r="E1661">
            <v>0</v>
          </cell>
          <cell r="F1661">
            <v>67.94</v>
          </cell>
        </row>
        <row r="1662">
          <cell r="A1662" t="str">
            <v>143623</v>
          </cell>
          <cell r="B1662" t="str">
            <v>Tubo e conexão FD JF DN 200</v>
          </cell>
          <cell r="C1662" t="str">
            <v>ud</v>
          </cell>
          <cell r="D1662">
            <v>79.27</v>
          </cell>
          <cell r="E1662">
            <v>0</v>
          </cell>
          <cell r="F1662">
            <v>79.27</v>
          </cell>
        </row>
        <row r="1663">
          <cell r="A1663" t="str">
            <v>143624</v>
          </cell>
          <cell r="B1663" t="str">
            <v>Tubo e conexão FD JF DN 250</v>
          </cell>
          <cell r="C1663" t="str">
            <v>ud</v>
          </cell>
          <cell r="D1663">
            <v>96.26</v>
          </cell>
          <cell r="E1663">
            <v>0</v>
          </cell>
          <cell r="F1663">
            <v>96.26</v>
          </cell>
        </row>
        <row r="1664">
          <cell r="A1664" t="str">
            <v>143625</v>
          </cell>
          <cell r="B1664" t="str">
            <v>Tubo e conexão FD JF DN 300</v>
          </cell>
          <cell r="C1664" t="str">
            <v>ud</v>
          </cell>
          <cell r="D1664">
            <v>107.58</v>
          </cell>
          <cell r="E1664">
            <v>0</v>
          </cell>
          <cell r="F1664">
            <v>107.58</v>
          </cell>
        </row>
        <row r="1665">
          <cell r="A1665" t="str">
            <v>143626</v>
          </cell>
          <cell r="B1665" t="str">
            <v xml:space="preserve">Tubo e conexão FD JF DN 350  </v>
          </cell>
          <cell r="C1665" t="str">
            <v>ud</v>
          </cell>
          <cell r="D1665">
            <v>118.91</v>
          </cell>
          <cell r="E1665">
            <v>0</v>
          </cell>
          <cell r="F1665">
            <v>118.91</v>
          </cell>
        </row>
        <row r="1666">
          <cell r="A1666" t="str">
            <v>143627</v>
          </cell>
          <cell r="B1666" t="str">
            <v>Tubo e conexão FD JF DN 400</v>
          </cell>
          <cell r="C1666" t="str">
            <v>ud</v>
          </cell>
          <cell r="D1666">
            <v>130.22999999999999</v>
          </cell>
          <cell r="E1666">
            <v>0</v>
          </cell>
          <cell r="F1666">
            <v>130.22999999999999</v>
          </cell>
        </row>
        <row r="1667">
          <cell r="A1667" t="str">
            <v>143628</v>
          </cell>
          <cell r="B1667" t="str">
            <v>Tubo e conexão FD JF DN 450</v>
          </cell>
          <cell r="C1667" t="str">
            <v>ud</v>
          </cell>
          <cell r="D1667">
            <v>135.88999999999999</v>
          </cell>
          <cell r="E1667">
            <v>0</v>
          </cell>
          <cell r="F1667">
            <v>135.88999999999999</v>
          </cell>
        </row>
        <row r="1668">
          <cell r="A1668" t="str">
            <v>143629</v>
          </cell>
          <cell r="B1668" t="str">
            <v>Tubo e conexão FD JF DN 500</v>
          </cell>
          <cell r="C1668" t="str">
            <v>ud</v>
          </cell>
          <cell r="D1668">
            <v>477.85</v>
          </cell>
          <cell r="E1668">
            <v>0</v>
          </cell>
          <cell r="F1668">
            <v>477.85</v>
          </cell>
        </row>
        <row r="1669">
          <cell r="A1669" t="str">
            <v>143630</v>
          </cell>
          <cell r="B1669" t="str">
            <v>Tubo e conexão FD JF DN 600</v>
          </cell>
          <cell r="C1669" t="str">
            <v>ud</v>
          </cell>
          <cell r="D1669">
            <v>514.61</v>
          </cell>
          <cell r="E1669">
            <v>0</v>
          </cell>
          <cell r="F1669">
            <v>514.61</v>
          </cell>
        </row>
        <row r="1670">
          <cell r="A1670" t="str">
            <v>143631</v>
          </cell>
          <cell r="B1670" t="str">
            <v>Tubo e conexão FD JF DN 700</v>
          </cell>
          <cell r="C1670" t="str">
            <v>ud</v>
          </cell>
          <cell r="D1670">
            <v>542.17999999999995</v>
          </cell>
          <cell r="E1670">
            <v>0</v>
          </cell>
          <cell r="F1670">
            <v>542.17999999999995</v>
          </cell>
        </row>
        <row r="1671">
          <cell r="A1671" t="str">
            <v>143632</v>
          </cell>
          <cell r="B1671" t="str">
            <v>Tubo e conexão FD JF DN 800</v>
          </cell>
          <cell r="C1671" t="str">
            <v>ud</v>
          </cell>
          <cell r="D1671">
            <v>576.57000000000005</v>
          </cell>
          <cell r="E1671">
            <v>0</v>
          </cell>
          <cell r="F1671">
            <v>576.57000000000005</v>
          </cell>
        </row>
        <row r="1672">
          <cell r="A1672" t="str">
            <v>143633</v>
          </cell>
          <cell r="B1672" t="str">
            <v>Tubo e conexão FD JF DN 900</v>
          </cell>
          <cell r="C1672" t="str">
            <v>ud</v>
          </cell>
          <cell r="D1672">
            <v>613.77</v>
          </cell>
          <cell r="E1672">
            <v>0</v>
          </cell>
          <cell r="F1672">
            <v>613.77</v>
          </cell>
        </row>
        <row r="1673">
          <cell r="A1673" t="str">
            <v>143634</v>
          </cell>
          <cell r="B1673" t="str">
            <v>Tubo e conexão FD JF DN 1000</v>
          </cell>
          <cell r="C1673" t="str">
            <v>ud</v>
          </cell>
          <cell r="D1673">
            <v>669.56</v>
          </cell>
          <cell r="E1673">
            <v>0</v>
          </cell>
          <cell r="F1673">
            <v>669.56</v>
          </cell>
        </row>
        <row r="1674">
          <cell r="A1674" t="str">
            <v>143635</v>
          </cell>
          <cell r="B1674" t="str">
            <v>Tubo e conexão FD JF DN 1100</v>
          </cell>
          <cell r="C1674" t="str">
            <v>ud</v>
          </cell>
          <cell r="D1674">
            <v>725.37</v>
          </cell>
          <cell r="E1674">
            <v>0</v>
          </cell>
          <cell r="F1674">
            <v>725.37</v>
          </cell>
        </row>
        <row r="1675">
          <cell r="A1675" t="str">
            <v>143636</v>
          </cell>
          <cell r="B1675" t="str">
            <v>Tubo e conexão FD JF DN 1200</v>
          </cell>
          <cell r="C1675" t="str">
            <v>ud</v>
          </cell>
          <cell r="D1675">
            <v>781.16</v>
          </cell>
          <cell r="E1675">
            <v>0</v>
          </cell>
          <cell r="F1675">
            <v>781.16</v>
          </cell>
        </row>
        <row r="1676">
          <cell r="A1676" t="str">
            <v>143637</v>
          </cell>
          <cell r="B1676" t="str">
            <v>Tubo e peça de AÇO JE DN 150</v>
          </cell>
          <cell r="C1676" t="str">
            <v>ud</v>
          </cell>
          <cell r="D1676">
            <v>24.91</v>
          </cell>
          <cell r="E1676">
            <v>0.96</v>
          </cell>
          <cell r="F1676">
            <v>25.87</v>
          </cell>
        </row>
        <row r="1677">
          <cell r="A1677" t="str">
            <v>143638</v>
          </cell>
          <cell r="B1677" t="str">
            <v>Tubo e peça de AÇO JE DN 200</v>
          </cell>
          <cell r="C1677" t="str">
            <v>ud</v>
          </cell>
          <cell r="D1677">
            <v>32.270000000000003</v>
          </cell>
          <cell r="E1677">
            <v>1.25</v>
          </cell>
          <cell r="F1677">
            <v>33.520000000000003</v>
          </cell>
        </row>
        <row r="1678">
          <cell r="A1678" t="str">
            <v>143639</v>
          </cell>
          <cell r="B1678" t="str">
            <v>Tubo e peça de AÇO JE DN 250</v>
          </cell>
          <cell r="C1678" t="str">
            <v>ud</v>
          </cell>
          <cell r="D1678">
            <v>37.94</v>
          </cell>
          <cell r="E1678">
            <v>1.57</v>
          </cell>
          <cell r="F1678">
            <v>39.51</v>
          </cell>
        </row>
        <row r="1679">
          <cell r="A1679" t="str">
            <v>143640</v>
          </cell>
          <cell r="B1679" t="str">
            <v>Tubo e peça de AÇO JE DN 300</v>
          </cell>
          <cell r="C1679" t="str">
            <v>ud</v>
          </cell>
          <cell r="D1679">
            <v>41.33</v>
          </cell>
          <cell r="E1679">
            <v>1.89</v>
          </cell>
          <cell r="F1679">
            <v>43.22</v>
          </cell>
        </row>
        <row r="1680">
          <cell r="A1680" t="str">
            <v>143641</v>
          </cell>
          <cell r="B1680" t="str">
            <v>Tubo e peça de AÇO JE DN 350</v>
          </cell>
          <cell r="C1680" t="str">
            <v>ud</v>
          </cell>
          <cell r="D1680">
            <v>45.3</v>
          </cell>
          <cell r="E1680">
            <v>2.2200000000000002</v>
          </cell>
          <cell r="F1680">
            <v>47.52</v>
          </cell>
        </row>
        <row r="1681">
          <cell r="A1681" t="str">
            <v>143642</v>
          </cell>
          <cell r="B1681" t="str">
            <v>Tubo e peça de AÇO JE DN 400</v>
          </cell>
          <cell r="C1681" t="str">
            <v>ud</v>
          </cell>
          <cell r="D1681">
            <v>49.82</v>
          </cell>
          <cell r="E1681">
            <v>2.54</v>
          </cell>
          <cell r="F1681">
            <v>52.36</v>
          </cell>
        </row>
        <row r="1682">
          <cell r="A1682" t="str">
            <v>143643</v>
          </cell>
          <cell r="B1682" t="str">
            <v>Tubo e peça de AÇO JE DN 450</v>
          </cell>
          <cell r="C1682" t="str">
            <v>ud</v>
          </cell>
          <cell r="D1682">
            <v>53.79</v>
          </cell>
          <cell r="E1682">
            <v>2.86</v>
          </cell>
          <cell r="F1682">
            <v>56.65</v>
          </cell>
        </row>
        <row r="1683">
          <cell r="A1683" t="str">
            <v>143644</v>
          </cell>
          <cell r="B1683" t="str">
            <v>Tubo e peça de AÇO JE DN 500</v>
          </cell>
          <cell r="C1683" t="str">
            <v>ud</v>
          </cell>
          <cell r="D1683">
            <v>183.79</v>
          </cell>
          <cell r="E1683">
            <v>3.18</v>
          </cell>
          <cell r="F1683">
            <v>186.97</v>
          </cell>
        </row>
        <row r="1684">
          <cell r="A1684" t="str">
            <v>143645</v>
          </cell>
          <cell r="B1684" t="str">
            <v>Tubo e peça de AÇO JE DN 600</v>
          </cell>
          <cell r="C1684" t="str">
            <v>ud</v>
          </cell>
          <cell r="D1684">
            <v>209.52</v>
          </cell>
          <cell r="E1684">
            <v>3.79</v>
          </cell>
          <cell r="F1684">
            <v>213.31</v>
          </cell>
        </row>
        <row r="1685">
          <cell r="A1685" t="str">
            <v>143646</v>
          </cell>
          <cell r="B1685" t="str">
            <v>Tubo e peça de AÇO JE DN 700</v>
          </cell>
          <cell r="C1685" t="str">
            <v>ud</v>
          </cell>
          <cell r="D1685">
            <v>226.06</v>
          </cell>
          <cell r="E1685">
            <v>4.43</v>
          </cell>
          <cell r="F1685">
            <v>230.49</v>
          </cell>
        </row>
        <row r="1686">
          <cell r="A1686" t="str">
            <v>143647</v>
          </cell>
          <cell r="B1686" t="str">
            <v>Tubo e peça de AÇO JE DN 800</v>
          </cell>
          <cell r="C1686" t="str">
            <v>ud</v>
          </cell>
          <cell r="D1686">
            <v>247.74</v>
          </cell>
          <cell r="E1686">
            <v>5.07</v>
          </cell>
          <cell r="F1686">
            <v>252.81</v>
          </cell>
        </row>
        <row r="1687">
          <cell r="A1687" t="str">
            <v>143648</v>
          </cell>
          <cell r="B1687" t="str">
            <v>Tubo e peça de AÇO JE DN 900</v>
          </cell>
          <cell r="C1687" t="str">
            <v>ud</v>
          </cell>
          <cell r="D1687">
            <v>263.36</v>
          </cell>
          <cell r="E1687">
            <v>5.68</v>
          </cell>
          <cell r="F1687">
            <v>269.04000000000002</v>
          </cell>
        </row>
        <row r="1688">
          <cell r="A1688" t="str">
            <v>143649</v>
          </cell>
          <cell r="B1688" t="str">
            <v xml:space="preserve">Tubo e peça de AÇO JE DN 1000  </v>
          </cell>
          <cell r="C1688" t="str">
            <v>ud</v>
          </cell>
          <cell r="D1688">
            <v>267.82</v>
          </cell>
          <cell r="E1688">
            <v>6.33</v>
          </cell>
          <cell r="F1688">
            <v>274.14999999999998</v>
          </cell>
        </row>
        <row r="1689">
          <cell r="A1689" t="str">
            <v>143650</v>
          </cell>
          <cell r="B1689" t="str">
            <v xml:space="preserve">Tubo e peça de AÇO JE DN 1100  </v>
          </cell>
          <cell r="C1689" t="str">
            <v>ud</v>
          </cell>
          <cell r="D1689">
            <v>329.2</v>
          </cell>
          <cell r="E1689">
            <v>6.97</v>
          </cell>
          <cell r="F1689">
            <v>336.17</v>
          </cell>
        </row>
        <row r="1690">
          <cell r="A1690" t="str">
            <v>143651</v>
          </cell>
          <cell r="B1690" t="str">
            <v>Tubo e peça de AÇO JS DN 750</v>
          </cell>
          <cell r="C1690" t="str">
            <v>ud</v>
          </cell>
          <cell r="D1690">
            <v>432.14</v>
          </cell>
          <cell r="E1690">
            <v>202.44</v>
          </cell>
          <cell r="F1690">
            <v>634.58000000000004</v>
          </cell>
        </row>
        <row r="1691">
          <cell r="A1691" t="str">
            <v>143652</v>
          </cell>
          <cell r="B1691" t="str">
            <v>Tubo e peça de AÇO JS DN 800</v>
          </cell>
          <cell r="C1691" t="str">
            <v>ud</v>
          </cell>
          <cell r="D1691">
            <v>444.25</v>
          </cell>
          <cell r="E1691">
            <v>215.31</v>
          </cell>
          <cell r="F1691">
            <v>659.56</v>
          </cell>
        </row>
        <row r="1692">
          <cell r="A1692" t="str">
            <v>143653</v>
          </cell>
          <cell r="B1692" t="str">
            <v>Tubo e peça de AÇO JS DN 850</v>
          </cell>
          <cell r="C1692" t="str">
            <v>ud</v>
          </cell>
          <cell r="D1692">
            <v>457.16</v>
          </cell>
          <cell r="E1692">
            <v>229.03</v>
          </cell>
          <cell r="F1692">
            <v>686.19</v>
          </cell>
        </row>
        <row r="1693">
          <cell r="A1693" t="str">
            <v>143654</v>
          </cell>
          <cell r="B1693" t="str">
            <v>Tubo e peça de AÇO JS DN 900</v>
          </cell>
          <cell r="C1693" t="str">
            <v>ud</v>
          </cell>
          <cell r="D1693">
            <v>488.66</v>
          </cell>
          <cell r="E1693">
            <v>242.76</v>
          </cell>
          <cell r="F1693">
            <v>731.42</v>
          </cell>
        </row>
        <row r="1694">
          <cell r="A1694" t="str">
            <v>143655</v>
          </cell>
          <cell r="B1694" t="str">
            <v>Tubo e peça de AÇO JS DN 950</v>
          </cell>
          <cell r="C1694" t="str">
            <v>ud</v>
          </cell>
          <cell r="D1694">
            <v>500.76</v>
          </cell>
          <cell r="E1694">
            <v>255.62</v>
          </cell>
          <cell r="F1694">
            <v>756.38</v>
          </cell>
        </row>
        <row r="1695">
          <cell r="A1695" t="str">
            <v>143656</v>
          </cell>
          <cell r="B1695" t="str">
            <v>Tubo e peça de AÇO JS DN 1000</v>
          </cell>
          <cell r="C1695" t="str">
            <v>ud</v>
          </cell>
          <cell r="D1695">
            <v>532.26</v>
          </cell>
          <cell r="E1695">
            <v>269.35000000000002</v>
          </cell>
          <cell r="F1695">
            <v>801.61</v>
          </cell>
        </row>
        <row r="1696">
          <cell r="A1696" t="str">
            <v>143657</v>
          </cell>
          <cell r="B1696" t="str">
            <v>Tubo e peça de AÇO JS DN 1050</v>
          </cell>
          <cell r="C1696" t="str">
            <v>ud</v>
          </cell>
          <cell r="D1696">
            <v>545.16999999999996</v>
          </cell>
          <cell r="E1696">
            <v>283.07</v>
          </cell>
          <cell r="F1696">
            <v>828.24</v>
          </cell>
        </row>
        <row r="1697">
          <cell r="A1697" t="str">
            <v>143658</v>
          </cell>
          <cell r="B1697" t="str">
            <v>Tubo e peça de AÇO JS DN 1100</v>
          </cell>
          <cell r="C1697" t="str">
            <v>ud</v>
          </cell>
          <cell r="D1697">
            <v>575.85</v>
          </cell>
          <cell r="E1697">
            <v>295.94</v>
          </cell>
          <cell r="F1697">
            <v>871.79</v>
          </cell>
        </row>
        <row r="1698">
          <cell r="A1698" t="str">
            <v>143659</v>
          </cell>
          <cell r="B1698" t="str">
            <v>Tubo e peça de AÇO JS DN 1150</v>
          </cell>
          <cell r="C1698" t="str">
            <v>ud</v>
          </cell>
          <cell r="D1698">
            <v>588.77</v>
          </cell>
          <cell r="E1698">
            <v>309.67</v>
          </cell>
          <cell r="F1698">
            <v>898.44</v>
          </cell>
        </row>
        <row r="1699">
          <cell r="A1699" t="str">
            <v>143660</v>
          </cell>
          <cell r="B1699" t="str">
            <v>Tubo e peça de AÇO JS DN 1200</v>
          </cell>
          <cell r="C1699" t="str">
            <v>ud</v>
          </cell>
          <cell r="D1699">
            <v>620.28</v>
          </cell>
          <cell r="E1699">
            <v>323.39</v>
          </cell>
          <cell r="F1699">
            <v>943.67</v>
          </cell>
        </row>
        <row r="1700">
          <cell r="A1700" t="str">
            <v>143661</v>
          </cell>
          <cell r="B1700" t="str">
            <v>Tubo e conexão FG JR até 1"</v>
          </cell>
          <cell r="C1700" t="str">
            <v>ud</v>
          </cell>
          <cell r="D1700">
            <v>17.22</v>
          </cell>
          <cell r="E1700">
            <v>0.16</v>
          </cell>
          <cell r="F1700">
            <v>17.38</v>
          </cell>
        </row>
        <row r="1701">
          <cell r="A1701" t="str">
            <v>143662</v>
          </cell>
          <cell r="B1701" t="str">
            <v>Tubo e conexão FG JR 1 1/4" a 2"</v>
          </cell>
          <cell r="C1701" t="str">
            <v>ud</v>
          </cell>
          <cell r="D1701">
            <v>23.97</v>
          </cell>
          <cell r="E1701">
            <v>0.35</v>
          </cell>
          <cell r="F1701">
            <v>24.32</v>
          </cell>
        </row>
        <row r="1702">
          <cell r="A1702" t="str">
            <v>143663</v>
          </cell>
          <cell r="B1702" t="str">
            <v>Tubo e conexão FG JR 2 1/2" a 3"</v>
          </cell>
          <cell r="C1702" t="str">
            <v>ud</v>
          </cell>
          <cell r="D1702">
            <v>29.95</v>
          </cell>
          <cell r="E1702">
            <v>0.59</v>
          </cell>
          <cell r="F1702">
            <v>30.54</v>
          </cell>
        </row>
        <row r="1703">
          <cell r="A1703" t="str">
            <v>143664</v>
          </cell>
          <cell r="B1703" t="str">
            <v>Tubo e conexão FG JR 4"</v>
          </cell>
          <cell r="C1703" t="str">
            <v>ud</v>
          </cell>
          <cell r="D1703">
            <v>44.93</v>
          </cell>
          <cell r="E1703">
            <v>0.86</v>
          </cell>
          <cell r="F1703">
            <v>45.79</v>
          </cell>
        </row>
        <row r="1704">
          <cell r="A1704" t="str">
            <v>143665</v>
          </cell>
          <cell r="B1704" t="str">
            <v>Tubo e conexão FG JR 6"</v>
          </cell>
          <cell r="C1704" t="str">
            <v>ud</v>
          </cell>
          <cell r="D1704">
            <v>59.9</v>
          </cell>
          <cell r="E1704">
            <v>1.3</v>
          </cell>
          <cell r="F1704">
            <v>61.2</v>
          </cell>
        </row>
        <row r="1705">
          <cell r="A1705" t="str">
            <v>143666</v>
          </cell>
          <cell r="B1705" t="str">
            <v>Tubo e conexão de PVC, RPVC, PRFV, JE / JEI DN 50</v>
          </cell>
          <cell r="C1705" t="str">
            <v>ud</v>
          </cell>
          <cell r="D1705">
            <v>10.14</v>
          </cell>
          <cell r="E1705">
            <v>0.32</v>
          </cell>
          <cell r="F1705">
            <v>10.46</v>
          </cell>
        </row>
        <row r="1706">
          <cell r="A1706" t="str">
            <v>143667</v>
          </cell>
          <cell r="B1706" t="str">
            <v>Tubo e conexão de PVC, RPVC, PRFV, JE / JEI DN 75</v>
          </cell>
          <cell r="C1706" t="str">
            <v>ud</v>
          </cell>
          <cell r="D1706">
            <v>13.52</v>
          </cell>
          <cell r="E1706">
            <v>0.52</v>
          </cell>
          <cell r="F1706">
            <v>14.04</v>
          </cell>
        </row>
        <row r="1707">
          <cell r="A1707" t="str">
            <v>143668</v>
          </cell>
          <cell r="B1707" t="str">
            <v>Tubo e conexão de PVC, RPVC, PRFV, JE / JEI DN 100</v>
          </cell>
          <cell r="C1707" t="str">
            <v>ud</v>
          </cell>
          <cell r="D1707">
            <v>16.91</v>
          </cell>
          <cell r="E1707">
            <v>0.64</v>
          </cell>
          <cell r="F1707">
            <v>17.55</v>
          </cell>
        </row>
        <row r="1708">
          <cell r="A1708" t="str">
            <v>143669</v>
          </cell>
          <cell r="B1708" t="str">
            <v>Tubo e conexão de PVC, RPVC, PRFV, JE / JEI DN 150</v>
          </cell>
          <cell r="C1708" t="str">
            <v>ud</v>
          </cell>
          <cell r="D1708">
            <v>20.29</v>
          </cell>
          <cell r="E1708">
            <v>0.96</v>
          </cell>
          <cell r="F1708">
            <v>21.25</v>
          </cell>
        </row>
        <row r="1709">
          <cell r="A1709" t="str">
            <v>143670</v>
          </cell>
          <cell r="B1709" t="str">
            <v>Tubo e conexão de PVC, RPVC, PRFV, JE / JEI DN 200</v>
          </cell>
          <cell r="C1709" t="str">
            <v>ud</v>
          </cell>
          <cell r="D1709">
            <v>23.67</v>
          </cell>
          <cell r="E1709">
            <v>1.25</v>
          </cell>
          <cell r="F1709">
            <v>24.92</v>
          </cell>
        </row>
        <row r="1710">
          <cell r="A1710" t="str">
            <v>143671</v>
          </cell>
          <cell r="B1710" t="str">
            <v>Tubo e conexão de PVC, RPVC, PRFV, JE / JEI DN 250</v>
          </cell>
          <cell r="C1710" t="str">
            <v>ud</v>
          </cell>
          <cell r="D1710">
            <v>27.04</v>
          </cell>
          <cell r="E1710">
            <v>1.57</v>
          </cell>
          <cell r="F1710">
            <v>28.61</v>
          </cell>
        </row>
        <row r="1711">
          <cell r="A1711" t="str">
            <v>143672</v>
          </cell>
          <cell r="B1711" t="str">
            <v>Tubo e conexão de PVC, RPVC, PRFV, JE / JEI DN 300</v>
          </cell>
          <cell r="C1711" t="str">
            <v>ud</v>
          </cell>
          <cell r="D1711">
            <v>33.81</v>
          </cell>
          <cell r="E1711">
            <v>1.89</v>
          </cell>
          <cell r="F1711">
            <v>35.700000000000003</v>
          </cell>
        </row>
        <row r="1712">
          <cell r="A1712" t="str">
            <v>143673</v>
          </cell>
          <cell r="B1712" t="str">
            <v>Tubo e conexão de PVC, RPVC, PRFV, JE / JEI DN 350</v>
          </cell>
          <cell r="C1712" t="str">
            <v>ud</v>
          </cell>
          <cell r="D1712">
            <v>37.19</v>
          </cell>
          <cell r="E1712">
            <v>2.2200000000000002</v>
          </cell>
          <cell r="F1712">
            <v>39.409999999999997</v>
          </cell>
        </row>
        <row r="1713">
          <cell r="A1713" t="str">
            <v>143674</v>
          </cell>
          <cell r="B1713" t="str">
            <v>Tubo e conexão de PVC, RPVC, PRFV, JE / JEI DN 400</v>
          </cell>
          <cell r="C1713" t="str">
            <v>ud</v>
          </cell>
          <cell r="D1713">
            <v>40.6</v>
          </cell>
          <cell r="E1713">
            <v>2.54</v>
          </cell>
          <cell r="F1713">
            <v>43.14</v>
          </cell>
        </row>
        <row r="1714">
          <cell r="A1714" t="str">
            <v>143675</v>
          </cell>
          <cell r="B1714" t="str">
            <v>Tubo e conexão de PVC, RPVC, PRFV, JE / JEI DN 500</v>
          </cell>
          <cell r="C1714" t="str">
            <v>ud</v>
          </cell>
          <cell r="D1714">
            <v>53.89</v>
          </cell>
          <cell r="E1714">
            <v>3.18</v>
          </cell>
          <cell r="F1714">
            <v>57.07</v>
          </cell>
        </row>
        <row r="1715">
          <cell r="A1715" t="str">
            <v>143676</v>
          </cell>
          <cell r="B1715" t="str">
            <v>Tubo e conexão de PVC, RPVC, PRFV, JE / JEI DN 600</v>
          </cell>
          <cell r="C1715" t="str">
            <v>ud</v>
          </cell>
          <cell r="D1715">
            <v>60.02</v>
          </cell>
          <cell r="E1715">
            <v>3.79</v>
          </cell>
          <cell r="F1715">
            <v>63.81</v>
          </cell>
        </row>
        <row r="1716">
          <cell r="A1716" t="str">
            <v>143677</v>
          </cell>
          <cell r="B1716" t="str">
            <v>Tubo e conexão de PVC, RPVC, PRFV, JE / JEI DN 700</v>
          </cell>
          <cell r="C1716" t="str">
            <v>ud</v>
          </cell>
          <cell r="D1716">
            <v>65.25</v>
          </cell>
          <cell r="E1716">
            <v>4.43</v>
          </cell>
          <cell r="F1716">
            <v>69.680000000000007</v>
          </cell>
        </row>
        <row r="1717">
          <cell r="A1717" t="str">
            <v>143678</v>
          </cell>
          <cell r="B1717" t="str">
            <v>Tubo e conexão de PVC, RPVC, PRFV, JE / JEI DN 800</v>
          </cell>
          <cell r="C1717" t="str">
            <v>ud</v>
          </cell>
          <cell r="D1717">
            <v>71.08</v>
          </cell>
          <cell r="E1717">
            <v>5.07</v>
          </cell>
          <cell r="F1717">
            <v>76.150000000000006</v>
          </cell>
        </row>
        <row r="1718">
          <cell r="A1718" t="str">
            <v>143679</v>
          </cell>
          <cell r="B1718" t="str">
            <v>Tubo e conexão de PVC, RPVC, PRFV, JE / JEI DN 900</v>
          </cell>
          <cell r="C1718" t="str">
            <v>ud</v>
          </cell>
          <cell r="D1718">
            <v>76.599999999999994</v>
          </cell>
          <cell r="E1718">
            <v>5.68</v>
          </cell>
          <cell r="F1718">
            <v>82.28</v>
          </cell>
        </row>
        <row r="1719">
          <cell r="A1719" t="str">
            <v>143680</v>
          </cell>
          <cell r="B1719" t="str">
            <v>Tubo e conexão de PVC, RPVC, PRFV, JE / JEI DN 1000</v>
          </cell>
          <cell r="C1719" t="str">
            <v>ud</v>
          </cell>
          <cell r="D1719">
            <v>81.5</v>
          </cell>
          <cell r="E1719">
            <v>6.33</v>
          </cell>
          <cell r="F1719">
            <v>87.83</v>
          </cell>
        </row>
        <row r="1720">
          <cell r="A1720" t="str">
            <v>143681</v>
          </cell>
          <cell r="B1720" t="str">
            <v>Tubo e conexão de PVC JS DE 32</v>
          </cell>
          <cell r="C1720" t="str">
            <v>ud</v>
          </cell>
          <cell r="D1720">
            <v>0</v>
          </cell>
          <cell r="F1720">
            <v>0</v>
          </cell>
        </row>
        <row r="1721">
          <cell r="A1721" t="str">
            <v>143682</v>
          </cell>
          <cell r="B1721" t="str">
            <v>Tubo e conexão de PVC JS DE 40</v>
          </cell>
          <cell r="C1721" t="str">
            <v>ud</v>
          </cell>
          <cell r="D1721">
            <v>0</v>
          </cell>
          <cell r="F1721">
            <v>0</v>
          </cell>
        </row>
        <row r="1722">
          <cell r="A1722" t="str">
            <v>143683</v>
          </cell>
          <cell r="B1722" t="str">
            <v>Tubo e conexão de PVC JS DE 50</v>
          </cell>
          <cell r="C1722" t="str">
            <v>ud</v>
          </cell>
          <cell r="D1722">
            <v>0</v>
          </cell>
          <cell r="F1722">
            <v>0</v>
          </cell>
        </row>
        <row r="1723">
          <cell r="A1723" t="str">
            <v>143684</v>
          </cell>
          <cell r="B1723" t="str">
            <v>Tubo e conexão de PVC JR até 1"</v>
          </cell>
          <cell r="C1723" t="str">
            <v>ud</v>
          </cell>
          <cell r="D1723">
            <v>8.61</v>
          </cell>
          <cell r="E1723">
            <v>0.16</v>
          </cell>
          <cell r="F1723">
            <v>8.77</v>
          </cell>
        </row>
        <row r="1724">
          <cell r="A1724" t="str">
            <v>143685</v>
          </cell>
          <cell r="B1724" t="str">
            <v>Tubo e conexão de PVC JR 1.1/4" a 2"</v>
          </cell>
          <cell r="C1724" t="str">
            <v>ud</v>
          </cell>
          <cell r="D1724">
            <v>11.98</v>
          </cell>
          <cell r="E1724">
            <v>0.35</v>
          </cell>
          <cell r="F1724">
            <v>12.33</v>
          </cell>
        </row>
        <row r="1725">
          <cell r="A1725" t="str">
            <v>143686</v>
          </cell>
          <cell r="B1725" t="str">
            <v>Tubo e conexão de PVC JR 2.1/2" a 3"</v>
          </cell>
          <cell r="C1725" t="str">
            <v>ud</v>
          </cell>
          <cell r="D1725">
            <v>14.98</v>
          </cell>
          <cell r="E1725">
            <v>0.59</v>
          </cell>
          <cell r="F1725">
            <v>15.57</v>
          </cell>
        </row>
        <row r="1726">
          <cell r="A1726" t="str">
            <v>143687</v>
          </cell>
          <cell r="B1726" t="str">
            <v>Tubo e conexão de PVC JR 4"</v>
          </cell>
          <cell r="C1726" t="str">
            <v>ud</v>
          </cell>
          <cell r="D1726">
            <v>22.46</v>
          </cell>
          <cell r="E1726">
            <v>0.86</v>
          </cell>
          <cell r="F1726">
            <v>23.32</v>
          </cell>
        </row>
        <row r="1727">
          <cell r="A1727" t="str">
            <v>143688</v>
          </cell>
          <cell r="B1727" t="str">
            <v>Tubo e conexão de PEAD/PP JS -  até DE 50</v>
          </cell>
          <cell r="C1727" t="str">
            <v>ud</v>
          </cell>
          <cell r="D1727">
            <v>0</v>
          </cell>
          <cell r="F1727">
            <v>0</v>
          </cell>
        </row>
        <row r="1728">
          <cell r="A1728" t="str">
            <v>143689</v>
          </cell>
          <cell r="B1728" t="str">
            <v>Tubo e conexão de PEAD/PP JS -  DE 60 a DE 125</v>
          </cell>
          <cell r="C1728" t="str">
            <v>ud</v>
          </cell>
          <cell r="D1728">
            <v>0</v>
          </cell>
          <cell r="F1728">
            <v>0</v>
          </cell>
        </row>
        <row r="1729">
          <cell r="A1729" t="str">
            <v>143690</v>
          </cell>
          <cell r="B1729" t="str">
            <v>Tubo e conexão de PEAD/PP JS - DE 140 a DE 315</v>
          </cell>
          <cell r="C1729" t="str">
            <v>ud</v>
          </cell>
          <cell r="D1729">
            <v>0</v>
          </cell>
          <cell r="F1729">
            <v>0</v>
          </cell>
        </row>
        <row r="1730">
          <cell r="A1730" t="str">
            <v>143691</v>
          </cell>
          <cell r="B1730" t="str">
            <v>Tubo e conexão de PEAD/PP JS - DE 400 a DE 500</v>
          </cell>
          <cell r="C1730" t="str">
            <v>ud</v>
          </cell>
          <cell r="D1730">
            <v>0</v>
          </cell>
          <cell r="F1730">
            <v>0</v>
          </cell>
        </row>
        <row r="1731">
          <cell r="A1731" t="str">
            <v>143692</v>
          </cell>
          <cell r="B1731" t="str">
            <v>Corte de tubo - PVC/RPVC/PRFV/PEAD</v>
          </cell>
          <cell r="C1731" t="str">
            <v>m</v>
          </cell>
          <cell r="D1731">
            <v>7.01</v>
          </cell>
          <cell r="E1731">
            <v>1.76</v>
          </cell>
          <cell r="F1731">
            <v>8.77</v>
          </cell>
        </row>
        <row r="1732">
          <cell r="A1732" t="str">
            <v>143693</v>
          </cell>
          <cell r="B1732" t="str">
            <v>Corte de tubo - FD, Aço e FG</v>
          </cell>
          <cell r="C1732" t="str">
            <v>m</v>
          </cell>
          <cell r="D1732">
            <v>33.46</v>
          </cell>
          <cell r="E1732">
            <v>14.07</v>
          </cell>
          <cell r="F1732">
            <v>47.53</v>
          </cell>
        </row>
        <row r="1733">
          <cell r="A1733" t="str">
            <v>1437</v>
          </cell>
          <cell r="B1733" t="str">
            <v>DESMONTAGEM DE JUNTA</v>
          </cell>
        </row>
        <row r="1734">
          <cell r="A1734" t="str">
            <v>143755</v>
          </cell>
          <cell r="B1734" t="str">
            <v>Tubo e conexão FG JR 6"</v>
          </cell>
          <cell r="C1734" t="str">
            <v>ud</v>
          </cell>
          <cell r="D1734">
            <v>0</v>
          </cell>
          <cell r="E1734">
            <v>0</v>
          </cell>
          <cell r="F1734">
            <v>0</v>
          </cell>
        </row>
        <row r="1735">
          <cell r="A1735" t="str">
            <v>143756</v>
          </cell>
          <cell r="B1735" t="str">
            <v>Tubo e conexão de PVC, RPVC, PRFV, JE / JEI DN 50</v>
          </cell>
          <cell r="C1735" t="str">
            <v>ud</v>
          </cell>
          <cell r="D1735">
            <v>7.61</v>
          </cell>
          <cell r="E1735">
            <v>0</v>
          </cell>
          <cell r="F1735">
            <v>7.61</v>
          </cell>
        </row>
        <row r="1736">
          <cell r="A1736" t="str">
            <v>143757</v>
          </cell>
          <cell r="B1736" t="str">
            <v>Tubo e conexão de PVC, RPVC, PRFV, JE / JEI DN 75</v>
          </cell>
          <cell r="C1736" t="str">
            <v>ud</v>
          </cell>
          <cell r="D1736">
            <v>10.14</v>
          </cell>
          <cell r="E1736">
            <v>0</v>
          </cell>
          <cell r="F1736">
            <v>10.14</v>
          </cell>
        </row>
        <row r="1737">
          <cell r="A1737" t="str">
            <v>143758</v>
          </cell>
          <cell r="B1737" t="str">
            <v>Tubo e conexão de PVC, RPVC, PRFV, JE / JEI DN 100</v>
          </cell>
          <cell r="C1737" t="str">
            <v>ud</v>
          </cell>
          <cell r="D1737">
            <v>12.68</v>
          </cell>
          <cell r="E1737">
            <v>0</v>
          </cell>
          <cell r="F1737">
            <v>12.68</v>
          </cell>
        </row>
        <row r="1738">
          <cell r="A1738" t="str">
            <v>143759</v>
          </cell>
          <cell r="B1738" t="str">
            <v>Tubo e conexão de PVC, RPVC, PRFV, JE / JEI DN 150</v>
          </cell>
          <cell r="C1738" t="str">
            <v>ud</v>
          </cell>
          <cell r="D1738">
            <v>15.22</v>
          </cell>
          <cell r="E1738">
            <v>0</v>
          </cell>
          <cell r="F1738">
            <v>15.22</v>
          </cell>
        </row>
        <row r="1739">
          <cell r="A1739" t="str">
            <v>143760</v>
          </cell>
          <cell r="B1739" t="str">
            <v>Tubo e conexão de PVC, RPVC, PRFV, JE / JEI DN 200</v>
          </cell>
          <cell r="C1739" t="str">
            <v>ud</v>
          </cell>
          <cell r="D1739">
            <v>17.75</v>
          </cell>
          <cell r="E1739">
            <v>0</v>
          </cell>
          <cell r="F1739">
            <v>17.75</v>
          </cell>
        </row>
        <row r="1740">
          <cell r="A1740" t="str">
            <v>143761</v>
          </cell>
          <cell r="B1740" t="str">
            <v>Tubo e conexão de PVC, RPVC, PRFV, JE / JEI DN 250</v>
          </cell>
          <cell r="C1740" t="str">
            <v>ud</v>
          </cell>
          <cell r="D1740">
            <v>20.29</v>
          </cell>
          <cell r="E1740">
            <v>0</v>
          </cell>
          <cell r="F1740">
            <v>20.29</v>
          </cell>
        </row>
        <row r="1741">
          <cell r="A1741" t="str">
            <v>143762</v>
          </cell>
          <cell r="B1741" t="str">
            <v>Tubo e conexão de PVC, RPVC, PRFV, JE / JEI DN 300</v>
          </cell>
          <cell r="C1741" t="str">
            <v>ud</v>
          </cell>
          <cell r="D1741">
            <v>25.36</v>
          </cell>
          <cell r="E1741">
            <v>0</v>
          </cell>
          <cell r="F1741">
            <v>25.36</v>
          </cell>
        </row>
        <row r="1742">
          <cell r="A1742" t="str">
            <v>143763</v>
          </cell>
          <cell r="B1742" t="str">
            <v>Tubo e conexão de PVC, RPVC, PRFV, JE / JEI DN 350</v>
          </cell>
          <cell r="C1742" t="str">
            <v>ud</v>
          </cell>
          <cell r="D1742">
            <v>27.9</v>
          </cell>
          <cell r="E1742">
            <v>0</v>
          </cell>
          <cell r="F1742">
            <v>27.9</v>
          </cell>
        </row>
        <row r="1743">
          <cell r="A1743" t="str">
            <v>143764</v>
          </cell>
          <cell r="B1743" t="str">
            <v>Tubo e conexão de PVC, RPVC, PRFV, JE / JEI DN 400</v>
          </cell>
          <cell r="C1743" t="str">
            <v>ud</v>
          </cell>
          <cell r="D1743">
            <v>30.44</v>
          </cell>
          <cell r="E1743">
            <v>0</v>
          </cell>
          <cell r="F1743">
            <v>30.44</v>
          </cell>
        </row>
        <row r="1744">
          <cell r="A1744" t="str">
            <v>143765</v>
          </cell>
          <cell r="B1744" t="str">
            <v>Tubo e conexão de PVC, RPVC, PRFV, JE / JEI DN 500</v>
          </cell>
          <cell r="C1744" t="str">
            <v>ud</v>
          </cell>
          <cell r="D1744">
            <v>40.43</v>
          </cell>
          <cell r="E1744">
            <v>0</v>
          </cell>
          <cell r="F1744">
            <v>40.43</v>
          </cell>
        </row>
        <row r="1745">
          <cell r="A1745" t="str">
            <v>143766</v>
          </cell>
          <cell r="B1745" t="str">
            <v>Tubo e conexão de PVC, RPVC, PRFV, JE / JEI DN 600</v>
          </cell>
          <cell r="C1745" t="str">
            <v>ud</v>
          </cell>
          <cell r="D1745">
            <v>45.02</v>
          </cell>
          <cell r="E1745">
            <v>0</v>
          </cell>
          <cell r="F1745">
            <v>45.02</v>
          </cell>
        </row>
        <row r="1746">
          <cell r="A1746" t="str">
            <v>143767</v>
          </cell>
          <cell r="B1746" t="str">
            <v>Tubo e conexão de PVC, RPVC, PRFV, JE / JEI DN 700</v>
          </cell>
          <cell r="C1746" t="str">
            <v>ud</v>
          </cell>
          <cell r="D1746">
            <v>48.94</v>
          </cell>
          <cell r="E1746">
            <v>0</v>
          </cell>
          <cell r="F1746">
            <v>48.94</v>
          </cell>
        </row>
        <row r="1747">
          <cell r="A1747" t="str">
            <v>143768</v>
          </cell>
          <cell r="B1747" t="str">
            <v>Tubo e conexão de PVC, RPVC, PRFV, JE / JEI DN 800</v>
          </cell>
          <cell r="C1747" t="str">
            <v>ud</v>
          </cell>
          <cell r="D1747">
            <v>53.32</v>
          </cell>
          <cell r="E1747">
            <v>0</v>
          </cell>
          <cell r="F1747">
            <v>53.32</v>
          </cell>
        </row>
        <row r="1748">
          <cell r="A1748" t="str">
            <v>143769</v>
          </cell>
          <cell r="B1748" t="str">
            <v>Tubo e conexão de PVC, RPVC, PRFV, JE / JEI DN 900</v>
          </cell>
          <cell r="C1748" t="str">
            <v>ud</v>
          </cell>
          <cell r="D1748">
            <v>57.45</v>
          </cell>
          <cell r="E1748">
            <v>0</v>
          </cell>
          <cell r="F1748">
            <v>57.45</v>
          </cell>
        </row>
        <row r="1749">
          <cell r="A1749" t="str">
            <v>143770</v>
          </cell>
          <cell r="B1749" t="str">
            <v>Tubo e conexão de PVC, RPVC, PRFV, JE / JEI DN 1000</v>
          </cell>
          <cell r="C1749" t="str">
            <v>ud</v>
          </cell>
          <cell r="D1749">
            <v>61.13</v>
          </cell>
          <cell r="E1749">
            <v>0</v>
          </cell>
          <cell r="F1749">
            <v>61.13</v>
          </cell>
        </row>
        <row r="1750">
          <cell r="A1750" t="str">
            <v>143771</v>
          </cell>
          <cell r="B1750" t="str">
            <v>Tubo e conexão de PVC JR até 1"</v>
          </cell>
          <cell r="C1750" t="str">
            <v>ud</v>
          </cell>
          <cell r="D1750">
            <v>0</v>
          </cell>
          <cell r="E1750">
            <v>0</v>
          </cell>
          <cell r="F1750">
            <v>0</v>
          </cell>
        </row>
        <row r="1751">
          <cell r="A1751" t="str">
            <v>143772</v>
          </cell>
          <cell r="B1751" t="str">
            <v>Tubo e conexão de PVC JR 1 1/4"  a 2"</v>
          </cell>
          <cell r="C1751" t="str">
            <v>ud</v>
          </cell>
          <cell r="D1751">
            <v>0</v>
          </cell>
          <cell r="E1751">
            <v>0</v>
          </cell>
          <cell r="F1751">
            <v>0</v>
          </cell>
        </row>
        <row r="1752">
          <cell r="A1752" t="str">
            <v>143773</v>
          </cell>
          <cell r="B1752" t="str">
            <v>Tubo e conexão de PVC JR 2 1/2"  a 3"</v>
          </cell>
          <cell r="C1752" t="str">
            <v>ud</v>
          </cell>
          <cell r="D1752">
            <v>0</v>
          </cell>
          <cell r="E1752">
            <v>0</v>
          </cell>
          <cell r="F1752">
            <v>0</v>
          </cell>
        </row>
        <row r="1753">
          <cell r="A1753" t="str">
            <v>143774</v>
          </cell>
          <cell r="B1753" t="str">
            <v>Tubo e conexão de PVC JR 4"</v>
          </cell>
          <cell r="C1753" t="str">
            <v>ud</v>
          </cell>
          <cell r="D1753">
            <v>0</v>
          </cell>
          <cell r="E1753">
            <v>0</v>
          </cell>
          <cell r="F1753">
            <v>0</v>
          </cell>
        </row>
        <row r="1754">
          <cell r="A1754" t="str">
            <v>143701</v>
          </cell>
          <cell r="B1754" t="str">
            <v>Tubo e conexão FD JE DN 75</v>
          </cell>
          <cell r="C1754" t="str">
            <v>ud</v>
          </cell>
          <cell r="D1754">
            <v>13.02</v>
          </cell>
          <cell r="E1754">
            <v>0</v>
          </cell>
          <cell r="F1754">
            <v>13.02</v>
          </cell>
        </row>
        <row r="1755">
          <cell r="A1755" t="str">
            <v>143702</v>
          </cell>
          <cell r="B1755" t="str">
            <v>Tubo e conexão FD JE DN 80</v>
          </cell>
          <cell r="C1755" t="str">
            <v>ud</v>
          </cell>
          <cell r="D1755">
            <v>13.02</v>
          </cell>
          <cell r="E1755">
            <v>0</v>
          </cell>
          <cell r="F1755">
            <v>13.02</v>
          </cell>
        </row>
        <row r="1756">
          <cell r="A1756" t="str">
            <v>143703</v>
          </cell>
          <cell r="B1756" t="str">
            <v>Tubo e conexão FD JE DN 100</v>
          </cell>
          <cell r="C1756" t="str">
            <v>ud</v>
          </cell>
          <cell r="D1756">
            <v>14.72</v>
          </cell>
          <cell r="E1756">
            <v>0</v>
          </cell>
          <cell r="F1756">
            <v>14.72</v>
          </cell>
        </row>
        <row r="1757">
          <cell r="A1757" t="str">
            <v>143704</v>
          </cell>
          <cell r="B1757" t="str">
            <v>Tubo e conexão FD JE DN 150</v>
          </cell>
          <cell r="C1757" t="str">
            <v>ud</v>
          </cell>
          <cell r="D1757">
            <v>18.68</v>
          </cell>
          <cell r="E1757">
            <v>0</v>
          </cell>
          <cell r="F1757">
            <v>18.68</v>
          </cell>
        </row>
        <row r="1758">
          <cell r="A1758" t="str">
            <v>143705</v>
          </cell>
          <cell r="B1758" t="str">
            <v>Tubo e conexão FD JE DN 200</v>
          </cell>
          <cell r="C1758" t="str">
            <v>ud</v>
          </cell>
          <cell r="D1758">
            <v>24.35</v>
          </cell>
          <cell r="E1758">
            <v>0</v>
          </cell>
          <cell r="F1758">
            <v>24.35</v>
          </cell>
        </row>
        <row r="1759">
          <cell r="A1759" t="str">
            <v>143706</v>
          </cell>
          <cell r="B1759" t="str">
            <v>Tubo e conexão FD JE DN 250</v>
          </cell>
          <cell r="C1759" t="str">
            <v>ud</v>
          </cell>
          <cell r="D1759">
            <v>28.32</v>
          </cell>
          <cell r="E1759">
            <v>0</v>
          </cell>
          <cell r="F1759">
            <v>28.32</v>
          </cell>
        </row>
        <row r="1760">
          <cell r="A1760" t="str">
            <v>143707</v>
          </cell>
          <cell r="B1760" t="str">
            <v>Tubo e conexão FD JE DN 300</v>
          </cell>
          <cell r="C1760" t="str">
            <v>ud</v>
          </cell>
          <cell r="D1760">
            <v>31.14</v>
          </cell>
          <cell r="E1760">
            <v>0</v>
          </cell>
          <cell r="F1760">
            <v>31.14</v>
          </cell>
        </row>
        <row r="1761">
          <cell r="A1761" t="str">
            <v>143708</v>
          </cell>
          <cell r="B1761" t="str">
            <v>Tubo e conexão FD JE DN 350</v>
          </cell>
          <cell r="C1761" t="str">
            <v>ud</v>
          </cell>
          <cell r="D1761">
            <v>33.97</v>
          </cell>
          <cell r="E1761">
            <v>0</v>
          </cell>
          <cell r="F1761">
            <v>33.97</v>
          </cell>
        </row>
        <row r="1762">
          <cell r="A1762" t="str">
            <v>143709</v>
          </cell>
          <cell r="B1762" t="str">
            <v>Tubo e conexão FD JE DN 400</v>
          </cell>
          <cell r="C1762" t="str">
            <v>ud</v>
          </cell>
          <cell r="D1762">
            <v>37.369999999999997</v>
          </cell>
          <cell r="E1762">
            <v>0</v>
          </cell>
          <cell r="F1762">
            <v>37.369999999999997</v>
          </cell>
        </row>
        <row r="1763">
          <cell r="A1763" t="str">
            <v>143710</v>
          </cell>
          <cell r="B1763" t="str">
            <v>Tubo e conexão FD JE DN 450</v>
          </cell>
          <cell r="C1763" t="str">
            <v>ud</v>
          </cell>
          <cell r="D1763">
            <v>40.200000000000003</v>
          </cell>
          <cell r="E1763">
            <v>0</v>
          </cell>
          <cell r="F1763">
            <v>40.200000000000003</v>
          </cell>
        </row>
        <row r="1764">
          <cell r="A1764" t="str">
            <v>143711</v>
          </cell>
          <cell r="B1764" t="str">
            <v>Tubo e conexão FD JE DN 500</v>
          </cell>
          <cell r="C1764" t="str">
            <v>ud</v>
          </cell>
          <cell r="D1764">
            <v>137.84</v>
          </cell>
          <cell r="E1764">
            <v>0</v>
          </cell>
          <cell r="F1764">
            <v>137.84</v>
          </cell>
        </row>
        <row r="1765">
          <cell r="A1765" t="str">
            <v>143712</v>
          </cell>
          <cell r="B1765" t="str">
            <v>Tubo e conexão FD JE DN 600</v>
          </cell>
          <cell r="C1765" t="str">
            <v>ud</v>
          </cell>
          <cell r="D1765">
            <v>158.06</v>
          </cell>
          <cell r="E1765">
            <v>0</v>
          </cell>
          <cell r="F1765">
            <v>158.06</v>
          </cell>
        </row>
        <row r="1766">
          <cell r="A1766" t="str">
            <v>143713</v>
          </cell>
          <cell r="B1766" t="str">
            <v>Tubo e conexão FD JE DN 700</v>
          </cell>
          <cell r="C1766" t="str">
            <v>ud</v>
          </cell>
          <cell r="D1766">
            <v>169.09</v>
          </cell>
          <cell r="E1766">
            <v>0</v>
          </cell>
          <cell r="F1766">
            <v>169.09</v>
          </cell>
        </row>
        <row r="1767">
          <cell r="A1767" t="str">
            <v>143714</v>
          </cell>
          <cell r="B1767" t="str">
            <v>Tubo e conexão FD JE DN 800</v>
          </cell>
          <cell r="C1767" t="str">
            <v>ud</v>
          </cell>
          <cell r="D1767">
            <v>185.99</v>
          </cell>
          <cell r="E1767">
            <v>0</v>
          </cell>
          <cell r="F1767">
            <v>185.99</v>
          </cell>
        </row>
        <row r="1768">
          <cell r="A1768" t="str">
            <v>143715</v>
          </cell>
          <cell r="B1768" t="str">
            <v>Tubo e conexão FD JE DN 900</v>
          </cell>
          <cell r="C1768" t="str">
            <v>ud</v>
          </cell>
          <cell r="D1768">
            <v>197.15</v>
          </cell>
          <cell r="E1768">
            <v>0</v>
          </cell>
          <cell r="F1768">
            <v>197.15</v>
          </cell>
        </row>
        <row r="1769">
          <cell r="A1769" t="str">
            <v>143716</v>
          </cell>
          <cell r="B1769" t="str">
            <v>Tubo e conexão FD JE DN 1000</v>
          </cell>
          <cell r="C1769" t="str">
            <v>ud</v>
          </cell>
          <cell r="D1769">
            <v>200.86</v>
          </cell>
          <cell r="E1769">
            <v>0</v>
          </cell>
          <cell r="F1769">
            <v>200.86</v>
          </cell>
        </row>
        <row r="1770">
          <cell r="A1770" t="str">
            <v>143717</v>
          </cell>
          <cell r="B1770" t="str">
            <v>Tubo e conexão FD JE DN 1100</v>
          </cell>
          <cell r="C1770" t="str">
            <v>ud</v>
          </cell>
          <cell r="D1770">
            <v>247.36</v>
          </cell>
          <cell r="E1770">
            <v>0</v>
          </cell>
          <cell r="F1770">
            <v>247.36</v>
          </cell>
        </row>
        <row r="1771">
          <cell r="A1771" t="str">
            <v>143718</v>
          </cell>
          <cell r="B1771" t="str">
            <v>Tubo e conexão FD JE DN 1200</v>
          </cell>
          <cell r="C1771" t="str">
            <v>ud</v>
          </cell>
          <cell r="D1771">
            <v>286.43</v>
          </cell>
          <cell r="E1771">
            <v>0</v>
          </cell>
          <cell r="F1771">
            <v>286.43</v>
          </cell>
        </row>
        <row r="1772">
          <cell r="A1772" t="str">
            <v>143719</v>
          </cell>
          <cell r="B1772" t="str">
            <v>Tubo e conexão FD JF DN 75</v>
          </cell>
          <cell r="C1772" t="str">
            <v>ud</v>
          </cell>
          <cell r="D1772">
            <v>33.97</v>
          </cell>
          <cell r="E1772">
            <v>0</v>
          </cell>
          <cell r="F1772">
            <v>33.97</v>
          </cell>
        </row>
        <row r="1773">
          <cell r="A1773" t="str">
            <v>143720</v>
          </cell>
          <cell r="B1773" t="str">
            <v>Tubo e conexão FD JF DN 80</v>
          </cell>
          <cell r="C1773" t="str">
            <v>ud</v>
          </cell>
          <cell r="D1773">
            <v>42.46</v>
          </cell>
          <cell r="E1773">
            <v>0</v>
          </cell>
          <cell r="F1773">
            <v>42.46</v>
          </cell>
        </row>
        <row r="1774">
          <cell r="A1774" t="str">
            <v>143721</v>
          </cell>
          <cell r="B1774" t="str">
            <v>Tubo e conexão FD JF DN 100</v>
          </cell>
          <cell r="C1774" t="str">
            <v>ud</v>
          </cell>
          <cell r="D1774">
            <v>42.46</v>
          </cell>
          <cell r="E1774">
            <v>0</v>
          </cell>
          <cell r="F1774">
            <v>42.46</v>
          </cell>
        </row>
        <row r="1775">
          <cell r="A1775" t="str">
            <v>143722</v>
          </cell>
          <cell r="B1775" t="str">
            <v>Tubo e conexão FD JF DN 150</v>
          </cell>
          <cell r="C1775" t="str">
            <v>ud</v>
          </cell>
          <cell r="D1775">
            <v>50.96</v>
          </cell>
          <cell r="E1775">
            <v>0</v>
          </cell>
          <cell r="F1775">
            <v>50.96</v>
          </cell>
        </row>
        <row r="1776">
          <cell r="A1776" t="str">
            <v>143723</v>
          </cell>
          <cell r="B1776" t="str">
            <v>Tubo e conexão FD JF DN 200</v>
          </cell>
          <cell r="C1776" t="str">
            <v>ud</v>
          </cell>
          <cell r="D1776">
            <v>59.45</v>
          </cell>
          <cell r="E1776">
            <v>0</v>
          </cell>
          <cell r="F1776">
            <v>59.45</v>
          </cell>
        </row>
        <row r="1777">
          <cell r="A1777" t="str">
            <v>143724</v>
          </cell>
          <cell r="B1777" t="str">
            <v>Tubo e conexão FD JF DN 250</v>
          </cell>
          <cell r="C1777" t="str">
            <v>ud</v>
          </cell>
          <cell r="D1777">
            <v>72.47</v>
          </cell>
          <cell r="E1777">
            <v>0</v>
          </cell>
          <cell r="F1777">
            <v>72.47</v>
          </cell>
        </row>
        <row r="1778">
          <cell r="A1778" t="str">
            <v>143725</v>
          </cell>
          <cell r="B1778" t="str">
            <v>Tubo e conexão FD JF DN 300</v>
          </cell>
          <cell r="C1778" t="str">
            <v>ud</v>
          </cell>
          <cell r="D1778">
            <v>80.97</v>
          </cell>
          <cell r="E1778">
            <v>0</v>
          </cell>
          <cell r="F1778">
            <v>80.97</v>
          </cell>
        </row>
        <row r="1779">
          <cell r="A1779" t="str">
            <v>143726</v>
          </cell>
          <cell r="B1779" t="str">
            <v>Tubo e conexão FD JF DN 350</v>
          </cell>
          <cell r="C1779" t="str">
            <v>ud</v>
          </cell>
          <cell r="D1779">
            <v>89.46</v>
          </cell>
          <cell r="E1779">
            <v>0</v>
          </cell>
          <cell r="F1779">
            <v>89.46</v>
          </cell>
        </row>
        <row r="1780">
          <cell r="A1780" t="str">
            <v>143727</v>
          </cell>
          <cell r="B1780" t="str">
            <v>Tubo e conexão FD JF DN 400</v>
          </cell>
          <cell r="C1780" t="str">
            <v>ud</v>
          </cell>
          <cell r="D1780">
            <v>97.95</v>
          </cell>
          <cell r="E1780">
            <v>0</v>
          </cell>
          <cell r="F1780">
            <v>97.95</v>
          </cell>
        </row>
        <row r="1781">
          <cell r="A1781" t="str">
            <v>143728</v>
          </cell>
          <cell r="B1781" t="str">
            <v>Tubo e conexão FD JF DN 450</v>
          </cell>
          <cell r="C1781" t="str">
            <v>ud</v>
          </cell>
          <cell r="D1781">
            <v>101.92</v>
          </cell>
          <cell r="E1781">
            <v>0</v>
          </cell>
          <cell r="F1781">
            <v>101.92</v>
          </cell>
        </row>
        <row r="1782">
          <cell r="A1782" t="str">
            <v>143729</v>
          </cell>
          <cell r="B1782" t="str">
            <v>Tubo e conexão FD JF DN 500</v>
          </cell>
          <cell r="C1782" t="str">
            <v>ud</v>
          </cell>
          <cell r="D1782">
            <v>358.39</v>
          </cell>
          <cell r="E1782">
            <v>0</v>
          </cell>
          <cell r="F1782">
            <v>358.39</v>
          </cell>
        </row>
        <row r="1783">
          <cell r="A1783" t="str">
            <v>143730</v>
          </cell>
          <cell r="B1783" t="str">
            <v>Tubo e conexão FD JF DN 600</v>
          </cell>
          <cell r="C1783" t="str">
            <v>ud</v>
          </cell>
          <cell r="D1783">
            <v>385.96</v>
          </cell>
          <cell r="E1783">
            <v>0</v>
          </cell>
          <cell r="F1783">
            <v>385.96</v>
          </cell>
        </row>
        <row r="1784">
          <cell r="A1784" t="str">
            <v>143731</v>
          </cell>
          <cell r="B1784" t="str">
            <v>Tubo e conexão FD JF DN 700</v>
          </cell>
          <cell r="C1784" t="str">
            <v>ud</v>
          </cell>
          <cell r="D1784">
            <v>400.66</v>
          </cell>
          <cell r="E1784">
            <v>0</v>
          </cell>
          <cell r="F1784">
            <v>400.66</v>
          </cell>
        </row>
        <row r="1785">
          <cell r="A1785" t="str">
            <v>143732</v>
          </cell>
          <cell r="B1785" t="str">
            <v>Tubo e conexão FD JF DN 800</v>
          </cell>
          <cell r="C1785" t="str">
            <v>ud</v>
          </cell>
          <cell r="D1785">
            <v>433.35</v>
          </cell>
          <cell r="E1785">
            <v>0</v>
          </cell>
          <cell r="F1785">
            <v>433.35</v>
          </cell>
        </row>
        <row r="1786">
          <cell r="A1786" t="str">
            <v>143733</v>
          </cell>
          <cell r="B1786" t="str">
            <v>Tubo e conexão FD JF DN 900</v>
          </cell>
          <cell r="C1786" t="str">
            <v>ud</v>
          </cell>
          <cell r="D1786">
            <v>461.25</v>
          </cell>
          <cell r="E1786">
            <v>0</v>
          </cell>
          <cell r="F1786">
            <v>461.25</v>
          </cell>
        </row>
        <row r="1787">
          <cell r="A1787" t="str">
            <v>143734</v>
          </cell>
          <cell r="B1787" t="str">
            <v>Tubo e conexão FD JF DN 1000</v>
          </cell>
          <cell r="C1787" t="str">
            <v>ud</v>
          </cell>
          <cell r="D1787">
            <v>502.18</v>
          </cell>
          <cell r="E1787">
            <v>0</v>
          </cell>
          <cell r="F1787">
            <v>502.18</v>
          </cell>
        </row>
        <row r="1788">
          <cell r="A1788" t="str">
            <v>143735</v>
          </cell>
          <cell r="B1788" t="str">
            <v>Tubo e conexão FD JF DN 1100</v>
          </cell>
          <cell r="C1788" t="str">
            <v>ud</v>
          </cell>
          <cell r="D1788">
            <v>544.95000000000005</v>
          </cell>
          <cell r="E1788">
            <v>0</v>
          </cell>
          <cell r="F1788">
            <v>544.95000000000005</v>
          </cell>
        </row>
        <row r="1789">
          <cell r="A1789" t="str">
            <v>143736</v>
          </cell>
          <cell r="B1789" t="str">
            <v>Tubo e conexão FD JF DN 1200</v>
          </cell>
          <cell r="C1789" t="str">
            <v>ud</v>
          </cell>
          <cell r="D1789">
            <v>585.87</v>
          </cell>
          <cell r="E1789">
            <v>0</v>
          </cell>
          <cell r="F1789">
            <v>585.87</v>
          </cell>
        </row>
        <row r="1790">
          <cell r="A1790" t="str">
            <v>143737</v>
          </cell>
          <cell r="B1790" t="str">
            <v>Tubo e peça de AÇO JE DN 150</v>
          </cell>
          <cell r="C1790" t="str">
            <v>ud</v>
          </cell>
          <cell r="D1790">
            <v>18.68</v>
          </cell>
          <cell r="E1790">
            <v>0</v>
          </cell>
          <cell r="F1790">
            <v>18.68</v>
          </cell>
        </row>
        <row r="1791">
          <cell r="A1791" t="str">
            <v>143738</v>
          </cell>
          <cell r="B1791" t="str">
            <v>Tubo e peça de AÇO JE DN 200</v>
          </cell>
          <cell r="C1791" t="str">
            <v>ud</v>
          </cell>
          <cell r="D1791">
            <v>24.35</v>
          </cell>
          <cell r="E1791">
            <v>0</v>
          </cell>
          <cell r="F1791">
            <v>24.35</v>
          </cell>
        </row>
        <row r="1792">
          <cell r="A1792" t="str">
            <v>143739</v>
          </cell>
          <cell r="B1792" t="str">
            <v>Tubo e peça de AÇO JE DN 250</v>
          </cell>
          <cell r="C1792" t="str">
            <v>ud</v>
          </cell>
          <cell r="D1792">
            <v>28.32</v>
          </cell>
          <cell r="E1792">
            <v>0</v>
          </cell>
          <cell r="F1792">
            <v>28.32</v>
          </cell>
        </row>
        <row r="1793">
          <cell r="A1793" t="str">
            <v>143740</v>
          </cell>
          <cell r="B1793" t="str">
            <v>Tubo e peça de AÇO JE DN 300</v>
          </cell>
          <cell r="C1793" t="str">
            <v>ud</v>
          </cell>
          <cell r="D1793">
            <v>31.14</v>
          </cell>
          <cell r="E1793">
            <v>0</v>
          </cell>
          <cell r="F1793">
            <v>31.14</v>
          </cell>
        </row>
        <row r="1794">
          <cell r="A1794" t="str">
            <v>143741</v>
          </cell>
          <cell r="B1794" t="str">
            <v>Tubo e peça de AÇO JE DN 350</v>
          </cell>
          <cell r="C1794" t="str">
            <v>ud</v>
          </cell>
          <cell r="D1794">
            <v>33.97</v>
          </cell>
          <cell r="E1794">
            <v>0</v>
          </cell>
          <cell r="F1794">
            <v>33.97</v>
          </cell>
        </row>
        <row r="1795">
          <cell r="A1795" t="str">
            <v>143742</v>
          </cell>
          <cell r="B1795" t="str">
            <v>Tubo e peça de AÇO JE DN 400</v>
          </cell>
          <cell r="C1795" t="str">
            <v>ud</v>
          </cell>
          <cell r="D1795">
            <v>37.369999999999997</v>
          </cell>
          <cell r="E1795">
            <v>0</v>
          </cell>
          <cell r="F1795">
            <v>37.369999999999997</v>
          </cell>
        </row>
        <row r="1796">
          <cell r="A1796" t="str">
            <v>143743</v>
          </cell>
          <cell r="B1796" t="str">
            <v>Tubo e peça de AÇO JE DN 450</v>
          </cell>
          <cell r="C1796" t="str">
            <v>ud</v>
          </cell>
          <cell r="D1796">
            <v>40.200000000000003</v>
          </cell>
          <cell r="E1796">
            <v>0</v>
          </cell>
          <cell r="F1796">
            <v>40.200000000000003</v>
          </cell>
        </row>
        <row r="1797">
          <cell r="A1797" t="str">
            <v>143744</v>
          </cell>
          <cell r="B1797" t="str">
            <v>Tubo e peça de AÇO JE DN 500</v>
          </cell>
          <cell r="C1797" t="str">
            <v>ud</v>
          </cell>
          <cell r="D1797">
            <v>137.84</v>
          </cell>
          <cell r="E1797">
            <v>0</v>
          </cell>
          <cell r="F1797">
            <v>137.84</v>
          </cell>
        </row>
        <row r="1798">
          <cell r="A1798" t="str">
            <v>143745</v>
          </cell>
          <cell r="B1798" t="str">
            <v>Tubo e peça de AÇO JE DN 600</v>
          </cell>
          <cell r="C1798" t="str">
            <v>ud</v>
          </cell>
          <cell r="D1798">
            <v>158.06</v>
          </cell>
          <cell r="E1798">
            <v>0</v>
          </cell>
          <cell r="F1798">
            <v>158.06</v>
          </cell>
        </row>
        <row r="1799">
          <cell r="A1799" t="str">
            <v>143746</v>
          </cell>
          <cell r="B1799" t="str">
            <v>Tubo e peça de AÇO JE DN 700</v>
          </cell>
          <cell r="C1799" t="str">
            <v>ud</v>
          </cell>
          <cell r="D1799">
            <v>169.09</v>
          </cell>
          <cell r="E1799">
            <v>0</v>
          </cell>
          <cell r="F1799">
            <v>169.09</v>
          </cell>
        </row>
        <row r="1800">
          <cell r="A1800" t="str">
            <v>143747</v>
          </cell>
          <cell r="B1800" t="str">
            <v>Tubo e peça de AÇO JE DN 800</v>
          </cell>
          <cell r="C1800" t="str">
            <v>ud</v>
          </cell>
          <cell r="D1800">
            <v>185.99</v>
          </cell>
          <cell r="E1800">
            <v>0</v>
          </cell>
          <cell r="F1800">
            <v>185.99</v>
          </cell>
        </row>
        <row r="1801">
          <cell r="A1801" t="str">
            <v>143748</v>
          </cell>
          <cell r="B1801" t="str">
            <v>Tubo e peça de AÇO JE DN 900</v>
          </cell>
          <cell r="C1801" t="str">
            <v>ud</v>
          </cell>
          <cell r="D1801">
            <v>197.15</v>
          </cell>
          <cell r="E1801">
            <v>0</v>
          </cell>
          <cell r="F1801">
            <v>197.15</v>
          </cell>
        </row>
        <row r="1802">
          <cell r="A1802" t="str">
            <v>143749</v>
          </cell>
          <cell r="B1802" t="str">
            <v>Tubo e peça de AÇO JE DN 1000</v>
          </cell>
          <cell r="C1802" t="str">
            <v>ud</v>
          </cell>
          <cell r="D1802">
            <v>200.86</v>
          </cell>
          <cell r="E1802">
            <v>0</v>
          </cell>
          <cell r="F1802">
            <v>200.86</v>
          </cell>
        </row>
        <row r="1803">
          <cell r="A1803" t="str">
            <v>143750</v>
          </cell>
          <cell r="B1803" t="str">
            <v>Tubo e peça de AÇO JE DN 1100</v>
          </cell>
          <cell r="C1803" t="str">
            <v>ud</v>
          </cell>
          <cell r="D1803">
            <v>247.36</v>
          </cell>
          <cell r="E1803">
            <v>0</v>
          </cell>
          <cell r="F1803">
            <v>247.36</v>
          </cell>
        </row>
        <row r="1804">
          <cell r="A1804" t="str">
            <v>143751</v>
          </cell>
          <cell r="B1804" t="str">
            <v>Tubo e conexão FG JR até 1"</v>
          </cell>
          <cell r="C1804" t="str">
            <v>ud</v>
          </cell>
          <cell r="D1804">
            <v>0</v>
          </cell>
          <cell r="E1804">
            <v>0</v>
          </cell>
          <cell r="F1804">
            <v>0</v>
          </cell>
        </row>
        <row r="1805">
          <cell r="A1805" t="str">
            <v>143752</v>
          </cell>
          <cell r="B1805" t="str">
            <v>Tubo e conexão FG JR 1 1/4" a 2"</v>
          </cell>
          <cell r="C1805" t="str">
            <v>ud</v>
          </cell>
          <cell r="D1805">
            <v>0</v>
          </cell>
          <cell r="E1805">
            <v>0</v>
          </cell>
          <cell r="F1805">
            <v>0</v>
          </cell>
        </row>
        <row r="1806">
          <cell r="A1806" t="str">
            <v>143753</v>
          </cell>
          <cell r="B1806" t="str">
            <v>Tubo e conexão FG JR 2 1/2" a 3"</v>
          </cell>
          <cell r="C1806" t="str">
            <v>ud</v>
          </cell>
          <cell r="D1806">
            <v>0</v>
          </cell>
          <cell r="E1806">
            <v>0</v>
          </cell>
          <cell r="F1806">
            <v>0</v>
          </cell>
        </row>
        <row r="1807">
          <cell r="A1807" t="str">
            <v>143754</v>
          </cell>
          <cell r="B1807" t="str">
            <v>Tubo e conexão FG JR 4"</v>
          </cell>
          <cell r="C1807" t="str">
            <v>ud</v>
          </cell>
          <cell r="D1807">
            <v>0</v>
          </cell>
          <cell r="E1807">
            <v>0</v>
          </cell>
          <cell r="F1807">
            <v>0</v>
          </cell>
        </row>
        <row r="1808">
          <cell r="A1808" t="str">
            <v>1438</v>
          </cell>
          <cell r="B1808" t="str">
            <v>DESLOCAMENTO PARA INTERLIGAÇÃO</v>
          </cell>
        </row>
        <row r="1809">
          <cell r="A1809" t="str">
            <v>143801</v>
          </cell>
          <cell r="B1809" t="str">
            <v>distância média &lt;= 1,00 km</v>
          </cell>
          <cell r="C1809" t="str">
            <v>ud</v>
          </cell>
          <cell r="D1809">
            <v>2.41</v>
          </cell>
          <cell r="E1809">
            <v>0</v>
          </cell>
          <cell r="F1809">
            <v>2.41</v>
          </cell>
        </row>
        <row r="1810">
          <cell r="A1810" t="str">
            <v>143802</v>
          </cell>
          <cell r="B1810" t="str">
            <v>1,01 Km &lt; distância média &lt;= 3,00 km</v>
          </cell>
          <cell r="C1810" t="str">
            <v>ud</v>
          </cell>
          <cell r="D1810">
            <v>4.8099999999999996</v>
          </cell>
          <cell r="E1810">
            <v>0</v>
          </cell>
          <cell r="F1810">
            <v>4.8099999999999996</v>
          </cell>
        </row>
        <row r="1811">
          <cell r="A1811" t="str">
            <v>143803</v>
          </cell>
          <cell r="B1811" t="str">
            <v>3,01 Km &lt; distância média &lt;= 5,00 km</v>
          </cell>
          <cell r="C1811" t="str">
            <v>ud</v>
          </cell>
          <cell r="D1811">
            <v>9.6300000000000008</v>
          </cell>
          <cell r="E1811">
            <v>0</v>
          </cell>
          <cell r="F1811">
            <v>9.6300000000000008</v>
          </cell>
        </row>
        <row r="1812">
          <cell r="A1812" t="str">
            <v>143804</v>
          </cell>
          <cell r="B1812" t="str">
            <v>5,01 Km &lt; distância média &lt;= 7,00 km</v>
          </cell>
          <cell r="C1812" t="str">
            <v>ud</v>
          </cell>
          <cell r="D1812">
            <v>14.45</v>
          </cell>
          <cell r="E1812">
            <v>0</v>
          </cell>
          <cell r="F1812">
            <v>14.45</v>
          </cell>
        </row>
        <row r="1813">
          <cell r="A1813" t="str">
            <v>143805</v>
          </cell>
          <cell r="B1813" t="str">
            <v>7,01 Km &lt; distância média &lt;= 9,00 km</v>
          </cell>
          <cell r="C1813" t="str">
            <v>ud</v>
          </cell>
          <cell r="D1813">
            <v>16.52</v>
          </cell>
          <cell r="E1813">
            <v>0</v>
          </cell>
          <cell r="F1813">
            <v>16.52</v>
          </cell>
        </row>
        <row r="1814">
          <cell r="A1814" t="str">
            <v>143806</v>
          </cell>
          <cell r="B1814" t="str">
            <v>9,01 Km &lt; distância média &lt;= 11,00 km</v>
          </cell>
          <cell r="C1814" t="str">
            <v>ud</v>
          </cell>
          <cell r="D1814">
            <v>20.65</v>
          </cell>
          <cell r="E1814">
            <v>0</v>
          </cell>
          <cell r="F1814">
            <v>20.65</v>
          </cell>
        </row>
        <row r="1815">
          <cell r="A1815" t="str">
            <v>143807</v>
          </cell>
          <cell r="B1815" t="str">
            <v>11,01 Km &lt; distância média &lt;= 13,00 km</v>
          </cell>
          <cell r="C1815" t="str">
            <v>ud</v>
          </cell>
          <cell r="D1815">
            <v>24.77</v>
          </cell>
          <cell r="E1815">
            <v>0</v>
          </cell>
          <cell r="F1815">
            <v>24.77</v>
          </cell>
        </row>
        <row r="1816">
          <cell r="A1816" t="str">
            <v>143808</v>
          </cell>
          <cell r="B1816" t="str">
            <v>13,01 Km &lt; distância média &lt;= 15,00 km</v>
          </cell>
          <cell r="C1816" t="str">
            <v>ud</v>
          </cell>
          <cell r="D1816">
            <v>28.91</v>
          </cell>
          <cell r="E1816">
            <v>0</v>
          </cell>
          <cell r="F1816">
            <v>28.91</v>
          </cell>
        </row>
        <row r="1817">
          <cell r="A1817" t="str">
            <v>143809</v>
          </cell>
          <cell r="B1817" t="str">
            <v>15,01 Km &lt; distância média &lt;= 20,00 km</v>
          </cell>
          <cell r="C1817" t="str">
            <v>ud</v>
          </cell>
          <cell r="D1817">
            <v>31.62</v>
          </cell>
          <cell r="E1817">
            <v>0</v>
          </cell>
          <cell r="F1817">
            <v>31.62</v>
          </cell>
        </row>
        <row r="1818">
          <cell r="A1818" t="str">
            <v>143810</v>
          </cell>
          <cell r="B1818" t="str">
            <v>20,01 Km &lt; distância média &lt;= 25,00 km</v>
          </cell>
          <cell r="C1818" t="str">
            <v>ud</v>
          </cell>
          <cell r="D1818">
            <v>40.659999999999997</v>
          </cell>
          <cell r="E1818">
            <v>0</v>
          </cell>
          <cell r="F1818">
            <v>40.659999999999997</v>
          </cell>
        </row>
        <row r="1819">
          <cell r="A1819" t="str">
            <v>143811</v>
          </cell>
          <cell r="B1819" t="str">
            <v>25,01 Km &lt; distância média &lt;= 30,00 km</v>
          </cell>
          <cell r="C1819" t="str">
            <v>ud</v>
          </cell>
          <cell r="D1819">
            <v>49.69</v>
          </cell>
          <cell r="E1819">
            <v>0</v>
          </cell>
          <cell r="F1819">
            <v>49.69</v>
          </cell>
        </row>
        <row r="1820">
          <cell r="A1820" t="str">
            <v>15</v>
          </cell>
          <cell r="B1820" t="str">
            <v>URBANIZAÇÃO</v>
          </cell>
        </row>
        <row r="1821">
          <cell r="A1821" t="str">
            <v>1501</v>
          </cell>
          <cell r="B1821" t="str">
            <v>VEDAÇÃO E PROTEÇÃO DE AREAS</v>
          </cell>
        </row>
        <row r="1822">
          <cell r="A1822" t="str">
            <v>150101</v>
          </cell>
          <cell r="B1822" t="str">
            <v>Cerca de arame farpado com 14 fios</v>
          </cell>
          <cell r="C1822" t="str">
            <v>m</v>
          </cell>
          <cell r="D1822">
            <v>49.66</v>
          </cell>
          <cell r="E1822">
            <v>29.89</v>
          </cell>
          <cell r="F1822">
            <v>79.55</v>
          </cell>
          <cell r="G1822" t="str">
            <v>74142/004</v>
          </cell>
        </row>
        <row r="1823">
          <cell r="A1823" t="str">
            <v>150102</v>
          </cell>
          <cell r="B1823" t="str">
            <v>Cerca de arame liso com 14 fios</v>
          </cell>
          <cell r="C1823" t="str">
            <v>m</v>
          </cell>
          <cell r="D1823">
            <v>49.66</v>
          </cell>
          <cell r="E1823">
            <v>25.01</v>
          </cell>
          <cell r="F1823">
            <v>74.67</v>
          </cell>
          <cell r="G1823" t="str">
            <v>74143/001</v>
          </cell>
        </row>
        <row r="1824">
          <cell r="A1824" t="str">
            <v>150103</v>
          </cell>
          <cell r="B1824" t="str">
            <v>Cerca de arame farpado com 5 fios</v>
          </cell>
          <cell r="C1824" t="str">
            <v>m</v>
          </cell>
          <cell r="D1824">
            <v>33.549999999999997</v>
          </cell>
          <cell r="E1824">
            <v>22.69</v>
          </cell>
          <cell r="F1824">
            <v>56.24</v>
          </cell>
          <cell r="G1824" t="str">
            <v>74142/001</v>
          </cell>
        </row>
        <row r="1825">
          <cell r="A1825" t="str">
            <v>150104</v>
          </cell>
          <cell r="B1825" t="str">
            <v>Cerca tipo alambrado</v>
          </cell>
          <cell r="C1825" t="str">
            <v>m</v>
          </cell>
          <cell r="D1825">
            <v>59.34</v>
          </cell>
          <cell r="E1825">
            <v>66.400000000000006</v>
          </cell>
          <cell r="F1825">
            <v>125.74</v>
          </cell>
          <cell r="G1825">
            <v>85172</v>
          </cell>
        </row>
        <row r="1826">
          <cell r="A1826" t="str">
            <v>150105</v>
          </cell>
          <cell r="B1826" t="str">
            <v>Muro tipo "Palito" em concreto</v>
          </cell>
          <cell r="C1826" t="str">
            <v>m</v>
          </cell>
          <cell r="D1826">
            <v>0</v>
          </cell>
          <cell r="E1826">
            <v>190</v>
          </cell>
          <cell r="F1826">
            <v>190</v>
          </cell>
        </row>
        <row r="1827">
          <cell r="A1827" t="str">
            <v>150106</v>
          </cell>
          <cell r="B1827" t="str">
            <v>Portão para veículos</v>
          </cell>
          <cell r="C1827" t="str">
            <v>ud</v>
          </cell>
          <cell r="D1827">
            <v>3216.82</v>
          </cell>
          <cell r="E1827">
            <v>1827.39</v>
          </cell>
          <cell r="F1827">
            <v>5044.21</v>
          </cell>
        </row>
        <row r="1828">
          <cell r="A1828" t="str">
            <v>150107</v>
          </cell>
          <cell r="B1828" t="str">
            <v>Portão para pedestres</v>
          </cell>
          <cell r="C1828" t="str">
            <v>ud</v>
          </cell>
          <cell r="D1828">
            <v>1597.12</v>
          </cell>
          <cell r="E1828">
            <v>695.12</v>
          </cell>
          <cell r="F1828">
            <v>2292.2399999999998</v>
          </cell>
        </row>
        <row r="1829">
          <cell r="A1829" t="str">
            <v>150108</v>
          </cell>
          <cell r="B1829" t="str">
            <v>Concertina com diâmetro de 30 cm</v>
          </cell>
          <cell r="C1829" t="str">
            <v>m</v>
          </cell>
          <cell r="D1829">
            <v>0</v>
          </cell>
          <cell r="F1829">
            <v>0</v>
          </cell>
        </row>
        <row r="1830">
          <cell r="A1830" t="str">
            <v>150109</v>
          </cell>
          <cell r="B1830" t="str">
            <v>Concertina com diâmetro de 45 cm</v>
          </cell>
          <cell r="C1830" t="str">
            <v>m</v>
          </cell>
          <cell r="D1830">
            <v>0</v>
          </cell>
          <cell r="F1830">
            <v>0</v>
          </cell>
        </row>
        <row r="1831">
          <cell r="A1831" t="str">
            <v>1502</v>
          </cell>
          <cell r="B1831" t="str">
            <v>PAISAGISMO</v>
          </cell>
        </row>
        <row r="1832">
          <cell r="A1832" t="str">
            <v>150201</v>
          </cell>
          <cell r="B1832" t="str">
            <v>Plantio de grama em leiva</v>
          </cell>
          <cell r="C1832" t="str">
            <v>m2</v>
          </cell>
          <cell r="D1832">
            <v>4.1100000000000003</v>
          </cell>
          <cell r="E1832">
            <v>9.14</v>
          </cell>
          <cell r="F1832">
            <v>13.25</v>
          </cell>
          <cell r="G1832" t="str">
            <v>74236/001</v>
          </cell>
        </row>
        <row r="1833">
          <cell r="A1833" t="str">
            <v>150202</v>
          </cell>
          <cell r="B1833" t="str">
            <v>Hidrossemeadura</v>
          </cell>
          <cell r="C1833" t="str">
            <v>m2</v>
          </cell>
          <cell r="D1833">
            <v>0</v>
          </cell>
          <cell r="F1833">
            <v>0</v>
          </cell>
        </row>
        <row r="1834">
          <cell r="A1834" t="str">
            <v>150203</v>
          </cell>
          <cell r="B1834" t="str">
            <v>Plantio de árvore - altura até 1,00 m</v>
          </cell>
          <cell r="C1834" t="str">
            <v>ud</v>
          </cell>
          <cell r="D1834">
            <v>8.23</v>
          </cell>
          <cell r="E1834">
            <v>0.17</v>
          </cell>
          <cell r="F1834">
            <v>8.4</v>
          </cell>
        </row>
        <row r="1835">
          <cell r="A1835" t="str">
            <v>150204</v>
          </cell>
          <cell r="B1835" t="str">
            <v>Plantio de árvore - altura acima de 1,00 m</v>
          </cell>
          <cell r="C1835" t="str">
            <v>ud</v>
          </cell>
          <cell r="D1835">
            <v>0</v>
          </cell>
          <cell r="E1835">
            <v>0</v>
          </cell>
          <cell r="F1835">
            <v>0</v>
          </cell>
        </row>
        <row r="1836">
          <cell r="A1836" t="str">
            <v>1503</v>
          </cell>
          <cell r="B1836" t="str">
            <v>DRENAGEM</v>
          </cell>
        </row>
        <row r="1837">
          <cell r="A1837" t="str">
            <v>150301</v>
          </cell>
          <cell r="B1837" t="str">
            <v>Calha de concreto pré-moldada simples DN 200</v>
          </cell>
          <cell r="C1837" t="str">
            <v>m</v>
          </cell>
          <cell r="D1837">
            <v>13.7</v>
          </cell>
          <cell r="E1837">
            <v>8.0399999999999991</v>
          </cell>
          <cell r="F1837">
            <v>21.74</v>
          </cell>
          <cell r="G1837" t="str">
            <v>73882/001</v>
          </cell>
        </row>
        <row r="1838">
          <cell r="A1838" t="str">
            <v>150302</v>
          </cell>
          <cell r="B1838" t="str">
            <v>Calha de concreto pré-moldada simples DN 300</v>
          </cell>
          <cell r="C1838" t="str">
            <v>m</v>
          </cell>
          <cell r="D1838">
            <v>19.02</v>
          </cell>
          <cell r="E1838">
            <v>12.04</v>
          </cell>
          <cell r="F1838">
            <v>31.06</v>
          </cell>
          <cell r="G1838" t="str">
            <v>73882/002</v>
          </cell>
        </row>
        <row r="1839">
          <cell r="A1839" t="str">
            <v>150303</v>
          </cell>
          <cell r="B1839" t="str">
            <v>Calha de concreto pré-moldada simples DN 400</v>
          </cell>
          <cell r="C1839" t="str">
            <v>m</v>
          </cell>
          <cell r="D1839">
            <v>20.66</v>
          </cell>
          <cell r="E1839">
            <v>16.670000000000002</v>
          </cell>
          <cell r="F1839">
            <v>37.33</v>
          </cell>
          <cell r="G1839" t="str">
            <v>73882/003</v>
          </cell>
        </row>
        <row r="1840">
          <cell r="A1840" t="str">
            <v>150304</v>
          </cell>
          <cell r="B1840" t="str">
            <v>Calha de concreto pré-moldada simples DN 500</v>
          </cell>
          <cell r="C1840" t="str">
            <v>m</v>
          </cell>
          <cell r="D1840">
            <v>26.52</v>
          </cell>
          <cell r="E1840">
            <v>23.52</v>
          </cell>
          <cell r="F1840">
            <v>50.04</v>
          </cell>
          <cell r="G1840" t="str">
            <v>73882/004</v>
          </cell>
        </row>
        <row r="1841">
          <cell r="A1841" t="str">
            <v>150305</v>
          </cell>
          <cell r="B1841" t="str">
            <v>Galeria em tubo de concreto simples DN   300</v>
          </cell>
          <cell r="C1841" t="str">
            <v>m</v>
          </cell>
          <cell r="D1841">
            <v>23.66</v>
          </cell>
          <cell r="E1841">
            <v>15.1</v>
          </cell>
          <cell r="F1841">
            <v>38.76</v>
          </cell>
        </row>
        <row r="1842">
          <cell r="A1842" t="str">
            <v>150306</v>
          </cell>
          <cell r="B1842" t="str">
            <v>Galeria em tubo de concreto simples DN   400</v>
          </cell>
          <cell r="C1842" t="str">
            <v>m</v>
          </cell>
          <cell r="D1842">
            <v>30.18</v>
          </cell>
          <cell r="E1842">
            <v>22</v>
          </cell>
          <cell r="F1842">
            <v>52.18</v>
          </cell>
        </row>
        <row r="1843">
          <cell r="A1843" t="str">
            <v>150307</v>
          </cell>
          <cell r="B1843" t="str">
            <v>Galeria em tubo de concreto simples DN   500</v>
          </cell>
          <cell r="C1843" t="str">
            <v>m</v>
          </cell>
          <cell r="D1843">
            <v>32.880000000000003</v>
          </cell>
          <cell r="E1843">
            <v>34.369999999999997</v>
          </cell>
          <cell r="F1843">
            <v>67.25</v>
          </cell>
        </row>
        <row r="1844">
          <cell r="A1844" t="str">
            <v>150308</v>
          </cell>
          <cell r="B1844" t="str">
            <v>Galeria em tubo de concreto simples DN   600</v>
          </cell>
          <cell r="C1844" t="str">
            <v>m</v>
          </cell>
          <cell r="D1844">
            <v>42.63</v>
          </cell>
          <cell r="E1844">
            <v>42</v>
          </cell>
          <cell r="F1844">
            <v>84.63</v>
          </cell>
        </row>
        <row r="1845">
          <cell r="A1845" t="str">
            <v>150309</v>
          </cell>
          <cell r="B1845" t="str">
            <v>Galeria em tubo de concreto armado DN   400</v>
          </cell>
          <cell r="C1845" t="str">
            <v>m</v>
          </cell>
          <cell r="D1845">
            <v>0</v>
          </cell>
          <cell r="F1845">
            <v>0</v>
          </cell>
        </row>
        <row r="1846">
          <cell r="A1846" t="str">
            <v>150310</v>
          </cell>
          <cell r="B1846" t="str">
            <v>Galeria em tubo de concreto armado DN   500</v>
          </cell>
          <cell r="C1846" t="str">
            <v>m</v>
          </cell>
          <cell r="D1846">
            <v>0</v>
          </cell>
          <cell r="F1846">
            <v>0</v>
          </cell>
        </row>
        <row r="1847">
          <cell r="A1847" t="str">
            <v>150311</v>
          </cell>
          <cell r="B1847" t="str">
            <v>Galeria em tubo de concreto armado DN   600</v>
          </cell>
          <cell r="C1847" t="str">
            <v>m</v>
          </cell>
          <cell r="D1847">
            <v>42.63</v>
          </cell>
          <cell r="E1847">
            <v>69</v>
          </cell>
          <cell r="F1847">
            <v>111.63</v>
          </cell>
        </row>
        <row r="1848">
          <cell r="A1848" t="str">
            <v>150312</v>
          </cell>
          <cell r="B1848" t="str">
            <v>Galeria em tubo de concreto armado DN   800</v>
          </cell>
          <cell r="C1848" t="str">
            <v>m</v>
          </cell>
          <cell r="D1848">
            <v>67.17</v>
          </cell>
          <cell r="E1848">
            <v>110</v>
          </cell>
          <cell r="F1848">
            <v>177.17</v>
          </cell>
          <cell r="G1848">
            <v>73490</v>
          </cell>
        </row>
        <row r="1849">
          <cell r="A1849" t="str">
            <v>150313</v>
          </cell>
          <cell r="B1849" t="str">
            <v>Galeria em tubo de concreto armado DN 1000</v>
          </cell>
          <cell r="C1849" t="str">
            <v>m</v>
          </cell>
          <cell r="D1849">
            <v>99.85</v>
          </cell>
          <cell r="E1849">
            <v>162</v>
          </cell>
          <cell r="F1849">
            <v>261.85000000000002</v>
          </cell>
        </row>
        <row r="1850">
          <cell r="A1850" t="str">
            <v>150314</v>
          </cell>
          <cell r="B1850" t="str">
            <v>Galeria em tubo de concreto armado DN 1200</v>
          </cell>
          <cell r="C1850" t="str">
            <v>m</v>
          </cell>
          <cell r="D1850">
            <v>144.9</v>
          </cell>
          <cell r="E1850">
            <v>240</v>
          </cell>
          <cell r="F1850">
            <v>384.9</v>
          </cell>
        </row>
        <row r="1851">
          <cell r="A1851" t="str">
            <v>150315</v>
          </cell>
          <cell r="B1851" t="str">
            <v>Caixa de captação em alvenaria - prof. até 1,00 m</v>
          </cell>
          <cell r="C1851" t="str">
            <v>ud</v>
          </cell>
          <cell r="D1851">
            <v>0</v>
          </cell>
          <cell r="F1851">
            <v>0</v>
          </cell>
        </row>
        <row r="1852">
          <cell r="A1852" t="str">
            <v>150316</v>
          </cell>
          <cell r="B1852" t="str">
            <v>Acréscimo p/ profundidade superior a 1,00 m</v>
          </cell>
          <cell r="C1852" t="str">
            <v>m</v>
          </cell>
          <cell r="D1852">
            <v>0</v>
          </cell>
          <cell r="F1852">
            <v>0</v>
          </cell>
        </row>
        <row r="1853">
          <cell r="A1853" t="str">
            <v>150317</v>
          </cell>
          <cell r="B1853" t="str">
            <v>Caixa de captação pré moldada - prof. até 1,00 m</v>
          </cell>
          <cell r="C1853" t="str">
            <v>ud</v>
          </cell>
          <cell r="D1853">
            <v>0</v>
          </cell>
          <cell r="F1853">
            <v>0</v>
          </cell>
        </row>
        <row r="1854">
          <cell r="A1854" t="str">
            <v>150318</v>
          </cell>
          <cell r="B1854" t="str">
            <v>Acréscimo p/ profundidade superior a 1,00 m</v>
          </cell>
          <cell r="C1854" t="str">
            <v>m</v>
          </cell>
          <cell r="D1854">
            <v>0</v>
          </cell>
          <cell r="F1854">
            <v>0</v>
          </cell>
        </row>
        <row r="1855">
          <cell r="A1855" t="str">
            <v>150319</v>
          </cell>
          <cell r="B1855" t="str">
            <v>Poço de visita para galeria - prof. até 1,00 m</v>
          </cell>
          <cell r="C1855" t="str">
            <v>ud</v>
          </cell>
          <cell r="D1855">
            <v>0</v>
          </cell>
          <cell r="F1855">
            <v>0</v>
          </cell>
        </row>
        <row r="1856">
          <cell r="A1856" t="str">
            <v>150320</v>
          </cell>
          <cell r="B1856" t="str">
            <v>Acréscimo p/ profundidade superior a 1,00 m</v>
          </cell>
          <cell r="C1856" t="str">
            <v>m</v>
          </cell>
          <cell r="D1856">
            <v>0</v>
          </cell>
          <cell r="F1856">
            <v>0</v>
          </cell>
        </row>
        <row r="1857">
          <cell r="A1857" t="str">
            <v>150321</v>
          </cell>
          <cell r="B1857" t="str">
            <v>Dreno em tubo de concreto perfurado DN 150</v>
          </cell>
          <cell r="C1857" t="str">
            <v>m</v>
          </cell>
          <cell r="D1857">
            <v>0</v>
          </cell>
          <cell r="F1857">
            <v>0</v>
          </cell>
        </row>
        <row r="1858">
          <cell r="A1858" t="str">
            <v>150322</v>
          </cell>
          <cell r="B1858" t="str">
            <v>Dreno em tubo de concreto perfurado DN 200</v>
          </cell>
          <cell r="C1858" t="str">
            <v>m</v>
          </cell>
          <cell r="D1858">
            <v>22.16</v>
          </cell>
          <cell r="E1858">
            <v>26.07</v>
          </cell>
          <cell r="F1858">
            <v>48.23</v>
          </cell>
        </row>
        <row r="1859">
          <cell r="A1859" t="str">
            <v>150323</v>
          </cell>
          <cell r="B1859" t="str">
            <v>Dreno em tubo cerâmico perfurado DN 100</v>
          </cell>
          <cell r="C1859" t="str">
            <v>m</v>
          </cell>
          <cell r="D1859">
            <v>0</v>
          </cell>
          <cell r="F1859">
            <v>0</v>
          </cell>
        </row>
        <row r="1860">
          <cell r="A1860" t="str">
            <v>150324</v>
          </cell>
          <cell r="B1860" t="str">
            <v>Dreno em tubo cerâmico perfurado DN 150</v>
          </cell>
          <cell r="C1860" t="str">
            <v>m</v>
          </cell>
          <cell r="D1860">
            <v>0</v>
          </cell>
          <cell r="F1860">
            <v>0</v>
          </cell>
        </row>
        <row r="1861">
          <cell r="A1861" t="str">
            <v>150325</v>
          </cell>
          <cell r="B1861" t="str">
            <v>Dreno em tubo cerâmico perfurado DN 200</v>
          </cell>
          <cell r="C1861" t="str">
            <v>m</v>
          </cell>
          <cell r="D1861">
            <v>0</v>
          </cell>
          <cell r="F1861">
            <v>0</v>
          </cell>
        </row>
        <row r="1862">
          <cell r="A1862" t="str">
            <v>150326</v>
          </cell>
          <cell r="B1862" t="str">
            <v>Dreno em tubo PVC corrugado-perfurado DN 75</v>
          </cell>
          <cell r="C1862" t="str">
            <v>m</v>
          </cell>
          <cell r="D1862">
            <v>0</v>
          </cell>
          <cell r="F1862">
            <v>0</v>
          </cell>
        </row>
        <row r="1863">
          <cell r="A1863" t="str">
            <v>150327</v>
          </cell>
          <cell r="B1863" t="str">
            <v>Dreno em tubo PVC corrugado-perfurado DN 100</v>
          </cell>
          <cell r="C1863" t="str">
            <v>m</v>
          </cell>
          <cell r="D1863">
            <v>7.76</v>
          </cell>
          <cell r="E1863">
            <v>36.11</v>
          </cell>
          <cell r="F1863">
            <v>43.87</v>
          </cell>
        </row>
        <row r="1864">
          <cell r="A1864" t="str">
            <v>150328</v>
          </cell>
          <cell r="B1864" t="str">
            <v>Dreno em tubo PVC corrugado-perfurado DE 65</v>
          </cell>
          <cell r="C1864" t="str">
            <v>m</v>
          </cell>
          <cell r="D1864">
            <v>6.22</v>
          </cell>
          <cell r="E1864">
            <v>12.34</v>
          </cell>
          <cell r="F1864">
            <v>18.559999999999999</v>
          </cell>
        </row>
        <row r="1865">
          <cell r="A1865" t="str">
            <v>150329</v>
          </cell>
          <cell r="B1865" t="str">
            <v>Dreno em tubo PVC corrugado-perfurado DE 110</v>
          </cell>
          <cell r="C1865" t="str">
            <v>m</v>
          </cell>
          <cell r="D1865">
            <v>7.76</v>
          </cell>
          <cell r="E1865">
            <v>15.03</v>
          </cell>
          <cell r="F1865">
            <v>22.79</v>
          </cell>
        </row>
        <row r="1866">
          <cell r="A1866" t="str">
            <v>150330</v>
          </cell>
          <cell r="B1866" t="str">
            <v>Dreno francês - brita</v>
          </cell>
          <cell r="C1866" t="str">
            <v>m3</v>
          </cell>
          <cell r="D1866">
            <v>32.9</v>
          </cell>
          <cell r="E1866">
            <v>43.41</v>
          </cell>
          <cell r="F1866">
            <v>76.31</v>
          </cell>
          <cell r="G1866" t="str">
            <v>73883/002</v>
          </cell>
        </row>
        <row r="1867">
          <cell r="A1867" t="str">
            <v>150331</v>
          </cell>
          <cell r="B1867" t="str">
            <v>Dreno francês - areia</v>
          </cell>
          <cell r="C1867" t="str">
            <v>m3</v>
          </cell>
          <cell r="D1867">
            <v>29.71</v>
          </cell>
          <cell r="E1867">
            <v>57.67</v>
          </cell>
          <cell r="F1867">
            <v>87.38</v>
          </cell>
          <cell r="G1867" t="str">
            <v>73883/001</v>
          </cell>
        </row>
        <row r="1868">
          <cell r="A1868" t="str">
            <v>150332</v>
          </cell>
          <cell r="B1868" t="str">
            <v>Manta geotêxtil - Resistência a Tração =   7 KN/m</v>
          </cell>
          <cell r="C1868" t="str">
            <v>m2</v>
          </cell>
          <cell r="D1868">
            <v>0.54</v>
          </cell>
          <cell r="E1868">
            <v>3.59</v>
          </cell>
          <cell r="F1868">
            <v>4.13</v>
          </cell>
          <cell r="G1868" t="str">
            <v>73881/001</v>
          </cell>
        </row>
        <row r="1869">
          <cell r="A1869" t="str">
            <v>150333</v>
          </cell>
          <cell r="B1869" t="str">
            <v>Manta geotêxtil - Resistência a Tração =   9 KN/m</v>
          </cell>
          <cell r="C1869" t="str">
            <v>m2</v>
          </cell>
          <cell r="D1869">
            <v>0.33</v>
          </cell>
          <cell r="E1869">
            <v>3.41</v>
          </cell>
          <cell r="F1869">
            <v>3.74</v>
          </cell>
          <cell r="G1869" t="str">
            <v>73881/002</v>
          </cell>
        </row>
        <row r="1870">
          <cell r="A1870" t="str">
            <v>150334</v>
          </cell>
          <cell r="B1870" t="str">
            <v>Manta geotêxtil - Resistência a Tração = 14 KN/m</v>
          </cell>
          <cell r="C1870" t="str">
            <v>m2</v>
          </cell>
          <cell r="D1870">
            <v>0.48</v>
          </cell>
          <cell r="E1870">
            <v>7.48</v>
          </cell>
          <cell r="F1870">
            <v>7.96</v>
          </cell>
          <cell r="G1870" t="str">
            <v>73881/003</v>
          </cell>
        </row>
        <row r="1871">
          <cell r="A1871" t="str">
            <v>16</v>
          </cell>
          <cell r="B1871" t="str">
            <v>SERVIÇOS DIVERSOS</v>
          </cell>
        </row>
        <row r="1872">
          <cell r="A1872" t="str">
            <v>1601</v>
          </cell>
          <cell r="B1872" t="str">
            <v>ANDAIME</v>
          </cell>
        </row>
        <row r="1873">
          <cell r="A1873" t="str">
            <v>160101</v>
          </cell>
          <cell r="B1873" t="str">
            <v>Andaime de madeira</v>
          </cell>
          <cell r="C1873" t="str">
            <v>m2</v>
          </cell>
          <cell r="D1873">
            <v>4.8499999999999996</v>
          </cell>
          <cell r="E1873">
            <v>10.86</v>
          </cell>
          <cell r="F1873">
            <v>15.71</v>
          </cell>
          <cell r="G1873">
            <v>73674</v>
          </cell>
        </row>
        <row r="1874">
          <cell r="A1874" t="str">
            <v>160102</v>
          </cell>
          <cell r="B1874" t="str">
            <v>Andaime tubular metálico base 1,00 x 1,00 m</v>
          </cell>
          <cell r="C1874" t="str">
            <v>mxmês</v>
          </cell>
          <cell r="D1874">
            <v>0</v>
          </cell>
          <cell r="F1874">
            <v>0</v>
          </cell>
        </row>
        <row r="1875">
          <cell r="A1875" t="str">
            <v>160103</v>
          </cell>
          <cell r="B1875" t="str">
            <v>Andaime tubular metálico base 1,00 x 1,50 m</v>
          </cell>
          <cell r="C1875" t="str">
            <v>mxmês</v>
          </cell>
          <cell r="D1875">
            <v>0</v>
          </cell>
          <cell r="F1875">
            <v>0</v>
          </cell>
        </row>
        <row r="1876">
          <cell r="A1876" t="str">
            <v>160104</v>
          </cell>
          <cell r="B1876" t="str">
            <v>Andaime tubular metálico base 1,50 x 1,50 m</v>
          </cell>
          <cell r="C1876" t="str">
            <v>mxmês</v>
          </cell>
          <cell r="D1876">
            <v>0</v>
          </cell>
          <cell r="F1876">
            <v>0</v>
          </cell>
        </row>
        <row r="1877">
          <cell r="A1877" t="str">
            <v>160105</v>
          </cell>
          <cell r="B1877" t="str">
            <v>Andaime tubular metálico base 1,50 x 2,00 m</v>
          </cell>
          <cell r="C1877" t="str">
            <v>mxmês</v>
          </cell>
          <cell r="D1877">
            <v>0</v>
          </cell>
          <cell r="F1877">
            <v>0</v>
          </cell>
        </row>
        <row r="1878">
          <cell r="A1878" t="str">
            <v>160106</v>
          </cell>
          <cell r="B1878" t="str">
            <v>Balancim para duas pessoas</v>
          </cell>
          <cell r="C1878" t="str">
            <v>udxmês</v>
          </cell>
          <cell r="D1878">
            <v>0</v>
          </cell>
          <cell r="F1878">
            <v>0</v>
          </cell>
        </row>
        <row r="1879">
          <cell r="A1879" t="str">
            <v>160107</v>
          </cell>
          <cell r="B1879" t="str">
            <v>Cadeira suspensa</v>
          </cell>
          <cell r="C1879" t="str">
            <v>udxmês</v>
          </cell>
          <cell r="D1879">
            <v>0</v>
          </cell>
          <cell r="F1879">
            <v>0</v>
          </cell>
        </row>
        <row r="1880">
          <cell r="A1880" t="str">
            <v>1602</v>
          </cell>
          <cell r="B1880" t="str">
            <v>POÇO EM ANÉIS DE CONCRETO ARMADO</v>
          </cell>
        </row>
        <row r="1881">
          <cell r="A1881" t="str">
            <v>160201</v>
          </cell>
          <cell r="B1881" t="str">
            <v>DN 1000 para profundidade até 1,00 m</v>
          </cell>
          <cell r="C1881" t="str">
            <v>ud</v>
          </cell>
          <cell r="D1881">
            <v>291.95</v>
          </cell>
          <cell r="E1881">
            <v>280.12</v>
          </cell>
          <cell r="F1881">
            <v>572.07000000000005</v>
          </cell>
        </row>
        <row r="1882">
          <cell r="A1882" t="str">
            <v>160202</v>
          </cell>
          <cell r="B1882" t="str">
            <v>Acréscimo p/ profundidade superior a 1,00 m</v>
          </cell>
          <cell r="C1882" t="str">
            <v>m</v>
          </cell>
          <cell r="D1882">
            <v>104.72</v>
          </cell>
          <cell r="E1882">
            <v>166.24</v>
          </cell>
          <cell r="F1882">
            <v>270.95999999999998</v>
          </cell>
        </row>
        <row r="1883">
          <cell r="A1883" t="str">
            <v>160203</v>
          </cell>
          <cell r="B1883" t="str">
            <v>DN 1200 para profundidade até 1,00 m</v>
          </cell>
          <cell r="C1883" t="str">
            <v>ud</v>
          </cell>
          <cell r="D1883">
            <v>405.28</v>
          </cell>
          <cell r="E1883">
            <v>390.19</v>
          </cell>
          <cell r="F1883">
            <v>795.47</v>
          </cell>
        </row>
        <row r="1884">
          <cell r="A1884" t="str">
            <v>160204</v>
          </cell>
          <cell r="B1884" t="str">
            <v>Acréscimo p/ profundidade superior a 1,00 m</v>
          </cell>
          <cell r="C1884" t="str">
            <v>m</v>
          </cell>
          <cell r="D1884">
            <v>151.56</v>
          </cell>
          <cell r="E1884">
            <v>291.02999999999997</v>
          </cell>
          <cell r="F1884">
            <v>442.59</v>
          </cell>
        </row>
        <row r="1885">
          <cell r="A1885" t="str">
            <v>160205</v>
          </cell>
          <cell r="B1885" t="str">
            <v>DN 1500 para profundidade até 1,00 m</v>
          </cell>
          <cell r="C1885" t="str">
            <v>ud</v>
          </cell>
          <cell r="D1885">
            <v>568.62</v>
          </cell>
          <cell r="E1885">
            <v>587.62</v>
          </cell>
          <cell r="F1885">
            <v>1156.24</v>
          </cell>
        </row>
        <row r="1886">
          <cell r="A1886" t="str">
            <v>160206</v>
          </cell>
          <cell r="B1886" t="str">
            <v>Acréscimo p/ profundidade superior a 1,00 m</v>
          </cell>
          <cell r="C1886" t="str">
            <v>m</v>
          </cell>
          <cell r="D1886">
            <v>198.99</v>
          </cell>
          <cell r="E1886">
            <v>429.35</v>
          </cell>
          <cell r="F1886">
            <v>628.34</v>
          </cell>
        </row>
        <row r="1887">
          <cell r="A1887" t="str">
            <v>160207</v>
          </cell>
          <cell r="B1887" t="str">
            <v>DN 2000 para profundidade até 1,00 m</v>
          </cell>
          <cell r="C1887" t="str">
            <v>ud</v>
          </cell>
          <cell r="D1887">
            <v>843.18</v>
          </cell>
          <cell r="E1887">
            <v>1155.1600000000001</v>
          </cell>
          <cell r="F1887">
            <v>1998.34</v>
          </cell>
        </row>
        <row r="1888">
          <cell r="A1888" t="str">
            <v>160208</v>
          </cell>
          <cell r="B1888" t="str">
            <v>Acréscimo p/ profundidade superior a 1,00 m</v>
          </cell>
          <cell r="C1888" t="str">
            <v>m</v>
          </cell>
          <cell r="D1888">
            <v>293.25</v>
          </cell>
          <cell r="E1888">
            <v>904.47</v>
          </cell>
          <cell r="F1888">
            <v>1197.72</v>
          </cell>
        </row>
        <row r="1889">
          <cell r="A1889" t="str">
            <v>1603</v>
          </cell>
          <cell r="B1889" t="str">
            <v>DISPOSITIVO DE VENTILAÇÃO / EXTRAVASÃO PARA RESERVATÓRIO</v>
          </cell>
        </row>
        <row r="1890">
          <cell r="A1890" t="str">
            <v>160301</v>
          </cell>
          <cell r="B1890" t="str">
            <v>Tipo 1</v>
          </cell>
          <cell r="C1890" t="str">
            <v>ud</v>
          </cell>
          <cell r="D1890">
            <v>113.22</v>
          </cell>
          <cell r="E1890">
            <v>74.040000000000006</v>
          </cell>
          <cell r="F1890">
            <v>187.26</v>
          </cell>
        </row>
        <row r="1891">
          <cell r="A1891" t="str">
            <v>160302</v>
          </cell>
          <cell r="B1891" t="str">
            <v>Tipo 2</v>
          </cell>
          <cell r="C1891" t="str">
            <v>ud</v>
          </cell>
          <cell r="D1891">
            <v>264.33</v>
          </cell>
          <cell r="E1891">
            <v>130.80000000000001</v>
          </cell>
          <cell r="F1891">
            <v>395.13</v>
          </cell>
        </row>
        <row r="1892">
          <cell r="A1892" t="str">
            <v>160303</v>
          </cell>
          <cell r="B1892" t="str">
            <v>Tipo 3 - Módulo 500</v>
          </cell>
          <cell r="C1892" t="str">
            <v>ud</v>
          </cell>
          <cell r="D1892">
            <v>396.27</v>
          </cell>
          <cell r="E1892">
            <v>535.15</v>
          </cell>
          <cell r="F1892">
            <v>931.42</v>
          </cell>
        </row>
        <row r="1893">
          <cell r="A1893" t="str">
            <v>160304</v>
          </cell>
          <cell r="B1893" t="str">
            <v>Tipo 3 - Módulo 750</v>
          </cell>
          <cell r="C1893" t="str">
            <v>ud</v>
          </cell>
          <cell r="D1893">
            <v>452.88</v>
          </cell>
          <cell r="E1893">
            <v>907.12</v>
          </cell>
          <cell r="F1893">
            <v>1360</v>
          </cell>
        </row>
        <row r="1894">
          <cell r="A1894" t="str">
            <v>1604</v>
          </cell>
          <cell r="B1894" t="str">
            <v>DISPOSITIVO DE VENTILAÇÃO DE TETO PARA RESERVATÓRIO</v>
          </cell>
        </row>
        <row r="1895">
          <cell r="A1895" t="str">
            <v>160401</v>
          </cell>
          <cell r="B1895" t="str">
            <v>Ventilação de teto para reservatório</v>
          </cell>
          <cell r="C1895" t="str">
            <v>ud</v>
          </cell>
          <cell r="D1895">
            <v>0</v>
          </cell>
          <cell r="F1895">
            <v>0</v>
          </cell>
        </row>
        <row r="1896">
          <cell r="A1896" t="str">
            <v>1605</v>
          </cell>
          <cell r="B1896" t="str">
            <v>ESCADA</v>
          </cell>
        </row>
        <row r="1897">
          <cell r="A1897" t="str">
            <v>160501</v>
          </cell>
          <cell r="B1897" t="str">
            <v>Escada interna em aço galvanizado</v>
          </cell>
          <cell r="C1897" t="str">
            <v>m</v>
          </cell>
          <cell r="D1897">
            <v>14.79</v>
          </cell>
          <cell r="E1897">
            <v>231.68</v>
          </cell>
          <cell r="F1897">
            <v>246.47</v>
          </cell>
          <cell r="G1897" t="str">
            <v>74194/001</v>
          </cell>
        </row>
        <row r="1898">
          <cell r="A1898" t="str">
            <v>160502</v>
          </cell>
          <cell r="B1898" t="str">
            <v>Escada interna em fibra de vidro</v>
          </cell>
          <cell r="C1898" t="str">
            <v>m</v>
          </cell>
          <cell r="D1898">
            <v>38.08</v>
          </cell>
          <cell r="E1898">
            <v>580.41999999999996</v>
          </cell>
          <cell r="F1898">
            <v>618.5</v>
          </cell>
        </row>
        <row r="1899">
          <cell r="A1899" t="str">
            <v>160503</v>
          </cell>
          <cell r="B1899" t="str">
            <v>Escada externa em aço galvanizado</v>
          </cell>
          <cell r="C1899" t="str">
            <v>m</v>
          </cell>
          <cell r="D1899">
            <v>38.08</v>
          </cell>
          <cell r="E1899">
            <v>570.41999999999996</v>
          </cell>
          <cell r="F1899">
            <v>608.5</v>
          </cell>
        </row>
        <row r="1900">
          <cell r="A1900" t="str">
            <v>160504</v>
          </cell>
          <cell r="B1900" t="str">
            <v>Escada externa em fibra de vidro</v>
          </cell>
          <cell r="C1900" t="str">
            <v>m</v>
          </cell>
          <cell r="D1900">
            <v>38.08</v>
          </cell>
          <cell r="E1900">
            <v>580.41999999999996</v>
          </cell>
          <cell r="F1900">
            <v>618.5</v>
          </cell>
        </row>
        <row r="1901">
          <cell r="A1901" t="str">
            <v>160505</v>
          </cell>
          <cell r="B1901" t="str">
            <v>Escada externa com gaiola em aço galvanizado</v>
          </cell>
          <cell r="C1901" t="str">
            <v>m</v>
          </cell>
          <cell r="D1901">
            <v>75.2</v>
          </cell>
          <cell r="E1901">
            <v>735.21</v>
          </cell>
          <cell r="F1901">
            <v>810.41</v>
          </cell>
        </row>
        <row r="1902">
          <cell r="A1902" t="str">
            <v>160506</v>
          </cell>
          <cell r="B1902" t="str">
            <v>Escada externa com gaiola em fibra de vidro</v>
          </cell>
          <cell r="C1902" t="str">
            <v>m</v>
          </cell>
          <cell r="D1902">
            <v>78.099999999999994</v>
          </cell>
          <cell r="E1902">
            <v>562.11</v>
          </cell>
          <cell r="F1902">
            <v>640.21</v>
          </cell>
        </row>
        <row r="1903">
          <cell r="A1903" t="str">
            <v>160507</v>
          </cell>
          <cell r="B1903" t="str">
            <v>Escada inclinada em aço galvanizado</v>
          </cell>
          <cell r="C1903" t="str">
            <v>m</v>
          </cell>
          <cell r="D1903">
            <v>26.21</v>
          </cell>
          <cell r="E1903">
            <v>1575</v>
          </cell>
          <cell r="F1903">
            <v>1601.21</v>
          </cell>
        </row>
        <row r="1904">
          <cell r="A1904" t="str">
            <v>160508</v>
          </cell>
          <cell r="B1904" t="str">
            <v>Escada caracol - concreto -  larg. 80 cm</v>
          </cell>
          <cell r="C1904" t="str">
            <v>ud</v>
          </cell>
          <cell r="D1904">
            <v>0</v>
          </cell>
          <cell r="F1904">
            <v>0</v>
          </cell>
        </row>
        <row r="1905">
          <cell r="A1905" t="str">
            <v>160509</v>
          </cell>
          <cell r="B1905" t="str">
            <v>Escada caracol - metálica -  larg. 60 cm</v>
          </cell>
          <cell r="C1905" t="str">
            <v>ud</v>
          </cell>
          <cell r="D1905">
            <v>0</v>
          </cell>
          <cell r="F1905">
            <v>0</v>
          </cell>
        </row>
        <row r="1906">
          <cell r="A1906" t="str">
            <v>1606</v>
          </cell>
          <cell r="B1906" t="str">
            <v>GUARDA CORPO</v>
          </cell>
        </row>
        <row r="1907">
          <cell r="A1907" t="str">
            <v>160601</v>
          </cell>
          <cell r="B1907" t="str">
            <v>Guarda corpo em aço galvanizado</v>
          </cell>
          <cell r="C1907" t="str">
            <v>m</v>
          </cell>
          <cell r="D1907">
            <v>13.4</v>
          </cell>
          <cell r="E1907">
            <v>321.54000000000002</v>
          </cell>
          <cell r="F1907">
            <v>334.94</v>
          </cell>
          <cell r="G1907">
            <v>73631</v>
          </cell>
        </row>
        <row r="1908">
          <cell r="A1908" t="str">
            <v>160602</v>
          </cell>
          <cell r="B1908" t="str">
            <v>Guarda corpo em fibra de vidro</v>
          </cell>
          <cell r="C1908" t="str">
            <v>m</v>
          </cell>
          <cell r="D1908">
            <v>18.72</v>
          </cell>
          <cell r="E1908">
            <v>290</v>
          </cell>
          <cell r="F1908">
            <v>308.72000000000003</v>
          </cell>
        </row>
        <row r="1909">
          <cell r="A1909" t="str">
            <v>1607</v>
          </cell>
          <cell r="B1909" t="str">
            <v>TAMPA</v>
          </cell>
        </row>
        <row r="1910">
          <cell r="A1910" t="str">
            <v>160701</v>
          </cell>
          <cell r="B1910" t="str">
            <v>Tampa fixa em fibra de vidro</v>
          </cell>
          <cell r="C1910" t="str">
            <v>m2</v>
          </cell>
          <cell r="D1910">
            <v>44.93</v>
          </cell>
          <cell r="E1910">
            <v>1557.99</v>
          </cell>
          <cell r="F1910">
            <v>1602.92</v>
          </cell>
        </row>
        <row r="1911">
          <cell r="A1911" t="str">
            <v>160702</v>
          </cell>
          <cell r="B1911" t="str">
            <v>Tampa articulada em fibra de vidro</v>
          </cell>
          <cell r="C1911" t="str">
            <v>m2</v>
          </cell>
          <cell r="D1911">
            <v>74.88</v>
          </cell>
          <cell r="E1911">
            <v>1850</v>
          </cell>
          <cell r="F1911">
            <v>1924.88</v>
          </cell>
        </row>
        <row r="1912">
          <cell r="A1912" t="str">
            <v>1608</v>
          </cell>
          <cell r="B1912" t="str">
            <v>GRELHA</v>
          </cell>
        </row>
        <row r="1913">
          <cell r="A1913" t="str">
            <v>160801</v>
          </cell>
          <cell r="B1913" t="str">
            <v>Grelha em fibra de vidro</v>
          </cell>
          <cell r="C1913" t="str">
            <v>m2</v>
          </cell>
          <cell r="D1913">
            <v>67.39</v>
          </cell>
          <cell r="E1913">
            <v>630</v>
          </cell>
          <cell r="F1913">
            <v>697.39</v>
          </cell>
        </row>
        <row r="1914">
          <cell r="A1914" t="str">
            <v>1609</v>
          </cell>
          <cell r="B1914" t="str">
            <v>PASSADIÇO PROVISÓRIO</v>
          </cell>
        </row>
        <row r="1915">
          <cell r="A1915" t="str">
            <v>160901</v>
          </cell>
          <cell r="B1915" t="str">
            <v>Metálico para veículos</v>
          </cell>
          <cell r="C1915" t="str">
            <v>m2</v>
          </cell>
          <cell r="D1915">
            <v>2.17</v>
          </cell>
          <cell r="E1915">
            <v>34.06</v>
          </cell>
          <cell r="F1915">
            <v>36.229999999999997</v>
          </cell>
          <cell r="G1915">
            <v>84126</v>
          </cell>
        </row>
        <row r="1916">
          <cell r="A1916" t="str">
            <v>160902</v>
          </cell>
          <cell r="B1916" t="str">
            <v>Madeira para veículos</v>
          </cell>
          <cell r="C1916" t="str">
            <v>m2</v>
          </cell>
          <cell r="D1916">
            <v>31.82</v>
          </cell>
          <cell r="E1916">
            <v>8.16</v>
          </cell>
          <cell r="F1916">
            <v>39.979999999999997</v>
          </cell>
          <cell r="G1916" t="str">
            <v>74219/002</v>
          </cell>
        </row>
        <row r="1917">
          <cell r="A1917" t="str">
            <v>160903</v>
          </cell>
          <cell r="B1917" t="str">
            <v>Madeira para pedestres</v>
          </cell>
          <cell r="C1917" t="str">
            <v>m2</v>
          </cell>
          <cell r="D1917">
            <v>6.37</v>
          </cell>
          <cell r="E1917">
            <v>1.18</v>
          </cell>
          <cell r="F1917">
            <v>7.55</v>
          </cell>
          <cell r="G1917" t="str">
            <v>74219/001</v>
          </cell>
        </row>
        <row r="1918">
          <cell r="A1918" t="str">
            <v>160904</v>
          </cell>
          <cell r="B1918" t="str">
            <v>Placa de concreto</v>
          </cell>
          <cell r="C1918" t="str">
            <v>m2</v>
          </cell>
          <cell r="D1918">
            <v>44.17</v>
          </cell>
          <cell r="E1918">
            <v>4.91</v>
          </cell>
          <cell r="F1918">
            <v>49.08</v>
          </cell>
        </row>
        <row r="1919">
          <cell r="A1919" t="str">
            <v>1610</v>
          </cell>
          <cell r="B1919" t="str">
            <v>SERVIÇO EM FOSSA</v>
          </cell>
        </row>
        <row r="1920">
          <cell r="A1920" t="str">
            <v>161001</v>
          </cell>
          <cell r="B1920" t="str">
            <v>Esgotamento</v>
          </cell>
          <cell r="C1920" t="str">
            <v>ud</v>
          </cell>
          <cell r="D1920">
            <v>196.78</v>
          </cell>
          <cell r="E1920">
            <v>0</v>
          </cell>
          <cell r="F1920">
            <v>196.78</v>
          </cell>
        </row>
        <row r="1921">
          <cell r="A1921" t="str">
            <v>161002</v>
          </cell>
          <cell r="B1921" t="str">
            <v>Travessia</v>
          </cell>
          <cell r="C1921" t="str">
            <v>m</v>
          </cell>
          <cell r="D1921">
            <v>34.25</v>
          </cell>
          <cell r="E1921">
            <v>8.76</v>
          </cell>
          <cell r="F1921">
            <v>43.01</v>
          </cell>
        </row>
        <row r="1922">
          <cell r="A1922" t="str">
            <v>1611</v>
          </cell>
          <cell r="B1922" t="str">
            <v>CAIXA DE ALVENARIA</v>
          </cell>
        </row>
        <row r="1923">
          <cell r="A1923" t="str">
            <v>161101</v>
          </cell>
          <cell r="B1923" t="str">
            <v>Tampa em concreto</v>
          </cell>
          <cell r="C1923" t="str">
            <v>m2</v>
          </cell>
          <cell r="D1923">
            <v>90.13</v>
          </cell>
          <cell r="E1923">
            <v>46.66</v>
          </cell>
          <cell r="F1923">
            <v>136.79</v>
          </cell>
        </row>
        <row r="1924">
          <cell r="A1924" t="str">
            <v>161102</v>
          </cell>
          <cell r="B1924" t="str">
            <v>Parede de tijolos de 1/2 vez 0,40 m x 0,40 m</v>
          </cell>
          <cell r="C1924" t="str">
            <v>m</v>
          </cell>
          <cell r="D1924">
            <v>142.68</v>
          </cell>
          <cell r="E1924">
            <v>31.3</v>
          </cell>
          <cell r="F1924">
            <v>173.98</v>
          </cell>
        </row>
        <row r="1925">
          <cell r="A1925" t="str">
            <v>161103</v>
          </cell>
          <cell r="B1925" t="str">
            <v>Parede de tijolos de 1/2 vez 0,50 m x 0,50 m</v>
          </cell>
          <cell r="C1925" t="str">
            <v>m</v>
          </cell>
          <cell r="D1925">
            <v>173</v>
          </cell>
          <cell r="E1925">
            <v>37.75</v>
          </cell>
          <cell r="F1925">
            <v>210.75</v>
          </cell>
        </row>
        <row r="1926">
          <cell r="A1926" t="str">
            <v>161104</v>
          </cell>
          <cell r="B1926" t="str">
            <v>Parede de tijolos de 1/2 vez 0,50 m x 0,80 m</v>
          </cell>
          <cell r="C1926" t="str">
            <v>m</v>
          </cell>
          <cell r="D1926">
            <v>216.5</v>
          </cell>
          <cell r="E1926">
            <v>46.96</v>
          </cell>
          <cell r="F1926">
            <v>263.45999999999998</v>
          </cell>
        </row>
        <row r="1927">
          <cell r="A1927" t="str">
            <v>161105</v>
          </cell>
          <cell r="B1927" t="str">
            <v>Parede de tijolos de 1/2 vez 0,50 m x 1,00 m</v>
          </cell>
          <cell r="C1927" t="str">
            <v>m</v>
          </cell>
          <cell r="D1927">
            <v>248.79</v>
          </cell>
          <cell r="E1927">
            <v>53.88</v>
          </cell>
          <cell r="F1927">
            <v>302.67</v>
          </cell>
        </row>
        <row r="1928">
          <cell r="A1928" t="str">
            <v>161106</v>
          </cell>
          <cell r="B1928" t="str">
            <v>Parede de tijolos de 1/2 vez 0,80 m x 0,80 m</v>
          </cell>
          <cell r="C1928" t="str">
            <v>m</v>
          </cell>
          <cell r="D1928">
            <v>261.63</v>
          </cell>
          <cell r="E1928">
            <v>56.55</v>
          </cell>
          <cell r="F1928">
            <v>318.18</v>
          </cell>
        </row>
        <row r="1929">
          <cell r="A1929" t="str">
            <v>161107</v>
          </cell>
          <cell r="B1929" t="str">
            <v>Parede de tijolos de 1/2 vez 0,80 m x 1,00 m</v>
          </cell>
          <cell r="C1929" t="str">
            <v>m</v>
          </cell>
          <cell r="D1929">
            <v>291.70999999999998</v>
          </cell>
          <cell r="E1929">
            <v>62.95</v>
          </cell>
          <cell r="F1929">
            <v>354.66</v>
          </cell>
        </row>
        <row r="1930">
          <cell r="A1930" t="str">
            <v>161108</v>
          </cell>
          <cell r="B1930" t="str">
            <v>Parede de tijolos de 1/2 vez 0,80 m x 1,20 m</v>
          </cell>
          <cell r="C1930" t="str">
            <v>m</v>
          </cell>
          <cell r="D1930">
            <v>321.8</v>
          </cell>
          <cell r="E1930">
            <v>69.349999999999994</v>
          </cell>
          <cell r="F1930">
            <v>391.15</v>
          </cell>
        </row>
        <row r="1931">
          <cell r="A1931" t="str">
            <v>161109</v>
          </cell>
          <cell r="B1931" t="str">
            <v>Parede de tijolos de 1/2 vez 1,00 m x 1,00 m</v>
          </cell>
          <cell r="C1931" t="str">
            <v>m</v>
          </cell>
          <cell r="D1931">
            <v>324.58</v>
          </cell>
          <cell r="E1931">
            <v>70.010000000000005</v>
          </cell>
          <cell r="F1931">
            <v>394.59</v>
          </cell>
        </row>
        <row r="1932">
          <cell r="A1932" t="str">
            <v>161110</v>
          </cell>
          <cell r="B1932" t="str">
            <v>Parede de tijolos de 1/2 vez 1,00 m x 1,20 m</v>
          </cell>
          <cell r="C1932" t="str">
            <v>m</v>
          </cell>
          <cell r="D1932">
            <v>352.22</v>
          </cell>
          <cell r="E1932">
            <v>75.819999999999993</v>
          </cell>
          <cell r="F1932">
            <v>428.04</v>
          </cell>
        </row>
        <row r="1933">
          <cell r="A1933" t="str">
            <v>161111</v>
          </cell>
          <cell r="B1933" t="str">
            <v>Parede de tijolos de 1/2 vez 1,00 m x 1,50 m</v>
          </cell>
          <cell r="C1933" t="str">
            <v>m</v>
          </cell>
          <cell r="D1933">
            <v>400.36</v>
          </cell>
          <cell r="E1933">
            <v>86.14</v>
          </cell>
          <cell r="F1933">
            <v>486.5</v>
          </cell>
        </row>
        <row r="1934">
          <cell r="A1934" t="str">
            <v>161112</v>
          </cell>
          <cell r="B1934" t="str">
            <v>Parede de tijolos de 1/2 vez 1,20 m x 1,20 m</v>
          </cell>
          <cell r="C1934" t="str">
            <v>m</v>
          </cell>
          <cell r="D1934">
            <v>387.47</v>
          </cell>
          <cell r="E1934">
            <v>83.46</v>
          </cell>
          <cell r="F1934">
            <v>470.93</v>
          </cell>
        </row>
        <row r="1935">
          <cell r="A1935" t="str">
            <v>161113</v>
          </cell>
          <cell r="B1935" t="str">
            <v>Parede de tijolos de 1/2 vez 1,20 m x 1,50 m</v>
          </cell>
          <cell r="C1935" t="str">
            <v>m</v>
          </cell>
          <cell r="D1935">
            <v>438.26</v>
          </cell>
          <cell r="E1935">
            <v>94.21</v>
          </cell>
          <cell r="F1935">
            <v>532.47</v>
          </cell>
        </row>
        <row r="1936">
          <cell r="A1936" t="str">
            <v>161114</v>
          </cell>
          <cell r="B1936" t="str">
            <v>Parede de tijolos de 1/2 vez 1,50 m x 1,50 m</v>
          </cell>
          <cell r="C1936" t="str">
            <v>m</v>
          </cell>
          <cell r="D1936">
            <v>476.15</v>
          </cell>
          <cell r="E1936">
            <v>102.27</v>
          </cell>
          <cell r="F1936">
            <v>578.41999999999996</v>
          </cell>
        </row>
        <row r="1937">
          <cell r="A1937" t="str">
            <v>161115</v>
          </cell>
          <cell r="B1937" t="str">
            <v>Fundo em concreto não estrutural</v>
          </cell>
          <cell r="C1937" t="str">
            <v>m2</v>
          </cell>
          <cell r="D1937">
            <v>47.11</v>
          </cell>
          <cell r="E1937">
            <v>14.47</v>
          </cell>
          <cell r="F1937">
            <v>61.58</v>
          </cell>
        </row>
        <row r="1938">
          <cell r="A1938" t="str">
            <v>1612</v>
          </cell>
          <cell r="B1938" t="str">
            <v>TRAVESSIA NÃO DESTRUTIVA - COM ARRUELA OU TOCO DE TUBO</v>
          </cell>
        </row>
        <row r="1939">
          <cell r="A1939" t="str">
            <v>161201</v>
          </cell>
          <cell r="B1939" t="str">
            <v>Furo diâm. até 40 mm</v>
          </cell>
          <cell r="C1939" t="str">
            <v>m</v>
          </cell>
          <cell r="D1939">
            <v>27.91</v>
          </cell>
          <cell r="E1939">
            <v>0</v>
          </cell>
          <cell r="F1939">
            <v>27.91</v>
          </cell>
        </row>
        <row r="1940">
          <cell r="A1940" t="str">
            <v>161202</v>
          </cell>
          <cell r="B1940" t="str">
            <v>Furo diâm. 60 mm</v>
          </cell>
          <cell r="C1940" t="str">
            <v>m</v>
          </cell>
          <cell r="D1940">
            <v>34.07</v>
          </cell>
          <cell r="E1940">
            <v>0</v>
          </cell>
          <cell r="F1940">
            <v>34.07</v>
          </cell>
        </row>
        <row r="1941">
          <cell r="A1941" t="str">
            <v>161203</v>
          </cell>
          <cell r="B1941" t="str">
            <v>Furo diâm. 95 mm</v>
          </cell>
          <cell r="C1941" t="str">
            <v>m</v>
          </cell>
          <cell r="D1941">
            <v>40.229999999999997</v>
          </cell>
          <cell r="E1941">
            <v>0</v>
          </cell>
          <cell r="F1941">
            <v>40.229999999999997</v>
          </cell>
        </row>
        <row r="1942">
          <cell r="A1942" t="str">
            <v>161204</v>
          </cell>
          <cell r="B1942" t="str">
            <v>Furo diâm. 120 mm</v>
          </cell>
          <cell r="C1942" t="str">
            <v>m</v>
          </cell>
          <cell r="D1942">
            <v>46.39</v>
          </cell>
          <cell r="E1942">
            <v>0</v>
          </cell>
          <cell r="F1942">
            <v>46.39</v>
          </cell>
        </row>
        <row r="1943">
          <cell r="A1943" t="str">
            <v>161205</v>
          </cell>
          <cell r="B1943" t="str">
            <v>Furo diâm. 170 mm</v>
          </cell>
          <cell r="C1943" t="str">
            <v>m</v>
          </cell>
          <cell r="D1943">
            <v>52.54</v>
          </cell>
          <cell r="E1943">
            <v>0</v>
          </cell>
          <cell r="F1943">
            <v>52.54</v>
          </cell>
        </row>
        <row r="1944">
          <cell r="A1944" t="str">
            <v>161206</v>
          </cell>
          <cell r="B1944" t="str">
            <v>Furo diâm. 200 mm</v>
          </cell>
          <cell r="C1944" t="str">
            <v>m</v>
          </cell>
          <cell r="D1944">
            <v>64.87</v>
          </cell>
          <cell r="E1944">
            <v>0</v>
          </cell>
          <cell r="F1944">
            <v>64.87</v>
          </cell>
        </row>
        <row r="1945">
          <cell r="A1945" t="str">
            <v>1613</v>
          </cell>
          <cell r="B1945" t="str">
            <v>TRAVESSIA NÃO DESTRUTIVA - COM ARRUELA E ÁGUA</v>
          </cell>
        </row>
        <row r="1946">
          <cell r="A1946" t="str">
            <v>161301</v>
          </cell>
          <cell r="B1946" t="str">
            <v>Arruela e água - furo diâm. até 40 mm</v>
          </cell>
          <cell r="C1946" t="str">
            <v>m</v>
          </cell>
          <cell r="D1946">
            <v>16.149999999999999</v>
          </cell>
          <cell r="E1946">
            <v>0</v>
          </cell>
          <cell r="F1946">
            <v>16.149999999999999</v>
          </cell>
        </row>
        <row r="1947">
          <cell r="A1947" t="str">
            <v>161302</v>
          </cell>
          <cell r="B1947" t="str">
            <v>Arruela e água - furo diâm. 60 mm</v>
          </cell>
          <cell r="C1947" t="str">
            <v>m</v>
          </cell>
          <cell r="D1947">
            <v>21.07</v>
          </cell>
          <cell r="E1947">
            <v>0</v>
          </cell>
          <cell r="F1947">
            <v>21.07</v>
          </cell>
        </row>
        <row r="1948">
          <cell r="A1948" t="str">
            <v>161303</v>
          </cell>
          <cell r="B1948" t="str">
            <v>Arruela e água - furo diâm. 95 mm</v>
          </cell>
          <cell r="C1948" t="str">
            <v>m</v>
          </cell>
          <cell r="D1948">
            <v>31.61</v>
          </cell>
          <cell r="E1948">
            <v>0</v>
          </cell>
          <cell r="F1948">
            <v>31.61</v>
          </cell>
        </row>
        <row r="1949">
          <cell r="A1949" t="str">
            <v>161304</v>
          </cell>
          <cell r="B1949" t="str">
            <v>Arruela e água - furo diâm. 120 mm</v>
          </cell>
          <cell r="C1949" t="str">
            <v>m</v>
          </cell>
          <cell r="D1949">
            <v>38.630000000000003</v>
          </cell>
          <cell r="E1949">
            <v>0</v>
          </cell>
          <cell r="F1949">
            <v>38.630000000000003</v>
          </cell>
        </row>
        <row r="1950">
          <cell r="A1950" t="str">
            <v>161305</v>
          </cell>
          <cell r="B1950" t="str">
            <v>Arruela e água - furo diâm. 170 mm</v>
          </cell>
          <cell r="C1950" t="str">
            <v>m</v>
          </cell>
          <cell r="D1950">
            <v>49.17</v>
          </cell>
          <cell r="E1950">
            <v>0</v>
          </cell>
          <cell r="F1950">
            <v>49.17</v>
          </cell>
        </row>
        <row r="1951">
          <cell r="A1951" t="str">
            <v>161306</v>
          </cell>
          <cell r="B1951" t="str">
            <v>Arruela e água - furo diâm. 200 mm</v>
          </cell>
          <cell r="C1951" t="str">
            <v>m</v>
          </cell>
          <cell r="D1951">
            <v>63.22</v>
          </cell>
          <cell r="E1951">
            <v>0</v>
          </cell>
          <cell r="F1951">
            <v>63.22</v>
          </cell>
        </row>
        <row r="1952">
          <cell r="A1952" t="str">
            <v>1614</v>
          </cell>
          <cell r="B1952" t="str">
            <v>TRAVESSIA NÃO DESTRUTIVA - COM TRADO</v>
          </cell>
        </row>
        <row r="1953">
          <cell r="A1953" t="str">
            <v>161401</v>
          </cell>
          <cell r="B1953" t="str">
            <v>Trado manual - furo diâm. até 100 mm</v>
          </cell>
          <cell r="C1953" t="str">
            <v>m</v>
          </cell>
          <cell r="D1953">
            <v>52.79</v>
          </cell>
          <cell r="E1953">
            <v>0</v>
          </cell>
          <cell r="F1953">
            <v>52.79</v>
          </cell>
        </row>
        <row r="1954">
          <cell r="A1954" t="str">
            <v>161402</v>
          </cell>
          <cell r="B1954" t="str">
            <v>Trado manual - furo diâm. 150 mm</v>
          </cell>
          <cell r="C1954" t="str">
            <v>m</v>
          </cell>
          <cell r="D1954">
            <v>105.59</v>
          </cell>
          <cell r="E1954">
            <v>0</v>
          </cell>
          <cell r="F1954">
            <v>105.59</v>
          </cell>
        </row>
        <row r="1955">
          <cell r="A1955" t="str">
            <v>161403</v>
          </cell>
          <cell r="B1955" t="str">
            <v>Trado manual - furo diâm. 200 mm</v>
          </cell>
          <cell r="C1955" t="str">
            <v>m</v>
          </cell>
          <cell r="D1955">
            <v>158.38</v>
          </cell>
          <cell r="E1955">
            <v>0</v>
          </cell>
          <cell r="F1955">
            <v>158.38</v>
          </cell>
        </row>
        <row r="1956">
          <cell r="A1956" t="str">
            <v>161404</v>
          </cell>
          <cell r="B1956" t="str">
            <v>Trado manual - furo diâm. 250 mm</v>
          </cell>
          <cell r="C1956" t="str">
            <v>m</v>
          </cell>
          <cell r="D1956">
            <v>211.17</v>
          </cell>
          <cell r="E1956">
            <v>0</v>
          </cell>
          <cell r="F1956">
            <v>211.17</v>
          </cell>
        </row>
        <row r="1957">
          <cell r="A1957" t="str">
            <v>161405</v>
          </cell>
          <cell r="B1957" t="str">
            <v>Trado mecânico - furo diâm. até 100 mm</v>
          </cell>
          <cell r="C1957" t="str">
            <v>m</v>
          </cell>
          <cell r="D1957">
            <v>0</v>
          </cell>
          <cell r="F1957">
            <v>0</v>
          </cell>
        </row>
        <row r="1958">
          <cell r="A1958" t="str">
            <v>161406</v>
          </cell>
          <cell r="B1958" t="str">
            <v>Trado mecânico - furo diâm. 150 mm</v>
          </cell>
          <cell r="C1958" t="str">
            <v>m</v>
          </cell>
          <cell r="D1958">
            <v>0</v>
          </cell>
          <cell r="F1958">
            <v>0</v>
          </cell>
        </row>
        <row r="1959">
          <cell r="A1959" t="str">
            <v>161407</v>
          </cell>
          <cell r="B1959" t="str">
            <v>Trado mecânico - furo diâm. 200 mm</v>
          </cell>
          <cell r="C1959" t="str">
            <v>m</v>
          </cell>
          <cell r="D1959">
            <v>0</v>
          </cell>
          <cell r="F1959">
            <v>0</v>
          </cell>
        </row>
        <row r="1960">
          <cell r="A1960" t="str">
            <v>161408</v>
          </cell>
          <cell r="B1960" t="str">
            <v>Trado mecânico - furo diâm. 250 mm</v>
          </cell>
          <cell r="C1960" t="str">
            <v>m</v>
          </cell>
          <cell r="D1960">
            <v>0</v>
          </cell>
          <cell r="F1960">
            <v>0</v>
          </cell>
        </row>
        <row r="1961">
          <cell r="A1961" t="str">
            <v>161409</v>
          </cell>
          <cell r="B1961" t="str">
            <v>Trado mecânico - furo diâm. 300 mm</v>
          </cell>
          <cell r="C1961" t="str">
            <v>m</v>
          </cell>
          <cell r="D1961">
            <v>0</v>
          </cell>
          <cell r="F1961">
            <v>0</v>
          </cell>
        </row>
        <row r="1962">
          <cell r="A1962" t="str">
            <v>161410</v>
          </cell>
          <cell r="B1962" t="str">
            <v>Trado mecânico - furo diâm. 400 mm</v>
          </cell>
          <cell r="C1962" t="str">
            <v>m</v>
          </cell>
          <cell r="D1962">
            <v>0</v>
          </cell>
          <cell r="F1962">
            <v>0</v>
          </cell>
        </row>
        <row r="1963">
          <cell r="A1963" t="str">
            <v>1615</v>
          </cell>
          <cell r="B1963" t="str">
            <v>CRAVAÇÃO MND - CONVENCIONAL</v>
          </cell>
        </row>
        <row r="1964">
          <cell r="A1964" t="str">
            <v>161501</v>
          </cell>
          <cell r="B1964" t="str">
            <v>Cravação MND - Convencional DN 150</v>
          </cell>
          <cell r="C1964" t="str">
            <v>m</v>
          </cell>
          <cell r="D1964">
            <v>0</v>
          </cell>
          <cell r="F1964">
            <v>0</v>
          </cell>
        </row>
        <row r="1965">
          <cell r="A1965" t="str">
            <v>161502</v>
          </cell>
          <cell r="B1965" t="str">
            <v>Cravação MND - Convencional DN 200</v>
          </cell>
          <cell r="C1965" t="str">
            <v>m</v>
          </cell>
          <cell r="D1965">
            <v>0</v>
          </cell>
          <cell r="F1965">
            <v>0</v>
          </cell>
        </row>
        <row r="1966">
          <cell r="A1966" t="str">
            <v>161503</v>
          </cell>
          <cell r="B1966" t="str">
            <v>Cravação MND - Convencional DN 250</v>
          </cell>
          <cell r="C1966" t="str">
            <v>m</v>
          </cell>
          <cell r="D1966">
            <v>0</v>
          </cell>
          <cell r="F1966">
            <v>0</v>
          </cell>
        </row>
        <row r="1967">
          <cell r="A1967" t="str">
            <v>161504</v>
          </cell>
          <cell r="B1967" t="str">
            <v>Cravação MND - Convencional DN 300</v>
          </cell>
          <cell r="C1967" t="str">
            <v>m</v>
          </cell>
          <cell r="D1967">
            <v>0</v>
          </cell>
          <cell r="F1967">
            <v>0</v>
          </cell>
        </row>
        <row r="1968">
          <cell r="A1968" t="str">
            <v>161505</v>
          </cell>
          <cell r="B1968" t="str">
            <v>Cravação MND - Convencional DN 350</v>
          </cell>
          <cell r="C1968" t="str">
            <v>m</v>
          </cell>
          <cell r="D1968">
            <v>0</v>
          </cell>
          <cell r="F1968">
            <v>0</v>
          </cell>
        </row>
        <row r="1969">
          <cell r="A1969" t="str">
            <v>161506</v>
          </cell>
          <cell r="B1969" t="str">
            <v>Cravação MND - Convencional DN 400</v>
          </cell>
          <cell r="C1969" t="str">
            <v>m</v>
          </cell>
          <cell r="D1969">
            <v>0</v>
          </cell>
          <cell r="F1969">
            <v>0</v>
          </cell>
        </row>
        <row r="1970">
          <cell r="A1970" t="str">
            <v>161507</v>
          </cell>
          <cell r="B1970" t="str">
            <v>Cravação MND - Convencional DN 500</v>
          </cell>
          <cell r="C1970" t="str">
            <v>m</v>
          </cell>
          <cell r="D1970">
            <v>0</v>
          </cell>
          <cell r="F1970">
            <v>0</v>
          </cell>
        </row>
        <row r="1971">
          <cell r="A1971" t="str">
            <v>161508</v>
          </cell>
          <cell r="B1971" t="str">
            <v>Cravação MND - Convencional DN 600</v>
          </cell>
          <cell r="C1971" t="str">
            <v>m</v>
          </cell>
          <cell r="D1971">
            <v>0</v>
          </cell>
          <cell r="F1971">
            <v>0</v>
          </cell>
        </row>
        <row r="1972">
          <cell r="A1972" t="str">
            <v>161509</v>
          </cell>
          <cell r="B1972" t="str">
            <v>Cravação MND - Convencional DE 140</v>
          </cell>
          <cell r="C1972" t="str">
            <v>m</v>
          </cell>
          <cell r="D1972">
            <v>0</v>
          </cell>
          <cell r="F1972">
            <v>0</v>
          </cell>
        </row>
        <row r="1973">
          <cell r="A1973" t="str">
            <v>161510</v>
          </cell>
          <cell r="B1973" t="str">
            <v>Cravação MND - Convencional DE 160</v>
          </cell>
          <cell r="C1973" t="str">
            <v>m</v>
          </cell>
          <cell r="D1973">
            <v>0</v>
          </cell>
          <cell r="F1973">
            <v>0</v>
          </cell>
        </row>
        <row r="1974">
          <cell r="A1974" t="str">
            <v>161511</v>
          </cell>
          <cell r="B1974" t="str">
            <v>Cravação MND - Convencional DE 180</v>
          </cell>
          <cell r="C1974" t="str">
            <v>m</v>
          </cell>
          <cell r="D1974">
            <v>0</v>
          </cell>
          <cell r="F1974">
            <v>0</v>
          </cell>
        </row>
        <row r="1975">
          <cell r="A1975" t="str">
            <v>161512</v>
          </cell>
          <cell r="B1975" t="str">
            <v>Cravação MND - Convencional DE 200</v>
          </cell>
          <cell r="C1975" t="str">
            <v>m</v>
          </cell>
          <cell r="D1975">
            <v>0</v>
          </cell>
          <cell r="F1975">
            <v>0</v>
          </cell>
        </row>
        <row r="1976">
          <cell r="A1976" t="str">
            <v>161513</v>
          </cell>
          <cell r="B1976" t="str">
            <v>Cravação MND - Convencional DE 225</v>
          </cell>
          <cell r="C1976" t="str">
            <v>m</v>
          </cell>
          <cell r="D1976">
            <v>0</v>
          </cell>
          <cell r="F1976">
            <v>0</v>
          </cell>
        </row>
        <row r="1977">
          <cell r="A1977" t="str">
            <v>161514</v>
          </cell>
          <cell r="B1977" t="str">
            <v>Cravação MND - Convencional DE 280</v>
          </cell>
          <cell r="C1977" t="str">
            <v>m</v>
          </cell>
          <cell r="D1977">
            <v>0</v>
          </cell>
          <cell r="F1977">
            <v>0</v>
          </cell>
        </row>
        <row r="1978">
          <cell r="A1978" t="str">
            <v>161515</v>
          </cell>
          <cell r="B1978" t="str">
            <v>Cravação MND - Convencional DE 315</v>
          </cell>
          <cell r="C1978" t="str">
            <v>m</v>
          </cell>
          <cell r="D1978">
            <v>0</v>
          </cell>
          <cell r="F1978">
            <v>0</v>
          </cell>
        </row>
        <row r="1979">
          <cell r="A1979" t="str">
            <v>161516</v>
          </cell>
          <cell r="B1979" t="str">
            <v>Cravação MND - Convencional DE 355</v>
          </cell>
          <cell r="C1979" t="str">
            <v>m</v>
          </cell>
          <cell r="D1979">
            <v>0</v>
          </cell>
          <cell r="F1979">
            <v>0</v>
          </cell>
        </row>
        <row r="1980">
          <cell r="A1980" t="str">
            <v>161517</v>
          </cell>
          <cell r="B1980" t="str">
            <v>Cravação MND - Convencional DE 400</v>
          </cell>
          <cell r="C1980" t="str">
            <v>m</v>
          </cell>
          <cell r="D1980">
            <v>0</v>
          </cell>
          <cell r="F1980">
            <v>0</v>
          </cell>
        </row>
        <row r="1981">
          <cell r="A1981" t="str">
            <v>161518</v>
          </cell>
          <cell r="B1981" t="str">
            <v>Cravação MND - Convencional DE 450</v>
          </cell>
          <cell r="C1981" t="str">
            <v>m</v>
          </cell>
          <cell r="D1981">
            <v>0</v>
          </cell>
          <cell r="F1981">
            <v>0</v>
          </cell>
        </row>
        <row r="1982">
          <cell r="A1982" t="str">
            <v>161519</v>
          </cell>
          <cell r="B1982" t="str">
            <v>Cravação MND - Convencional DE 500</v>
          </cell>
          <cell r="C1982" t="str">
            <v>m</v>
          </cell>
          <cell r="D1982">
            <v>0</v>
          </cell>
          <cell r="F1982">
            <v>0</v>
          </cell>
        </row>
        <row r="1983">
          <cell r="A1983" t="str">
            <v>161520</v>
          </cell>
          <cell r="B1983" t="str">
            <v>Cravação MND - Convencional DE 560</v>
          </cell>
          <cell r="C1983" t="str">
            <v>m</v>
          </cell>
          <cell r="D1983">
            <v>0</v>
          </cell>
          <cell r="F1983">
            <v>0</v>
          </cell>
        </row>
        <row r="1984">
          <cell r="A1984" t="str">
            <v>161521</v>
          </cell>
          <cell r="B1984" t="str">
            <v>Cravação MND - Convencional DE 630</v>
          </cell>
          <cell r="C1984" t="str">
            <v>m</v>
          </cell>
          <cell r="D1984">
            <v>0</v>
          </cell>
          <cell r="F1984">
            <v>0</v>
          </cell>
        </row>
        <row r="1985">
          <cell r="A1985" t="str">
            <v>1616</v>
          </cell>
          <cell r="B1985" t="str">
            <v>CRAVAÇÃO MND - NAVIGATOR</v>
          </cell>
        </row>
        <row r="1986">
          <cell r="A1986" t="str">
            <v>161614</v>
          </cell>
          <cell r="B1986" t="str">
            <v>Cravação MND - Navigator DE 75</v>
          </cell>
          <cell r="C1986" t="str">
            <v>m</v>
          </cell>
          <cell r="D1986">
            <v>0</v>
          </cell>
          <cell r="F1986">
            <v>0</v>
          </cell>
        </row>
        <row r="1987">
          <cell r="A1987" t="str">
            <v>161615</v>
          </cell>
          <cell r="B1987" t="str">
            <v>Cravação MND - Navigator DE 90</v>
          </cell>
          <cell r="C1987" t="str">
            <v>m</v>
          </cell>
          <cell r="D1987">
            <v>0</v>
          </cell>
          <cell r="F1987">
            <v>0</v>
          </cell>
        </row>
        <row r="1988">
          <cell r="A1988" t="str">
            <v>161616</v>
          </cell>
          <cell r="B1988" t="str">
            <v>Cravação MND - Navigator DE 110</v>
          </cell>
          <cell r="C1988" t="str">
            <v>m</v>
          </cell>
          <cell r="D1988">
            <v>0</v>
          </cell>
          <cell r="F1988">
            <v>0</v>
          </cell>
        </row>
        <row r="1989">
          <cell r="A1989" t="str">
            <v>161617</v>
          </cell>
          <cell r="B1989" t="str">
            <v>Cravação MND - Navigator DE 125</v>
          </cell>
          <cell r="C1989" t="str">
            <v>m</v>
          </cell>
          <cell r="D1989">
            <v>0</v>
          </cell>
          <cell r="F1989">
            <v>0</v>
          </cell>
        </row>
        <row r="1990">
          <cell r="A1990" t="str">
            <v>161618</v>
          </cell>
          <cell r="B1990" t="str">
            <v>Cravação MND - Navigator DE 140</v>
          </cell>
          <cell r="C1990" t="str">
            <v>m</v>
          </cell>
          <cell r="D1990">
            <v>0</v>
          </cell>
          <cell r="F1990">
            <v>0</v>
          </cell>
        </row>
        <row r="1991">
          <cell r="A1991" t="str">
            <v>161619</v>
          </cell>
          <cell r="B1991" t="str">
            <v>Cravação MND - Navigator DE 160</v>
          </cell>
          <cell r="C1991" t="str">
            <v>m</v>
          </cell>
          <cell r="D1991">
            <v>0</v>
          </cell>
          <cell r="F1991">
            <v>0</v>
          </cell>
        </row>
        <row r="1992">
          <cell r="A1992" t="str">
            <v>161620</v>
          </cell>
          <cell r="B1992" t="str">
            <v>Cravação MND - Navigator DE 180</v>
          </cell>
          <cell r="C1992" t="str">
            <v>m</v>
          </cell>
          <cell r="D1992">
            <v>0</v>
          </cell>
          <cell r="F1992">
            <v>0</v>
          </cell>
        </row>
        <row r="1993">
          <cell r="A1993" t="str">
            <v>161621</v>
          </cell>
          <cell r="B1993" t="str">
            <v>Cravação MND - Navigator DE 200</v>
          </cell>
          <cell r="C1993" t="str">
            <v>m</v>
          </cell>
          <cell r="D1993">
            <v>0</v>
          </cell>
          <cell r="F1993">
            <v>0</v>
          </cell>
        </row>
        <row r="1994">
          <cell r="A1994" t="str">
            <v>161622</v>
          </cell>
          <cell r="B1994" t="str">
            <v>Cravação MND - Navigator DE 225</v>
          </cell>
          <cell r="C1994" t="str">
            <v>m</v>
          </cell>
          <cell r="D1994">
            <v>0</v>
          </cell>
          <cell r="F1994">
            <v>0</v>
          </cell>
        </row>
        <row r="1995">
          <cell r="A1995" t="str">
            <v>161623</v>
          </cell>
          <cell r="B1995" t="str">
            <v>Cravação MND - Navigator DE 280</v>
          </cell>
          <cell r="C1995" t="str">
            <v>m</v>
          </cell>
          <cell r="D1995">
            <v>0</v>
          </cell>
          <cell r="F1995">
            <v>0</v>
          </cell>
        </row>
        <row r="1996">
          <cell r="A1996" t="str">
            <v>161624</v>
          </cell>
          <cell r="B1996" t="str">
            <v>Cravação MND - Navigator DE 315</v>
          </cell>
          <cell r="C1996" t="str">
            <v>m</v>
          </cell>
          <cell r="D1996">
            <v>0</v>
          </cell>
          <cell r="F1996">
            <v>0</v>
          </cell>
        </row>
        <row r="1997">
          <cell r="A1997" t="str">
            <v>161625</v>
          </cell>
          <cell r="B1997" t="str">
            <v>Cravação MND - Navigator DE 355</v>
          </cell>
          <cell r="C1997" t="str">
            <v>m</v>
          </cell>
          <cell r="D1997">
            <v>0</v>
          </cell>
          <cell r="F1997">
            <v>0</v>
          </cell>
        </row>
        <row r="1998">
          <cell r="A1998" t="str">
            <v>161626</v>
          </cell>
          <cell r="B1998" t="str">
            <v>Cravação MND - Navigator DE 400</v>
          </cell>
          <cell r="C1998" t="str">
            <v>m</v>
          </cell>
          <cell r="D1998">
            <v>0</v>
          </cell>
          <cell r="F1998">
            <v>0</v>
          </cell>
        </row>
        <row r="1999">
          <cell r="A1999" t="str">
            <v>161627</v>
          </cell>
          <cell r="B1999" t="str">
            <v>Cravação MND - Navigator DE 450</v>
          </cell>
          <cell r="C1999" t="str">
            <v>m</v>
          </cell>
          <cell r="D1999">
            <v>0</v>
          </cell>
          <cell r="F1999">
            <v>0</v>
          </cell>
        </row>
        <row r="2000">
          <cell r="A2000" t="str">
            <v>161628</v>
          </cell>
          <cell r="B2000" t="str">
            <v>Cravação MND - Navigator DE 500</v>
          </cell>
          <cell r="C2000" t="str">
            <v>m</v>
          </cell>
          <cell r="D2000">
            <v>0</v>
          </cell>
          <cell r="F2000">
            <v>0</v>
          </cell>
        </row>
        <row r="2001">
          <cell r="A2001" t="str">
            <v>161629</v>
          </cell>
          <cell r="B2001" t="str">
            <v>Cravação MND - Navigator DE 560</v>
          </cell>
          <cell r="C2001" t="str">
            <v>m</v>
          </cell>
          <cell r="D2001">
            <v>0</v>
          </cell>
          <cell r="F2001">
            <v>0</v>
          </cell>
        </row>
        <row r="2002">
          <cell r="A2002" t="str">
            <v>161630</v>
          </cell>
          <cell r="B2002" t="str">
            <v>Cravação MND - Navigator DE 630</v>
          </cell>
          <cell r="C2002" t="str">
            <v>m</v>
          </cell>
          <cell r="D2002">
            <v>0</v>
          </cell>
          <cell r="F2002">
            <v>0</v>
          </cell>
        </row>
        <row r="2003">
          <cell r="A2003" t="str">
            <v>161601</v>
          </cell>
          <cell r="B2003" t="str">
            <v>Cravação MND - Navigator DN 50</v>
          </cell>
          <cell r="C2003" t="str">
            <v>m</v>
          </cell>
          <cell r="D2003">
            <v>0</v>
          </cell>
          <cell r="F2003">
            <v>0</v>
          </cell>
        </row>
        <row r="2004">
          <cell r="A2004" t="str">
            <v>161602</v>
          </cell>
          <cell r="B2004" t="str">
            <v>Cravação MND - Navigator DN 75/80</v>
          </cell>
          <cell r="C2004" t="str">
            <v>m</v>
          </cell>
          <cell r="D2004">
            <v>0</v>
          </cell>
          <cell r="F2004">
            <v>0</v>
          </cell>
        </row>
        <row r="2005">
          <cell r="A2005" t="str">
            <v>161603</v>
          </cell>
          <cell r="B2005" t="str">
            <v>Cravação MND - Navigator DN 100</v>
          </cell>
          <cell r="C2005" t="str">
            <v>m</v>
          </cell>
          <cell r="D2005">
            <v>0</v>
          </cell>
          <cell r="F2005">
            <v>0</v>
          </cell>
        </row>
        <row r="2006">
          <cell r="A2006" t="str">
            <v>161604</v>
          </cell>
          <cell r="B2006" t="str">
            <v>Cravação MND - Navigator DN 150</v>
          </cell>
          <cell r="C2006" t="str">
            <v>m</v>
          </cell>
          <cell r="D2006">
            <v>0</v>
          </cell>
          <cell r="F2006">
            <v>0</v>
          </cell>
        </row>
        <row r="2007">
          <cell r="A2007" t="str">
            <v>161605</v>
          </cell>
          <cell r="B2007" t="str">
            <v>Cravação MND - Navigator DN 200</v>
          </cell>
          <cell r="C2007" t="str">
            <v>m</v>
          </cell>
          <cell r="D2007">
            <v>0</v>
          </cell>
          <cell r="F2007">
            <v>0</v>
          </cell>
        </row>
        <row r="2008">
          <cell r="A2008" t="str">
            <v>161606</v>
          </cell>
          <cell r="B2008" t="str">
            <v>Cravação MND - Navigator DN 250</v>
          </cell>
          <cell r="C2008" t="str">
            <v>m</v>
          </cell>
          <cell r="D2008">
            <v>0</v>
          </cell>
          <cell r="F2008">
            <v>0</v>
          </cell>
        </row>
        <row r="2009">
          <cell r="A2009" t="str">
            <v>161607</v>
          </cell>
          <cell r="B2009" t="str">
            <v>Cravação MND - Navigator DN 300</v>
          </cell>
          <cell r="C2009" t="str">
            <v>m</v>
          </cell>
          <cell r="D2009">
            <v>0</v>
          </cell>
          <cell r="F2009">
            <v>0</v>
          </cell>
        </row>
        <row r="2010">
          <cell r="A2010" t="str">
            <v>161608</v>
          </cell>
          <cell r="B2010" t="str">
            <v>Cravação MND - Navigator DN 350</v>
          </cell>
          <cell r="C2010" t="str">
            <v>m</v>
          </cell>
          <cell r="D2010">
            <v>0</v>
          </cell>
          <cell r="F2010">
            <v>0</v>
          </cell>
        </row>
        <row r="2011">
          <cell r="A2011" t="str">
            <v>161609</v>
          </cell>
          <cell r="B2011" t="str">
            <v>Cravação MND - Navigator DN 400</v>
          </cell>
          <cell r="C2011" t="str">
            <v>m</v>
          </cell>
          <cell r="D2011">
            <v>0</v>
          </cell>
          <cell r="F2011">
            <v>0</v>
          </cell>
        </row>
        <row r="2012">
          <cell r="A2012" t="str">
            <v>161610</v>
          </cell>
          <cell r="B2012" t="str">
            <v>Cravação MND - Navigator DN 500</v>
          </cell>
          <cell r="C2012" t="str">
            <v>m</v>
          </cell>
          <cell r="D2012">
            <v>0</v>
          </cell>
          <cell r="F2012">
            <v>0</v>
          </cell>
        </row>
        <row r="2013">
          <cell r="A2013" t="str">
            <v>161611</v>
          </cell>
          <cell r="B2013" t="str">
            <v>Cravação MND - Navigator DN 600</v>
          </cell>
          <cell r="C2013" t="str">
            <v>m</v>
          </cell>
          <cell r="D2013">
            <v>0</v>
          </cell>
          <cell r="F2013">
            <v>0</v>
          </cell>
        </row>
        <row r="2014">
          <cell r="A2014" t="str">
            <v>161612</v>
          </cell>
          <cell r="B2014" t="str">
            <v>Cravação MND - Navigator DE 50</v>
          </cell>
          <cell r="C2014" t="str">
            <v>m</v>
          </cell>
          <cell r="D2014">
            <v>0</v>
          </cell>
          <cell r="F2014">
            <v>0</v>
          </cell>
        </row>
        <row r="2015">
          <cell r="A2015" t="str">
            <v>161613</v>
          </cell>
          <cell r="B2015" t="str">
            <v>Cravação MND - Navigator DE 63</v>
          </cell>
          <cell r="C2015" t="str">
            <v>m</v>
          </cell>
          <cell r="D2015">
            <v>0</v>
          </cell>
          <cell r="F2015">
            <v>0</v>
          </cell>
        </row>
        <row r="2016">
          <cell r="A2016" t="str">
            <v>1617</v>
          </cell>
          <cell r="B2016" t="str">
            <v>CRAVAÇÃO MND - TUNNEL LINER</v>
          </cell>
        </row>
        <row r="2017">
          <cell r="A2017" t="str">
            <v>161701</v>
          </cell>
          <cell r="B2017" t="str">
            <v>Cravação MND - Tunnel Liner diam. 1200</v>
          </cell>
          <cell r="C2017" t="str">
            <v>m</v>
          </cell>
          <cell r="D2017">
            <v>0</v>
          </cell>
          <cell r="F2017">
            <v>0</v>
          </cell>
        </row>
        <row r="2018">
          <cell r="A2018" t="str">
            <v>161702</v>
          </cell>
          <cell r="B2018" t="str">
            <v>Cravação MND - Tunnel Liner diam. 1400</v>
          </cell>
          <cell r="C2018" t="str">
            <v>m</v>
          </cell>
          <cell r="D2018">
            <v>0</v>
          </cell>
          <cell r="F2018">
            <v>0</v>
          </cell>
        </row>
        <row r="2019">
          <cell r="A2019" t="str">
            <v>161703</v>
          </cell>
          <cell r="B2019" t="str">
            <v>Cravação MND - Tunnel Liner diam. 1600</v>
          </cell>
          <cell r="C2019" t="str">
            <v>m</v>
          </cell>
          <cell r="D2019">
            <v>0</v>
          </cell>
          <cell r="F2019">
            <v>0</v>
          </cell>
        </row>
        <row r="2020">
          <cell r="A2020" t="str">
            <v>161704</v>
          </cell>
          <cell r="B2020" t="str">
            <v>Cravação MND - Tunnel Liner diam. 1800</v>
          </cell>
          <cell r="C2020" t="str">
            <v>m</v>
          </cell>
          <cell r="D2020">
            <v>0</v>
          </cell>
          <cell r="F2020">
            <v>0</v>
          </cell>
        </row>
        <row r="2021">
          <cell r="A2021" t="str">
            <v>161705</v>
          </cell>
          <cell r="B2021" t="str">
            <v>Cravação MND - Tunnel Liner diam. 2000</v>
          </cell>
          <cell r="C2021" t="str">
            <v>m</v>
          </cell>
          <cell r="D2021">
            <v>0</v>
          </cell>
          <cell r="F2021">
            <v>0</v>
          </cell>
        </row>
        <row r="2022">
          <cell r="A2022" t="str">
            <v>1618</v>
          </cell>
          <cell r="B2022" t="str">
            <v>CRAVAÇÃO MND - MICROTÚNEL</v>
          </cell>
        </row>
        <row r="2023">
          <cell r="A2023" t="str">
            <v>161801</v>
          </cell>
          <cell r="B2023" t="str">
            <v>Cravação MND - Microtúnel DN 600</v>
          </cell>
          <cell r="C2023" t="str">
            <v>m</v>
          </cell>
          <cell r="D2023">
            <v>0</v>
          </cell>
          <cell r="F2023">
            <v>0</v>
          </cell>
        </row>
        <row r="2024">
          <cell r="A2024" t="str">
            <v>161802</v>
          </cell>
          <cell r="B2024" t="str">
            <v>Cravação MND - Microtúnel DN 800</v>
          </cell>
          <cell r="C2024" t="str">
            <v>m</v>
          </cell>
          <cell r="D2024">
            <v>0</v>
          </cell>
          <cell r="F2024">
            <v>0</v>
          </cell>
        </row>
        <row r="2025">
          <cell r="A2025" t="str">
            <v>161803</v>
          </cell>
          <cell r="B2025" t="str">
            <v>Cravação MND - Microtúnel DN 1000</v>
          </cell>
          <cell r="C2025" t="str">
            <v>m</v>
          </cell>
          <cell r="D2025">
            <v>0</v>
          </cell>
          <cell r="F2025">
            <v>0</v>
          </cell>
        </row>
        <row r="2026">
          <cell r="A2026" t="str">
            <v>161804</v>
          </cell>
          <cell r="B2026" t="str">
            <v>Cravação MND - Microtúnel DN 1200</v>
          </cell>
          <cell r="C2026" t="str">
            <v>m</v>
          </cell>
          <cell r="D2026">
            <v>0</v>
          </cell>
          <cell r="F2026">
            <v>0</v>
          </cell>
        </row>
        <row r="2027">
          <cell r="A2027" t="str">
            <v>1619</v>
          </cell>
          <cell r="B2027" t="str">
            <v>TRANSPORTE DE MATERIAIS</v>
          </cell>
        </row>
        <row r="2028">
          <cell r="A2028" t="str">
            <v>161901</v>
          </cell>
          <cell r="B2028" t="str">
            <v>Carga e descarga</v>
          </cell>
          <cell r="C2028" t="str">
            <v>t</v>
          </cell>
          <cell r="D2028">
            <v>10.23</v>
          </cell>
          <cell r="E2028">
            <v>0</v>
          </cell>
          <cell r="F2028">
            <v>10.23</v>
          </cell>
          <cell r="G2028">
            <v>72850</v>
          </cell>
        </row>
        <row r="2029">
          <cell r="A2029" t="str">
            <v>161902</v>
          </cell>
          <cell r="B2029" t="str">
            <v>Transporte rodoviário</v>
          </cell>
          <cell r="C2029" t="str">
            <v>txkm</v>
          </cell>
          <cell r="D2029">
            <v>0.54</v>
          </cell>
          <cell r="E2029">
            <v>0</v>
          </cell>
          <cell r="F2029">
            <v>0.54</v>
          </cell>
          <cell r="G2029">
            <v>72840</v>
          </cell>
        </row>
        <row r="2030">
          <cell r="A2030" t="str">
            <v>161903</v>
          </cell>
          <cell r="B2030" t="str">
            <v>Transporte local - rua pavimentada</v>
          </cell>
          <cell r="C2030" t="str">
            <v>txkm</v>
          </cell>
          <cell r="D2030">
            <v>0.54</v>
          </cell>
          <cell r="E2030">
            <v>0</v>
          </cell>
          <cell r="F2030">
            <v>0.54</v>
          </cell>
          <cell r="G2030">
            <v>72840</v>
          </cell>
        </row>
        <row r="2031">
          <cell r="A2031" t="str">
            <v>161904</v>
          </cell>
          <cell r="B2031" t="str">
            <v>Transporte local - rua não pavimentada</v>
          </cell>
          <cell r="C2031" t="str">
            <v>txkm</v>
          </cell>
          <cell r="D2031">
            <v>0.65</v>
          </cell>
          <cell r="E2031">
            <v>0</v>
          </cell>
          <cell r="F2031">
            <v>0.65</v>
          </cell>
          <cell r="G2031">
            <v>72839</v>
          </cell>
        </row>
        <row r="2032">
          <cell r="A2032" t="str">
            <v>161905</v>
          </cell>
          <cell r="B2032" t="str">
            <v>Transporte local - caminho de serviço</v>
          </cell>
          <cell r="C2032" t="str">
            <v>txkm</v>
          </cell>
          <cell r="D2032">
            <v>0.81</v>
          </cell>
          <cell r="E2032">
            <v>0</v>
          </cell>
          <cell r="F2032">
            <v>0.81</v>
          </cell>
          <cell r="G2032">
            <v>72838</v>
          </cell>
        </row>
        <row r="2033">
          <cell r="A2033" t="str">
            <v>1620</v>
          </cell>
          <cell r="B2033" t="str">
            <v>LIMPEZA DE OBRA</v>
          </cell>
        </row>
        <row r="2034">
          <cell r="A2034" t="str">
            <v>162001</v>
          </cell>
          <cell r="B2034" t="str">
            <v>Obra linear - raspagem e varrição</v>
          </cell>
          <cell r="C2034" t="str">
            <v>m</v>
          </cell>
          <cell r="D2034">
            <v>1.23</v>
          </cell>
          <cell r="E2034">
            <v>0</v>
          </cell>
          <cell r="F2034">
            <v>1.23</v>
          </cell>
        </row>
        <row r="2035">
          <cell r="A2035" t="str">
            <v>162002</v>
          </cell>
          <cell r="B2035" t="str">
            <v>Obra linear - lavagem</v>
          </cell>
          <cell r="C2035" t="str">
            <v>m</v>
          </cell>
          <cell r="D2035">
            <v>0.41</v>
          </cell>
          <cell r="E2035">
            <v>0</v>
          </cell>
          <cell r="F2035">
            <v>0.41</v>
          </cell>
        </row>
        <row r="2036">
          <cell r="A2036" t="str">
            <v>162003</v>
          </cell>
          <cell r="B2036" t="str">
            <v>Obra localizada</v>
          </cell>
          <cell r="C2036" t="str">
            <v>m2</v>
          </cell>
          <cell r="D2036">
            <v>2.34</v>
          </cell>
          <cell r="E2036">
            <v>0.12</v>
          </cell>
          <cell r="F2036">
            <v>2.46</v>
          </cell>
          <cell r="G2036">
            <v>9537</v>
          </cell>
        </row>
        <row r="2037">
          <cell r="A2037" t="str">
            <v>162004</v>
          </cell>
          <cell r="B2037" t="str">
            <v>Lavagem de rede de esgoto</v>
          </cell>
          <cell r="C2037" t="str">
            <v>m</v>
          </cell>
          <cell r="D2037">
            <v>1.1399999999999999</v>
          </cell>
          <cell r="E2037">
            <v>0.17</v>
          </cell>
          <cell r="F2037">
            <v>1.31</v>
          </cell>
        </row>
        <row r="2038">
          <cell r="A2038" t="str">
            <v>1621</v>
          </cell>
          <cell r="B2038" t="str">
            <v>MÃO DE OBRA</v>
          </cell>
        </row>
        <row r="2039">
          <cell r="A2039" t="str">
            <v>162101</v>
          </cell>
          <cell r="B2039" t="str">
            <v>Servente</v>
          </cell>
          <cell r="C2039" t="str">
            <v>h</v>
          </cell>
          <cell r="D2039">
            <v>16.45</v>
          </cell>
          <cell r="E2039">
            <v>0</v>
          </cell>
          <cell r="F2039">
            <v>16.45</v>
          </cell>
          <cell r="G2039">
            <v>88316</v>
          </cell>
        </row>
        <row r="2040">
          <cell r="A2040" t="str">
            <v>162102</v>
          </cell>
          <cell r="B2040" t="str">
            <v>Meio profissional</v>
          </cell>
          <cell r="C2040" t="str">
            <v>h</v>
          </cell>
          <cell r="D2040">
            <v>16.399999999999999</v>
          </cell>
          <cell r="E2040">
            <v>0</v>
          </cell>
          <cell r="F2040">
            <v>16.399999999999999</v>
          </cell>
          <cell r="G2040">
            <v>88242</v>
          </cell>
        </row>
        <row r="2041">
          <cell r="A2041" t="str">
            <v>162103</v>
          </cell>
          <cell r="B2041" t="str">
            <v>Profissional</v>
          </cell>
          <cell r="C2041" t="str">
            <v>h</v>
          </cell>
          <cell r="D2041">
            <v>21.04</v>
          </cell>
          <cell r="E2041">
            <v>0</v>
          </cell>
          <cell r="F2041">
            <v>21.04</v>
          </cell>
          <cell r="G2041">
            <v>88309</v>
          </cell>
        </row>
        <row r="2042">
          <cell r="A2042" t="str">
            <v>1622</v>
          </cell>
          <cell r="B2042" t="str">
            <v>EQUIPAMENTO - HORA PRODUTIVA E IMPRODUTIVA</v>
          </cell>
        </row>
        <row r="2043">
          <cell r="A2043" t="str">
            <v>162201</v>
          </cell>
          <cell r="B2043" t="str">
            <v>Retroescavadeira - hora produtiva</v>
          </cell>
          <cell r="C2043" t="str">
            <v>h</v>
          </cell>
          <cell r="D2043">
            <v>85.73</v>
          </cell>
          <cell r="E2043">
            <v>0</v>
          </cell>
          <cell r="F2043">
            <v>85.73</v>
          </cell>
          <cell r="G2043">
            <v>5680</v>
          </cell>
        </row>
        <row r="2044">
          <cell r="A2044" t="str">
            <v>162202</v>
          </cell>
          <cell r="B2044" t="str">
            <v>Retroescavadeira - hora improdutiva</v>
          </cell>
          <cell r="C2044" t="str">
            <v>h</v>
          </cell>
          <cell r="D2044">
            <v>35.08</v>
          </cell>
          <cell r="E2044">
            <v>0</v>
          </cell>
          <cell r="F2044">
            <v>35.08</v>
          </cell>
          <cell r="G2044">
            <v>5681</v>
          </cell>
        </row>
        <row r="2045">
          <cell r="A2045" t="str">
            <v>162203</v>
          </cell>
          <cell r="B2045" t="str">
            <v>Escavadeira hidráulica - hora produtiva</v>
          </cell>
          <cell r="C2045" t="str">
            <v>h</v>
          </cell>
          <cell r="D2045">
            <v>126.75</v>
          </cell>
          <cell r="E2045">
            <v>0</v>
          </cell>
          <cell r="F2045">
            <v>126.75</v>
          </cell>
          <cell r="G2045">
            <v>5631</v>
          </cell>
        </row>
        <row r="2046">
          <cell r="A2046" t="str">
            <v>162204</v>
          </cell>
          <cell r="B2046" t="str">
            <v>Escavadeira hidráulica - hora improdutiva</v>
          </cell>
          <cell r="C2046" t="str">
            <v>h</v>
          </cell>
          <cell r="D2046">
            <v>48.68</v>
          </cell>
          <cell r="E2046">
            <v>0</v>
          </cell>
          <cell r="F2046">
            <v>48.68</v>
          </cell>
          <cell r="G2046">
            <v>84013</v>
          </cell>
        </row>
        <row r="2047">
          <cell r="A2047" t="str">
            <v>162205</v>
          </cell>
          <cell r="B2047" t="str">
            <v>Caminhonete - hora produtiva</v>
          </cell>
          <cell r="C2047" t="str">
            <v>h</v>
          </cell>
          <cell r="D2047">
            <v>52.99</v>
          </cell>
          <cell r="E2047">
            <v>0</v>
          </cell>
          <cell r="F2047">
            <v>52.99</v>
          </cell>
          <cell r="G2047">
            <v>7012</v>
          </cell>
        </row>
        <row r="2048">
          <cell r="A2048" t="str">
            <v>162206</v>
          </cell>
          <cell r="B2048" t="str">
            <v>Caminhonete - hora improdutiva</v>
          </cell>
          <cell r="C2048" t="str">
            <v>h</v>
          </cell>
          <cell r="D2048">
            <v>23.29</v>
          </cell>
          <cell r="E2048">
            <v>0</v>
          </cell>
          <cell r="F2048">
            <v>23.29</v>
          </cell>
        </row>
        <row r="2049">
          <cell r="A2049" t="str">
            <v>162207</v>
          </cell>
          <cell r="B2049" t="str">
            <v>Caminhão munck - hora produtiva</v>
          </cell>
          <cell r="C2049" t="str">
            <v>h</v>
          </cell>
          <cell r="D2049">
            <v>127.44</v>
          </cell>
          <cell r="E2049">
            <v>0</v>
          </cell>
          <cell r="F2049">
            <v>127.44</v>
          </cell>
          <cell r="G2049">
            <v>93402</v>
          </cell>
        </row>
        <row r="2050">
          <cell r="A2050" t="str">
            <v>162208</v>
          </cell>
          <cell r="B2050" t="str">
            <v>Caminhão munck - hora improdutiva</v>
          </cell>
          <cell r="C2050" t="str">
            <v>h</v>
          </cell>
          <cell r="D2050">
            <v>31.52</v>
          </cell>
          <cell r="E2050">
            <v>0</v>
          </cell>
          <cell r="F2050">
            <v>31.52</v>
          </cell>
          <cell r="G2050">
            <v>93403</v>
          </cell>
        </row>
        <row r="2051">
          <cell r="A2051" t="str">
            <v>162209</v>
          </cell>
          <cell r="B2051" t="str">
            <v>Caminhão carroceria 10 t - hora produtiva</v>
          </cell>
          <cell r="C2051" t="str">
            <v>h</v>
          </cell>
          <cell r="D2051">
            <v>121.43</v>
          </cell>
          <cell r="E2051">
            <v>0</v>
          </cell>
          <cell r="F2051">
            <v>121.43</v>
          </cell>
          <cell r="G2051">
            <v>5824</v>
          </cell>
        </row>
        <row r="2052">
          <cell r="A2052" t="str">
            <v>162210</v>
          </cell>
          <cell r="B2052" t="str">
            <v>Caminhão carroceria 10 t - hora improdutiva</v>
          </cell>
          <cell r="C2052" t="str">
            <v>h</v>
          </cell>
          <cell r="D2052">
            <v>27.61</v>
          </cell>
          <cell r="E2052">
            <v>0</v>
          </cell>
          <cell r="F2052">
            <v>27.61</v>
          </cell>
          <cell r="G2052">
            <v>5826</v>
          </cell>
        </row>
        <row r="2053">
          <cell r="A2053" t="str">
            <v>162211</v>
          </cell>
          <cell r="B2053" t="str">
            <v>Caminhão basculante 8 m³ - hora produtiva</v>
          </cell>
          <cell r="C2053" t="str">
            <v>h</v>
          </cell>
          <cell r="D2053">
            <v>131.06</v>
          </cell>
          <cell r="E2053">
            <v>0</v>
          </cell>
          <cell r="F2053">
            <v>131.06</v>
          </cell>
          <cell r="G2053">
            <v>67826</v>
          </cell>
        </row>
        <row r="2054">
          <cell r="A2054" t="str">
            <v>162212</v>
          </cell>
          <cell r="B2054" t="str">
            <v>Caminhão basculante 8 m³ - hora improdutiva</v>
          </cell>
          <cell r="C2054" t="str">
            <v>h</v>
          </cell>
          <cell r="D2054">
            <v>32.57</v>
          </cell>
          <cell r="E2054">
            <v>0</v>
          </cell>
          <cell r="F2054">
            <v>32.57</v>
          </cell>
          <cell r="G2054">
            <v>5961</v>
          </cell>
        </row>
        <row r="2055">
          <cell r="A2055" t="str">
            <v>162213</v>
          </cell>
          <cell r="B2055" t="str">
            <v>Caminhão pipa até 10 m3 - hora produtiva</v>
          </cell>
          <cell r="C2055" t="str">
            <v>h</v>
          </cell>
          <cell r="D2055">
            <v>126.61</v>
          </cell>
          <cell r="E2055">
            <v>0</v>
          </cell>
          <cell r="F2055">
            <v>126.61</v>
          </cell>
        </row>
        <row r="2056">
          <cell r="A2056" t="str">
            <v>162214</v>
          </cell>
          <cell r="B2056" t="str">
            <v>Caminhão pipa até 10 m3 - hora improdutiva</v>
          </cell>
          <cell r="C2056" t="str">
            <v>h</v>
          </cell>
          <cell r="D2056">
            <v>29.89</v>
          </cell>
          <cell r="E2056">
            <v>0</v>
          </cell>
          <cell r="F2056">
            <v>29.89</v>
          </cell>
        </row>
        <row r="2057">
          <cell r="A2057" t="str">
            <v>17</v>
          </cell>
          <cell r="B2057" t="str">
            <v>LIGAÇÕES PREDIAIS</v>
          </cell>
        </row>
        <row r="2058">
          <cell r="A2058" t="str">
            <v>1701</v>
          </cell>
          <cell r="B2058" t="str">
            <v>EXECUÇÃO DE LIGAÇÃO PREDIAL DE ÁGUA 3/4" - REDE PVC OU FD</v>
          </cell>
        </row>
        <row r="2059">
          <cell r="A2059" t="str">
            <v>170101</v>
          </cell>
          <cell r="B2059" t="str">
            <v>No passeio sem pavimento</v>
          </cell>
          <cell r="C2059" t="str">
            <v>ud</v>
          </cell>
          <cell r="D2059">
            <v>66.55</v>
          </cell>
          <cell r="E2059">
            <v>7.0000000000000007E-2</v>
          </cell>
          <cell r="F2059">
            <v>66.62</v>
          </cell>
        </row>
        <row r="2060">
          <cell r="A2060" t="str">
            <v>170102</v>
          </cell>
          <cell r="B2060" t="str">
            <v>No passeio pavimentado</v>
          </cell>
          <cell r="C2060" t="str">
            <v>ud</v>
          </cell>
          <cell r="D2060">
            <v>94.05</v>
          </cell>
          <cell r="E2060">
            <v>13.26</v>
          </cell>
          <cell r="F2060">
            <v>107.31</v>
          </cell>
        </row>
        <row r="2061">
          <cell r="A2061" t="str">
            <v>170103</v>
          </cell>
          <cell r="B2061" t="str">
            <v>Na rua, passeio e rua sem pavimento</v>
          </cell>
          <cell r="C2061" t="str">
            <v>ud</v>
          </cell>
          <cell r="D2061">
            <v>245.22</v>
          </cell>
          <cell r="E2061">
            <v>7.0000000000000007E-2</v>
          </cell>
          <cell r="F2061">
            <v>245.29</v>
          </cell>
        </row>
        <row r="2062">
          <cell r="A2062" t="str">
            <v>170104</v>
          </cell>
          <cell r="B2062" t="str">
            <v xml:space="preserve">Na rua, passeio sem pavimento e rua pavimentada </v>
          </cell>
          <cell r="C2062" t="str">
            <v>ud</v>
          </cell>
          <cell r="D2062">
            <v>279.17</v>
          </cell>
          <cell r="E2062">
            <v>13.52</v>
          </cell>
          <cell r="F2062">
            <v>292.69</v>
          </cell>
        </row>
        <row r="2063">
          <cell r="A2063" t="str">
            <v>170105</v>
          </cell>
          <cell r="B2063" t="str">
            <v>Na rua, passeio pavimentado e rua sem pavimento</v>
          </cell>
          <cell r="C2063" t="str">
            <v>ud</v>
          </cell>
          <cell r="D2063">
            <v>327.38</v>
          </cell>
          <cell r="E2063">
            <v>39.47</v>
          </cell>
          <cell r="F2063">
            <v>366.85</v>
          </cell>
        </row>
        <row r="2064">
          <cell r="A2064" t="str">
            <v>170106</v>
          </cell>
          <cell r="B2064" t="str">
            <v>Na rua, passeio e rua pavimentados</v>
          </cell>
          <cell r="C2064" t="str">
            <v>ud</v>
          </cell>
          <cell r="D2064">
            <v>361.34</v>
          </cell>
          <cell r="E2064">
            <v>52.92</v>
          </cell>
          <cell r="F2064">
            <v>414.26</v>
          </cell>
        </row>
        <row r="2065">
          <cell r="A2065" t="str">
            <v>170107</v>
          </cell>
          <cell r="B2065" t="str">
            <v>No outro lado da rua, passeio e rua sem pavimento</v>
          </cell>
          <cell r="C2065" t="str">
            <v>ud</v>
          </cell>
          <cell r="D2065">
            <v>344.28</v>
          </cell>
          <cell r="E2065">
            <v>7.0000000000000007E-2</v>
          </cell>
          <cell r="F2065">
            <v>344.35</v>
          </cell>
        </row>
        <row r="2066">
          <cell r="A2066" t="str">
            <v>170108</v>
          </cell>
          <cell r="B2066" t="str">
            <v>No outro lado da rua, passeio sem pavimento e rua pavimentada</v>
          </cell>
          <cell r="C2066" t="str">
            <v>ud</v>
          </cell>
          <cell r="D2066">
            <v>374.96</v>
          </cell>
          <cell r="E2066">
            <v>12.22</v>
          </cell>
          <cell r="F2066">
            <v>387.18</v>
          </cell>
        </row>
        <row r="2067">
          <cell r="A2067" t="str">
            <v>170109</v>
          </cell>
          <cell r="B2067" t="str">
            <v>No outro lado da rua, passeio pavimentado e rua sem pavimento</v>
          </cell>
          <cell r="C2067" t="str">
            <v>ud</v>
          </cell>
          <cell r="D2067">
            <v>519.84</v>
          </cell>
          <cell r="E2067">
            <v>84.28</v>
          </cell>
          <cell r="F2067">
            <v>604.12</v>
          </cell>
        </row>
        <row r="2068">
          <cell r="A2068" t="str">
            <v>170110</v>
          </cell>
          <cell r="B2068" t="str">
            <v>No outro lado da rua, passeio e rua pavimentados</v>
          </cell>
          <cell r="C2068" t="str">
            <v>ud</v>
          </cell>
          <cell r="D2068">
            <v>550.52</v>
          </cell>
          <cell r="E2068">
            <v>96.43</v>
          </cell>
          <cell r="F2068">
            <v>646.95000000000005</v>
          </cell>
        </row>
        <row r="2069">
          <cell r="A2069" t="str">
            <v>1702</v>
          </cell>
          <cell r="B2069" t="str">
            <v>EXECUÇÃO DE LIGAÇÃO PREDIAL DE ÁGUA 3/4" - REDE PEAD</v>
          </cell>
        </row>
        <row r="2070">
          <cell r="A2070" t="str">
            <v>170201</v>
          </cell>
          <cell r="B2070" t="str">
            <v>No passeio sem pavimento</v>
          </cell>
          <cell r="C2070" t="str">
            <v>ud</v>
          </cell>
          <cell r="D2070">
            <v>103.72</v>
          </cell>
          <cell r="E2070">
            <v>7.0000000000000007E-2</v>
          </cell>
          <cell r="F2070">
            <v>103.79</v>
          </cell>
        </row>
        <row r="2071">
          <cell r="A2071" t="str">
            <v>170202</v>
          </cell>
          <cell r="B2071" t="str">
            <v>No passeio pavimentado</v>
          </cell>
          <cell r="C2071" t="str">
            <v>ud</v>
          </cell>
          <cell r="D2071">
            <v>131.22</v>
          </cell>
          <cell r="E2071">
            <v>13.26</v>
          </cell>
          <cell r="F2071">
            <v>144.47999999999999</v>
          </cell>
        </row>
        <row r="2072">
          <cell r="A2072" t="str">
            <v>170203</v>
          </cell>
          <cell r="B2072" t="str">
            <v>Na rua, passeio e rua sem pavimento</v>
          </cell>
          <cell r="C2072" t="str">
            <v>ud</v>
          </cell>
          <cell r="D2072">
            <v>282.39</v>
          </cell>
          <cell r="E2072">
            <v>7.0000000000000007E-2</v>
          </cell>
          <cell r="F2072">
            <v>282.45999999999998</v>
          </cell>
        </row>
        <row r="2073">
          <cell r="A2073" t="str">
            <v>170204</v>
          </cell>
          <cell r="B2073" t="str">
            <v>Na rua, passeio sem pavimento e rua pavimentada</v>
          </cell>
          <cell r="C2073" t="str">
            <v>ud</v>
          </cell>
          <cell r="D2073">
            <v>316.33999999999997</v>
          </cell>
          <cell r="E2073">
            <v>13.52</v>
          </cell>
          <cell r="F2073">
            <v>329.86</v>
          </cell>
        </row>
        <row r="2074">
          <cell r="A2074" t="str">
            <v>170205</v>
          </cell>
          <cell r="B2074" t="str">
            <v>Na rua, passeio pavimentado e rua sem pavimento</v>
          </cell>
          <cell r="C2074" t="str">
            <v>ud</v>
          </cell>
          <cell r="D2074">
            <v>364.55</v>
          </cell>
          <cell r="E2074">
            <v>39.47</v>
          </cell>
          <cell r="F2074">
            <v>404.02</v>
          </cell>
        </row>
        <row r="2075">
          <cell r="A2075" t="str">
            <v>170206</v>
          </cell>
          <cell r="B2075" t="str">
            <v>Na rua, passeio e rua pavimentados</v>
          </cell>
          <cell r="C2075" t="str">
            <v>ud</v>
          </cell>
          <cell r="D2075">
            <v>398.51</v>
          </cell>
          <cell r="E2075">
            <v>52.92</v>
          </cell>
          <cell r="F2075">
            <v>451.43</v>
          </cell>
        </row>
        <row r="2076">
          <cell r="A2076" t="str">
            <v>170207</v>
          </cell>
          <cell r="B2076" t="str">
            <v>No outro lado da rua, passeio e rua sem pavimento</v>
          </cell>
          <cell r="C2076" t="str">
            <v>ud</v>
          </cell>
          <cell r="D2076">
            <v>380.77</v>
          </cell>
          <cell r="E2076">
            <v>0.43</v>
          </cell>
          <cell r="F2076">
            <v>381.2</v>
          </cell>
        </row>
        <row r="2077">
          <cell r="A2077" t="str">
            <v>170208</v>
          </cell>
          <cell r="B2077" t="str">
            <v>No outro lado da rua, passeio sem pavimento e rua pavimentada</v>
          </cell>
          <cell r="C2077" t="str">
            <v>ud</v>
          </cell>
          <cell r="D2077">
            <v>411.45</v>
          </cell>
          <cell r="E2077">
            <v>12.58</v>
          </cell>
          <cell r="F2077">
            <v>424.03</v>
          </cell>
        </row>
        <row r="2078">
          <cell r="A2078" t="str">
            <v>170209</v>
          </cell>
          <cell r="B2078" t="str">
            <v>No outro lado da rua, passeio pavimentado e rua sem pavimento</v>
          </cell>
          <cell r="C2078" t="str">
            <v>ud</v>
          </cell>
          <cell r="D2078">
            <v>556.33000000000004</v>
          </cell>
          <cell r="E2078">
            <v>84.64</v>
          </cell>
          <cell r="F2078">
            <v>640.97</v>
          </cell>
        </row>
        <row r="2079">
          <cell r="A2079" t="str">
            <v>170210</v>
          </cell>
          <cell r="B2079" t="str">
            <v>No outro lado da rua, passeio e rua pavimentados</v>
          </cell>
          <cell r="C2079" t="str">
            <v>ud</v>
          </cell>
          <cell r="D2079">
            <v>587.01</v>
          </cell>
          <cell r="E2079">
            <v>96.79</v>
          </cell>
          <cell r="F2079">
            <v>683.8</v>
          </cell>
        </row>
        <row r="2080">
          <cell r="A2080" t="str">
            <v>1703</v>
          </cell>
          <cell r="B2080" t="str">
            <v>INSTALAÇÃO DE CAIXA DE PROTEÇÃO DE HIDRÔMETRO - CPH</v>
          </cell>
        </row>
        <row r="2081">
          <cell r="A2081" t="str">
            <v>170301</v>
          </cell>
          <cell r="B2081" t="str">
            <v>Instalação de CPH</v>
          </cell>
          <cell r="C2081" t="str">
            <v>ud</v>
          </cell>
          <cell r="D2081">
            <v>81.59</v>
          </cell>
          <cell r="E2081">
            <v>8.44</v>
          </cell>
          <cell r="F2081">
            <v>90.03</v>
          </cell>
        </row>
        <row r="2082">
          <cell r="A2082" t="str">
            <v>1704</v>
          </cell>
          <cell r="B2082" t="str">
            <v>FORNECIMENTO DE MATERIAIS P/ LIGAÇÃO PREDIAL DE ÁGUA 3/4" - REDE ATÉ 40 mm</v>
          </cell>
        </row>
        <row r="2083">
          <cell r="A2083" t="str">
            <v>170401</v>
          </cell>
          <cell r="B2083" t="str">
            <v>Cavalete 3/4", rede PVC no passeio</v>
          </cell>
          <cell r="C2083" t="str">
            <v>ud</v>
          </cell>
          <cell r="D2083">
            <v>0</v>
          </cell>
          <cell r="E2083">
            <v>93.37</v>
          </cell>
          <cell r="F2083">
            <v>93.37</v>
          </cell>
        </row>
        <row r="2084">
          <cell r="A2084" t="str">
            <v>170402</v>
          </cell>
          <cell r="B2084" t="str">
            <v>Cavalete 3/4", rede PVC na rua</v>
          </cell>
          <cell r="C2084" t="str">
            <v>ud</v>
          </cell>
          <cell r="D2084">
            <v>0</v>
          </cell>
          <cell r="E2084">
            <v>120.34</v>
          </cell>
          <cell r="F2084">
            <v>120.34</v>
          </cell>
        </row>
        <row r="2085">
          <cell r="A2085" t="str">
            <v>170403</v>
          </cell>
          <cell r="B2085" t="str">
            <v>Cavalete 3/4", rede PVC no outro lado da rua</v>
          </cell>
          <cell r="C2085" t="str">
            <v>ud</v>
          </cell>
          <cell r="D2085">
            <v>0</v>
          </cell>
          <cell r="E2085">
            <v>147.32</v>
          </cell>
          <cell r="F2085">
            <v>147.32</v>
          </cell>
        </row>
        <row r="2086">
          <cell r="A2086" t="str">
            <v>170404</v>
          </cell>
          <cell r="B2086" t="str">
            <v>UMC 3/4" bloco, rede PVC no passeio</v>
          </cell>
          <cell r="C2086" t="str">
            <v>ud</v>
          </cell>
          <cell r="D2086">
            <v>0</v>
          </cell>
          <cell r="E2086">
            <v>79.540000000000006</v>
          </cell>
          <cell r="F2086">
            <v>79.540000000000006</v>
          </cell>
        </row>
        <row r="2087">
          <cell r="A2087" t="str">
            <v>170405</v>
          </cell>
          <cell r="B2087" t="str">
            <v>UMC 3/4" bloco, rede PVC na rua</v>
          </cell>
          <cell r="C2087" t="str">
            <v>ud</v>
          </cell>
          <cell r="D2087">
            <v>0</v>
          </cell>
          <cell r="E2087">
            <v>106.51</v>
          </cell>
          <cell r="F2087">
            <v>106.51</v>
          </cell>
        </row>
        <row r="2088">
          <cell r="A2088" t="str">
            <v>170406</v>
          </cell>
          <cell r="B2088" t="str">
            <v>UMC 3/4" bloco, rede PVC no outro lado da rua</v>
          </cell>
          <cell r="C2088" t="str">
            <v>ud</v>
          </cell>
          <cell r="D2088">
            <v>0</v>
          </cell>
          <cell r="E2088">
            <v>133.49</v>
          </cell>
          <cell r="F2088">
            <v>133.49</v>
          </cell>
        </row>
        <row r="2089">
          <cell r="A2089" t="str">
            <v>170407</v>
          </cell>
          <cell r="B2089" t="str">
            <v>UMC 3/4" muro/parede, rede PVC no passeio</v>
          </cell>
          <cell r="C2089" t="str">
            <v>ud</v>
          </cell>
          <cell r="D2089">
            <v>0</v>
          </cell>
          <cell r="E2089">
            <v>71.540000000000006</v>
          </cell>
          <cell r="F2089">
            <v>71.540000000000006</v>
          </cell>
        </row>
        <row r="2090">
          <cell r="A2090" t="str">
            <v>170408</v>
          </cell>
          <cell r="B2090" t="str">
            <v>UMC 3/4" muro/parede, rede PVC na rua</v>
          </cell>
          <cell r="C2090" t="str">
            <v>ud</v>
          </cell>
          <cell r="D2090">
            <v>0</v>
          </cell>
          <cell r="E2090">
            <v>98.51</v>
          </cell>
          <cell r="F2090">
            <v>98.51</v>
          </cell>
        </row>
        <row r="2091">
          <cell r="A2091" t="str">
            <v>170409</v>
          </cell>
          <cell r="B2091" t="str">
            <v>UMC 3/4" muro/parede, rede PVC no outro lado da rua</v>
          </cell>
          <cell r="C2091" t="str">
            <v>ud</v>
          </cell>
          <cell r="D2091">
            <v>0</v>
          </cell>
          <cell r="E2091">
            <v>125.49</v>
          </cell>
          <cell r="F2091">
            <v>125.49</v>
          </cell>
        </row>
        <row r="2092">
          <cell r="A2092" t="str">
            <v>170410</v>
          </cell>
          <cell r="B2092" t="str">
            <v>Caixa subterrânea p/ HD 3/4", rede PVC no passeio</v>
          </cell>
          <cell r="C2092" t="str">
            <v>ud</v>
          </cell>
          <cell r="D2092">
            <v>0</v>
          </cell>
          <cell r="E2092">
            <v>61.2</v>
          </cell>
          <cell r="F2092">
            <v>61.2</v>
          </cell>
        </row>
        <row r="2093">
          <cell r="A2093" t="str">
            <v>170411</v>
          </cell>
          <cell r="B2093" t="str">
            <v>Caixa subterrânea p/ HD 3/4", rede PVC na rua</v>
          </cell>
          <cell r="C2093" t="str">
            <v>ud</v>
          </cell>
          <cell r="D2093">
            <v>0</v>
          </cell>
          <cell r="E2093">
            <v>88.17</v>
          </cell>
          <cell r="F2093">
            <v>88.17</v>
          </cell>
        </row>
        <row r="2094">
          <cell r="A2094" t="str">
            <v>170412</v>
          </cell>
          <cell r="B2094" t="str">
            <v>Caixa subterrânea p/ HD 3/4", rede PVC no outro lado da rua</v>
          </cell>
          <cell r="C2094" t="str">
            <v>ud</v>
          </cell>
          <cell r="D2094">
            <v>0</v>
          </cell>
          <cell r="E2094">
            <v>115.15</v>
          </cell>
          <cell r="F2094">
            <v>115.15</v>
          </cell>
        </row>
        <row r="2095">
          <cell r="A2095" t="str">
            <v>170413</v>
          </cell>
          <cell r="B2095" t="str">
            <v>Cavalete 3/4", rede PEAD no passeio</v>
          </cell>
          <cell r="C2095" t="str">
            <v>ud</v>
          </cell>
          <cell r="D2095">
            <v>0</v>
          </cell>
          <cell r="E2095">
            <v>147.25</v>
          </cell>
          <cell r="F2095">
            <v>147.25</v>
          </cell>
        </row>
        <row r="2096">
          <cell r="A2096" t="str">
            <v>170414</v>
          </cell>
          <cell r="B2096" t="str">
            <v>Cavalete 3/4", rede PEAD na rua</v>
          </cell>
          <cell r="C2096" t="str">
            <v>ud</v>
          </cell>
          <cell r="D2096">
            <v>0</v>
          </cell>
          <cell r="E2096">
            <v>174.22</v>
          </cell>
          <cell r="F2096">
            <v>174.22</v>
          </cell>
        </row>
        <row r="2097">
          <cell r="A2097" t="str">
            <v>170415</v>
          </cell>
          <cell r="B2097" t="str">
            <v>Cavalete 3/4", rede PEAD no outro lado da rua</v>
          </cell>
          <cell r="C2097" t="str">
            <v>ud</v>
          </cell>
          <cell r="D2097">
            <v>0</v>
          </cell>
          <cell r="E2097">
            <v>201.2</v>
          </cell>
          <cell r="F2097">
            <v>201.2</v>
          </cell>
        </row>
        <row r="2098">
          <cell r="A2098" t="str">
            <v>170416</v>
          </cell>
          <cell r="B2098" t="str">
            <v>UMC 3/4" bloco, rede PEAD no passeio</v>
          </cell>
          <cell r="C2098" t="str">
            <v>ud</v>
          </cell>
          <cell r="D2098">
            <v>0</v>
          </cell>
          <cell r="E2098">
            <v>133.41999999999999</v>
          </cell>
          <cell r="F2098">
            <v>133.41999999999999</v>
          </cell>
        </row>
        <row r="2099">
          <cell r="A2099" t="str">
            <v>170417</v>
          </cell>
          <cell r="B2099" t="str">
            <v>UMC 3/4" bloco, rede PEAD na rua</v>
          </cell>
          <cell r="C2099" t="str">
            <v>ud</v>
          </cell>
          <cell r="D2099">
            <v>0</v>
          </cell>
          <cell r="E2099">
            <v>160.38999999999999</v>
          </cell>
          <cell r="F2099">
            <v>160.38999999999999</v>
          </cell>
        </row>
        <row r="2100">
          <cell r="A2100" t="str">
            <v>170418</v>
          </cell>
          <cell r="B2100" t="str">
            <v>UMC 3/4" bloco, rede PEAD no outro lado da rua</v>
          </cell>
          <cell r="C2100" t="str">
            <v>ud</v>
          </cell>
          <cell r="D2100">
            <v>0</v>
          </cell>
          <cell r="E2100">
            <v>187.37</v>
          </cell>
          <cell r="F2100">
            <v>187.37</v>
          </cell>
        </row>
        <row r="2101">
          <cell r="A2101" t="str">
            <v>170419</v>
          </cell>
          <cell r="B2101" t="str">
            <v>UMC 3/4" muro/parede, rede PEAD no passeio</v>
          </cell>
          <cell r="C2101" t="str">
            <v>ud</v>
          </cell>
          <cell r="D2101">
            <v>0</v>
          </cell>
          <cell r="E2101">
            <v>125.42</v>
          </cell>
          <cell r="F2101">
            <v>125.42</v>
          </cell>
        </row>
        <row r="2102">
          <cell r="A2102" t="str">
            <v>170420</v>
          </cell>
          <cell r="B2102" t="str">
            <v>UMC 3/4" muro/parede, rede PEAD na rua</v>
          </cell>
          <cell r="C2102" t="str">
            <v>ud</v>
          </cell>
          <cell r="D2102">
            <v>0</v>
          </cell>
          <cell r="E2102">
            <v>152.38999999999999</v>
          </cell>
          <cell r="F2102">
            <v>152.38999999999999</v>
          </cell>
        </row>
        <row r="2103">
          <cell r="A2103" t="str">
            <v>170421</v>
          </cell>
          <cell r="B2103" t="str">
            <v>UMC 3/4" muro/parede, rede PEAD no outro lado da rua</v>
          </cell>
          <cell r="C2103" t="str">
            <v>ud</v>
          </cell>
          <cell r="D2103">
            <v>0</v>
          </cell>
          <cell r="E2103">
            <v>179.37</v>
          </cell>
          <cell r="F2103">
            <v>179.37</v>
          </cell>
        </row>
        <row r="2104">
          <cell r="A2104" t="str">
            <v>170422</v>
          </cell>
          <cell r="B2104" t="str">
            <v>Caixa subterrânea p/ HD 3/4", rede PEAD no passeio</v>
          </cell>
          <cell r="C2104" t="str">
            <v>ud</v>
          </cell>
          <cell r="D2104">
            <v>0</v>
          </cell>
          <cell r="E2104">
            <v>115.08</v>
          </cell>
          <cell r="F2104">
            <v>115.08</v>
          </cell>
        </row>
        <row r="2105">
          <cell r="A2105" t="str">
            <v>170423</v>
          </cell>
          <cell r="B2105" t="str">
            <v>Caixa subterrânea p/ HD 3/4", rede PEAD na rua</v>
          </cell>
          <cell r="C2105" t="str">
            <v>ud</v>
          </cell>
          <cell r="D2105">
            <v>0</v>
          </cell>
          <cell r="E2105">
            <v>142.05000000000001</v>
          </cell>
          <cell r="F2105">
            <v>142.05000000000001</v>
          </cell>
        </row>
        <row r="2106">
          <cell r="A2106" t="str">
            <v>170424</v>
          </cell>
          <cell r="B2106" t="str">
            <v>Caixa subterrânea p/ HD 3/4", rede PEAD no outro lado da rua</v>
          </cell>
          <cell r="C2106" t="str">
            <v>ud</v>
          </cell>
          <cell r="D2106">
            <v>0</v>
          </cell>
          <cell r="E2106">
            <v>169.03</v>
          </cell>
          <cell r="F2106">
            <v>169.03</v>
          </cell>
        </row>
        <row r="2107">
          <cell r="A2107" t="str">
            <v>1705</v>
          </cell>
          <cell r="B2107" t="str">
            <v>FORNECIMENTO DE MATERIAIS P/ LIGAÇÃO PREDIAL DE ÁGUA 3/4" - REDE 50 a 160 mm</v>
          </cell>
        </row>
        <row r="2108">
          <cell r="A2108" t="str">
            <v>170501</v>
          </cell>
          <cell r="B2108" t="str">
            <v>Cavalete 3/4", rede PVC no passeio</v>
          </cell>
          <cell r="C2108" t="str">
            <v>ud</v>
          </cell>
          <cell r="D2108">
            <v>0</v>
          </cell>
          <cell r="E2108">
            <v>104.48</v>
          </cell>
          <cell r="F2108">
            <v>104.48</v>
          </cell>
        </row>
        <row r="2109">
          <cell r="A2109" t="str">
            <v>170502</v>
          </cell>
          <cell r="B2109" t="str">
            <v>Cavalete 3/4", rede PVC na rua</v>
          </cell>
          <cell r="C2109" t="str">
            <v>ud</v>
          </cell>
          <cell r="D2109">
            <v>0</v>
          </cell>
          <cell r="E2109">
            <v>131.44999999999999</v>
          </cell>
          <cell r="F2109">
            <v>131.44999999999999</v>
          </cell>
        </row>
        <row r="2110">
          <cell r="A2110" t="str">
            <v>170503</v>
          </cell>
          <cell r="B2110" t="str">
            <v>Cavalete 3/4", rede PVC no outro lado da rua</v>
          </cell>
          <cell r="C2110" t="str">
            <v>ud</v>
          </cell>
          <cell r="D2110">
            <v>0</v>
          </cell>
          <cell r="E2110">
            <v>158.43</v>
          </cell>
          <cell r="F2110">
            <v>158.43</v>
          </cell>
        </row>
        <row r="2111">
          <cell r="A2111" t="str">
            <v>170504</v>
          </cell>
          <cell r="B2111" t="str">
            <v>UMC 3/4" bloco, rede PVC no passeio</v>
          </cell>
          <cell r="C2111" t="str">
            <v>ud</v>
          </cell>
          <cell r="D2111">
            <v>0</v>
          </cell>
          <cell r="E2111">
            <v>90.65</v>
          </cell>
          <cell r="F2111">
            <v>90.65</v>
          </cell>
        </row>
        <row r="2112">
          <cell r="A2112" t="str">
            <v>170505</v>
          </cell>
          <cell r="B2112" t="str">
            <v>UMC 3/4" bloco, rede PVC na rua</v>
          </cell>
          <cell r="C2112" t="str">
            <v>ud</v>
          </cell>
          <cell r="D2112">
            <v>0</v>
          </cell>
          <cell r="E2112">
            <v>117.62</v>
          </cell>
          <cell r="F2112">
            <v>117.62</v>
          </cell>
        </row>
        <row r="2113">
          <cell r="A2113" t="str">
            <v>170506</v>
          </cell>
          <cell r="B2113" t="str">
            <v>UMC 3/4" bloco, rede PVC no outro lado da rua</v>
          </cell>
          <cell r="C2113" t="str">
            <v>ud</v>
          </cell>
          <cell r="D2113">
            <v>0</v>
          </cell>
          <cell r="E2113">
            <v>144.6</v>
          </cell>
          <cell r="F2113">
            <v>144.6</v>
          </cell>
        </row>
        <row r="2114">
          <cell r="A2114" t="str">
            <v>170507</v>
          </cell>
          <cell r="B2114" t="str">
            <v>UMC 3/4" muro/parede, rede PVC no passeio</v>
          </cell>
          <cell r="C2114" t="str">
            <v>ud</v>
          </cell>
          <cell r="D2114">
            <v>0</v>
          </cell>
          <cell r="E2114">
            <v>82.65</v>
          </cell>
          <cell r="F2114">
            <v>82.65</v>
          </cell>
        </row>
        <row r="2115">
          <cell r="A2115" t="str">
            <v>170508</v>
          </cell>
          <cell r="B2115" t="str">
            <v>UMC 3/4" muro/parede, rede PVC na rua</v>
          </cell>
          <cell r="C2115" t="str">
            <v>ud</v>
          </cell>
          <cell r="D2115">
            <v>0</v>
          </cell>
          <cell r="E2115">
            <v>109.62</v>
          </cell>
          <cell r="F2115">
            <v>109.62</v>
          </cell>
        </row>
        <row r="2116">
          <cell r="A2116" t="str">
            <v>170509</v>
          </cell>
          <cell r="B2116" t="str">
            <v>UMC 3/4" muro/parede, rede PVC no outro lado da rua</v>
          </cell>
          <cell r="C2116" t="str">
            <v>ud</v>
          </cell>
          <cell r="D2116">
            <v>0</v>
          </cell>
          <cell r="E2116">
            <v>136.6</v>
          </cell>
          <cell r="F2116">
            <v>136.6</v>
          </cell>
        </row>
        <row r="2117">
          <cell r="A2117" t="str">
            <v>170510</v>
          </cell>
          <cell r="B2117" t="str">
            <v>Caixa subterrânea p/ HD 3/4", rede PVC no passeio</v>
          </cell>
          <cell r="C2117" t="str">
            <v>ud</v>
          </cell>
          <cell r="D2117">
            <v>0</v>
          </cell>
          <cell r="E2117">
            <v>72.31</v>
          </cell>
          <cell r="F2117">
            <v>72.31</v>
          </cell>
        </row>
        <row r="2118">
          <cell r="A2118" t="str">
            <v>170511</v>
          </cell>
          <cell r="B2118" t="str">
            <v>Caixa subterrânea p/ HD 3/4", rede PVC na rua</v>
          </cell>
          <cell r="C2118" t="str">
            <v>ud</v>
          </cell>
          <cell r="D2118">
            <v>0</v>
          </cell>
          <cell r="E2118">
            <v>99.28</v>
          </cell>
          <cell r="F2118">
            <v>99.28</v>
          </cell>
        </row>
        <row r="2119">
          <cell r="A2119" t="str">
            <v>170512</v>
          </cell>
          <cell r="B2119" t="str">
            <v>Caixa subterrânea p/ HD 3/4", rede PVC no outro lado da rua</v>
          </cell>
          <cell r="C2119" t="str">
            <v>ud</v>
          </cell>
          <cell r="D2119">
            <v>0</v>
          </cell>
          <cell r="E2119">
            <v>126.26</v>
          </cell>
          <cell r="F2119">
            <v>126.26</v>
          </cell>
        </row>
        <row r="2120">
          <cell r="A2120" t="str">
            <v>170513</v>
          </cell>
          <cell r="B2120" t="str">
            <v>Cavalete 3/4", rede FD no passeio</v>
          </cell>
          <cell r="C2120" t="str">
            <v>ud</v>
          </cell>
          <cell r="D2120">
            <v>0</v>
          </cell>
          <cell r="E2120">
            <v>136.71</v>
          </cell>
          <cell r="F2120">
            <v>136.71</v>
          </cell>
        </row>
        <row r="2121">
          <cell r="A2121" t="str">
            <v>170514</v>
          </cell>
          <cell r="B2121" t="str">
            <v>Cavalete 3/4", rede FD na rua</v>
          </cell>
          <cell r="C2121" t="str">
            <v>ud</v>
          </cell>
          <cell r="D2121">
            <v>0</v>
          </cell>
          <cell r="E2121">
            <v>163.68</v>
          </cell>
          <cell r="F2121">
            <v>163.68</v>
          </cell>
        </row>
        <row r="2122">
          <cell r="A2122" t="str">
            <v>170515</v>
          </cell>
          <cell r="B2122" t="str">
            <v>Cavalete 3/4", rede FD no outro lado da rua</v>
          </cell>
          <cell r="C2122" t="str">
            <v>ud</v>
          </cell>
          <cell r="D2122">
            <v>0</v>
          </cell>
          <cell r="E2122">
            <v>190.66</v>
          </cell>
          <cell r="F2122">
            <v>190.66</v>
          </cell>
        </row>
        <row r="2123">
          <cell r="A2123" t="str">
            <v>170516</v>
          </cell>
          <cell r="B2123" t="str">
            <v>UMC 3/4" bloco, rede FD no passeio</v>
          </cell>
          <cell r="C2123" t="str">
            <v>ud</v>
          </cell>
          <cell r="D2123">
            <v>0</v>
          </cell>
          <cell r="E2123">
            <v>122.88</v>
          </cell>
          <cell r="F2123">
            <v>122.88</v>
          </cell>
        </row>
        <row r="2124">
          <cell r="A2124" t="str">
            <v>170517</v>
          </cell>
          <cell r="B2124" t="str">
            <v>UMC 3/4" bloco, rede FD na rua</v>
          </cell>
          <cell r="C2124" t="str">
            <v>ud</v>
          </cell>
          <cell r="D2124">
            <v>0</v>
          </cell>
          <cell r="E2124">
            <v>149.85</v>
          </cell>
          <cell r="F2124">
            <v>149.85</v>
          </cell>
        </row>
        <row r="2125">
          <cell r="A2125" t="str">
            <v>170518</v>
          </cell>
          <cell r="B2125" t="str">
            <v>UMC 3/4" bloco, rede FD no outro lado da rua</v>
          </cell>
          <cell r="C2125" t="str">
            <v>ud</v>
          </cell>
          <cell r="D2125">
            <v>0</v>
          </cell>
          <cell r="E2125">
            <v>176.83</v>
          </cell>
          <cell r="F2125">
            <v>176.83</v>
          </cell>
        </row>
        <row r="2126">
          <cell r="A2126" t="str">
            <v>170519</v>
          </cell>
          <cell r="B2126" t="str">
            <v>UMC 3/4" muro/parede, rede FD no passeio</v>
          </cell>
          <cell r="C2126" t="str">
            <v>ud</v>
          </cell>
          <cell r="D2126">
            <v>0</v>
          </cell>
          <cell r="E2126">
            <v>114.88</v>
          </cell>
          <cell r="F2126">
            <v>114.88</v>
          </cell>
        </row>
        <row r="2127">
          <cell r="A2127" t="str">
            <v>170520</v>
          </cell>
          <cell r="B2127" t="str">
            <v>UMC 3/4" muro/parede, rede FD na rua</v>
          </cell>
          <cell r="C2127" t="str">
            <v>ud</v>
          </cell>
          <cell r="D2127">
            <v>0</v>
          </cell>
          <cell r="E2127">
            <v>141.85</v>
          </cell>
          <cell r="F2127">
            <v>141.85</v>
          </cell>
        </row>
        <row r="2128">
          <cell r="A2128" t="str">
            <v>170521</v>
          </cell>
          <cell r="B2128" t="str">
            <v>UMC 3/4" muro/parede, rede FD no outro lado da rua</v>
          </cell>
          <cell r="C2128" t="str">
            <v>ud</v>
          </cell>
          <cell r="D2128">
            <v>0</v>
          </cell>
          <cell r="E2128">
            <v>168.83</v>
          </cell>
          <cell r="F2128">
            <v>168.83</v>
          </cell>
        </row>
        <row r="2129">
          <cell r="A2129" t="str">
            <v>170522</v>
          </cell>
          <cell r="B2129" t="str">
            <v>Caixa subterrânea p/ HD 3/4", rede FD no passeio</v>
          </cell>
          <cell r="C2129" t="str">
            <v>ud</v>
          </cell>
          <cell r="D2129">
            <v>0</v>
          </cell>
          <cell r="E2129">
            <v>104.54</v>
          </cell>
          <cell r="F2129">
            <v>104.54</v>
          </cell>
        </row>
        <row r="2130">
          <cell r="A2130" t="str">
            <v>170523</v>
          </cell>
          <cell r="B2130" t="str">
            <v>Caixa subterrânea p/ HD 3/4", rede FD na rua</v>
          </cell>
          <cell r="C2130" t="str">
            <v>ud</v>
          </cell>
          <cell r="D2130">
            <v>0</v>
          </cell>
          <cell r="E2130">
            <v>131.51</v>
          </cell>
          <cell r="F2130">
            <v>131.51</v>
          </cell>
        </row>
        <row r="2131">
          <cell r="A2131" t="str">
            <v>170524</v>
          </cell>
          <cell r="B2131" t="str">
            <v>Caixa subterrânea p/ HD 3/4", rede FD no outro lado da rua</v>
          </cell>
          <cell r="C2131" t="str">
            <v>ud</v>
          </cell>
          <cell r="D2131">
            <v>0</v>
          </cell>
          <cell r="E2131">
            <v>158.49</v>
          </cell>
          <cell r="F2131">
            <v>158.49</v>
          </cell>
        </row>
        <row r="2132">
          <cell r="A2132" t="str">
            <v>170525</v>
          </cell>
          <cell r="B2132" t="str">
            <v>Cavalete 3/4", rede PEAD no passeio</v>
          </cell>
          <cell r="C2132" t="str">
            <v>ud</v>
          </cell>
          <cell r="D2132">
            <v>0</v>
          </cell>
          <cell r="E2132">
            <v>179.43</v>
          </cell>
          <cell r="F2132">
            <v>179.43</v>
          </cell>
        </row>
        <row r="2133">
          <cell r="A2133" t="str">
            <v>170526</v>
          </cell>
          <cell r="B2133" t="str">
            <v>Cavalete 3/4", rede PEAD na rua</v>
          </cell>
          <cell r="C2133" t="str">
            <v>ud</v>
          </cell>
          <cell r="D2133">
            <v>0</v>
          </cell>
          <cell r="E2133">
            <v>206.4</v>
          </cell>
          <cell r="F2133">
            <v>206.4</v>
          </cell>
        </row>
        <row r="2134">
          <cell r="A2134" t="str">
            <v>170527</v>
          </cell>
          <cell r="B2134" t="str">
            <v>Cavalete 3/4", rede PEAD no outro lado da rua</v>
          </cell>
          <cell r="C2134" t="str">
            <v>ud</v>
          </cell>
          <cell r="D2134">
            <v>0</v>
          </cell>
          <cell r="E2134">
            <v>233.38</v>
          </cell>
          <cell r="F2134">
            <v>233.38</v>
          </cell>
        </row>
        <row r="2135">
          <cell r="A2135" t="str">
            <v>170528</v>
          </cell>
          <cell r="B2135" t="str">
            <v>UMC 3/4" bloco, rede PEAD no passeio</v>
          </cell>
          <cell r="C2135" t="str">
            <v>ud</v>
          </cell>
          <cell r="D2135">
            <v>0</v>
          </cell>
          <cell r="E2135">
            <v>165.6</v>
          </cell>
          <cell r="F2135">
            <v>165.6</v>
          </cell>
        </row>
        <row r="2136">
          <cell r="A2136" t="str">
            <v>170529</v>
          </cell>
          <cell r="B2136" t="str">
            <v>UMC 3/4" bloco, rede PEAD na rua</v>
          </cell>
          <cell r="C2136" t="str">
            <v>ud</v>
          </cell>
          <cell r="D2136">
            <v>0</v>
          </cell>
          <cell r="E2136">
            <v>192.57</v>
          </cell>
          <cell r="F2136">
            <v>192.57</v>
          </cell>
        </row>
        <row r="2137">
          <cell r="A2137" t="str">
            <v>170530</v>
          </cell>
          <cell r="B2137" t="str">
            <v>UMC 3/4" bloco, rede PEAD no outro lado da rua</v>
          </cell>
          <cell r="C2137" t="str">
            <v>ud</v>
          </cell>
          <cell r="D2137">
            <v>0</v>
          </cell>
          <cell r="E2137">
            <v>219.55</v>
          </cell>
          <cell r="F2137">
            <v>219.55</v>
          </cell>
        </row>
        <row r="2138">
          <cell r="A2138" t="str">
            <v>170531</v>
          </cell>
          <cell r="B2138" t="str">
            <v>UMC 3/4" muro/parede, rede PEAD no passeio</v>
          </cell>
          <cell r="C2138" t="str">
            <v>ud</v>
          </cell>
          <cell r="D2138">
            <v>0</v>
          </cell>
          <cell r="E2138">
            <v>157.6</v>
          </cell>
          <cell r="F2138">
            <v>157.6</v>
          </cell>
        </row>
        <row r="2139">
          <cell r="A2139" t="str">
            <v>170532</v>
          </cell>
          <cell r="B2139" t="str">
            <v>UMC 3/4" muro/parede, rede PEAD na rua</v>
          </cell>
          <cell r="C2139" t="str">
            <v>ud</v>
          </cell>
          <cell r="D2139">
            <v>0</v>
          </cell>
          <cell r="E2139">
            <v>184.57</v>
          </cell>
          <cell r="F2139">
            <v>184.57</v>
          </cell>
        </row>
        <row r="2140">
          <cell r="A2140" t="str">
            <v>170533</v>
          </cell>
          <cell r="B2140" t="str">
            <v>UMC 3/4" muro/parede, rede PEAD no outro lado da rua</v>
          </cell>
          <cell r="C2140" t="str">
            <v>ud</v>
          </cell>
          <cell r="D2140">
            <v>0</v>
          </cell>
          <cell r="E2140">
            <v>211.55</v>
          </cell>
          <cell r="F2140">
            <v>211.55</v>
          </cell>
        </row>
        <row r="2141">
          <cell r="A2141" t="str">
            <v>170534</v>
          </cell>
          <cell r="B2141" t="str">
            <v>Caixa subterrânea p/ HD 3/4", rede PEAD no passeio</v>
          </cell>
          <cell r="C2141" t="str">
            <v>ud</v>
          </cell>
          <cell r="D2141">
            <v>0</v>
          </cell>
          <cell r="E2141">
            <v>147.26</v>
          </cell>
          <cell r="F2141">
            <v>147.26</v>
          </cell>
        </row>
        <row r="2142">
          <cell r="A2142" t="str">
            <v>170535</v>
          </cell>
          <cell r="B2142" t="str">
            <v>Caixa subterrânea p/ HD 3/4", rede PEAD na rua</v>
          </cell>
          <cell r="C2142" t="str">
            <v>ud</v>
          </cell>
          <cell r="D2142">
            <v>0</v>
          </cell>
          <cell r="E2142">
            <v>174.23</v>
          </cell>
          <cell r="F2142">
            <v>174.23</v>
          </cell>
        </row>
        <row r="2143">
          <cell r="A2143" t="str">
            <v>170536</v>
          </cell>
          <cell r="B2143" t="str">
            <v>Caixa subterrânea p/ HD 3/4", rede PEAD no outro lado da rua</v>
          </cell>
          <cell r="C2143" t="str">
            <v>ud</v>
          </cell>
          <cell r="D2143">
            <v>0</v>
          </cell>
          <cell r="E2143">
            <v>201.21</v>
          </cell>
          <cell r="F2143">
            <v>201.21</v>
          </cell>
        </row>
        <row r="2144">
          <cell r="A2144" t="str">
            <v>1706</v>
          </cell>
          <cell r="B2144" t="str">
            <v>EXECUÇÃO DE LIGAÇÃO PREDIAL DE ÁGUA 1" - REDE PVC OU FD</v>
          </cell>
        </row>
        <row r="2145">
          <cell r="A2145" t="str">
            <v>170601</v>
          </cell>
          <cell r="B2145" t="str">
            <v>No passeio sem pavimento</v>
          </cell>
          <cell r="C2145" t="str">
            <v>ud</v>
          </cell>
          <cell r="D2145">
            <v>77.599999999999994</v>
          </cell>
          <cell r="E2145">
            <v>1.42</v>
          </cell>
          <cell r="F2145">
            <v>79.02</v>
          </cell>
        </row>
        <row r="2146">
          <cell r="A2146" t="str">
            <v>170602</v>
          </cell>
          <cell r="B2146" t="str">
            <v>No passeio pavimentado</v>
          </cell>
          <cell r="C2146" t="str">
            <v>ud</v>
          </cell>
          <cell r="D2146">
            <v>105.1</v>
          </cell>
          <cell r="E2146">
            <v>14.61</v>
          </cell>
          <cell r="F2146">
            <v>119.71</v>
          </cell>
        </row>
        <row r="2147">
          <cell r="A2147" t="str">
            <v>170603</v>
          </cell>
          <cell r="B2147" t="str">
            <v>Na rua, passeio e rua sem pavimento</v>
          </cell>
          <cell r="C2147" t="str">
            <v>ud</v>
          </cell>
          <cell r="D2147">
            <v>256.27</v>
          </cell>
          <cell r="E2147">
            <v>1.42</v>
          </cell>
          <cell r="F2147">
            <v>257.69</v>
          </cell>
        </row>
        <row r="2148">
          <cell r="A2148" t="str">
            <v>170604</v>
          </cell>
          <cell r="B2148" t="str">
            <v>Na rua, passeio sem pavimento e rua pavimentada</v>
          </cell>
          <cell r="C2148" t="str">
            <v>ud</v>
          </cell>
          <cell r="D2148">
            <v>290.22000000000003</v>
          </cell>
          <cell r="E2148">
            <v>14.87</v>
          </cell>
          <cell r="F2148">
            <v>305.08999999999997</v>
          </cell>
        </row>
        <row r="2149">
          <cell r="A2149" t="str">
            <v>170605</v>
          </cell>
          <cell r="B2149" t="str">
            <v>Na rua, passeio pavimentado e rua sem pavimento</v>
          </cell>
          <cell r="C2149" t="str">
            <v>ud</v>
          </cell>
          <cell r="D2149">
            <v>338.43</v>
          </cell>
          <cell r="E2149">
            <v>40.82</v>
          </cell>
          <cell r="F2149">
            <v>379.25</v>
          </cell>
        </row>
        <row r="2150">
          <cell r="A2150" t="str">
            <v>170606</v>
          </cell>
          <cell r="B2150" t="str">
            <v>Na rua, passeio e rua pavimentados</v>
          </cell>
          <cell r="C2150" t="str">
            <v>ud</v>
          </cell>
          <cell r="D2150">
            <v>372.39</v>
          </cell>
          <cell r="E2150">
            <v>54.27</v>
          </cell>
          <cell r="F2150">
            <v>426.66</v>
          </cell>
        </row>
        <row r="2151">
          <cell r="A2151" t="str">
            <v>170607</v>
          </cell>
          <cell r="B2151" t="str">
            <v>No outro lado da rua, passeio e rua sem pavimento</v>
          </cell>
          <cell r="C2151" t="str">
            <v>ud</v>
          </cell>
          <cell r="D2151">
            <v>474.33</v>
          </cell>
          <cell r="E2151">
            <v>1.42</v>
          </cell>
          <cell r="F2151">
            <v>475.75</v>
          </cell>
        </row>
        <row r="2152">
          <cell r="A2152" t="str">
            <v>170608</v>
          </cell>
          <cell r="B2152" t="str">
            <v>No outro lado da rua, passeio sem pavimento e rua pavimentada</v>
          </cell>
          <cell r="C2152" t="str">
            <v>ud</v>
          </cell>
          <cell r="D2152">
            <v>505.01</v>
          </cell>
          <cell r="E2152">
            <v>13.57</v>
          </cell>
          <cell r="F2152">
            <v>518.58000000000004</v>
          </cell>
        </row>
        <row r="2153">
          <cell r="A2153" t="str">
            <v>170609</v>
          </cell>
          <cell r="B2153" t="str">
            <v>No outro lado da rua, passeio pavimentado e rua sem pavimento</v>
          </cell>
          <cell r="C2153" t="str">
            <v>ud</v>
          </cell>
          <cell r="D2153">
            <v>649.89</v>
          </cell>
          <cell r="E2153">
            <v>85.63</v>
          </cell>
          <cell r="F2153">
            <v>735.52</v>
          </cell>
        </row>
        <row r="2154">
          <cell r="A2154" t="str">
            <v>170610</v>
          </cell>
          <cell r="B2154" t="str">
            <v>No outro lado da rua, passeio e rua pavimentados</v>
          </cell>
          <cell r="C2154" t="str">
            <v>ud</v>
          </cell>
          <cell r="D2154">
            <v>680.57</v>
          </cell>
          <cell r="E2154">
            <v>97.78</v>
          </cell>
          <cell r="F2154">
            <v>778.35</v>
          </cell>
        </row>
        <row r="2155">
          <cell r="A2155" t="str">
            <v>1707</v>
          </cell>
          <cell r="B2155" t="str">
            <v>EXECUÇÃO DE LIGAÇÃO PREDIAL DE ÁGUA 1" - REDE PEAD</v>
          </cell>
        </row>
        <row r="2156">
          <cell r="A2156" t="str">
            <v>170701</v>
          </cell>
          <cell r="B2156" t="str">
            <v>No passeio sem pavimento</v>
          </cell>
          <cell r="C2156" t="str">
            <v>ud</v>
          </cell>
          <cell r="D2156">
            <v>114.77</v>
          </cell>
          <cell r="E2156">
            <v>1.42</v>
          </cell>
          <cell r="F2156">
            <v>116.19</v>
          </cell>
        </row>
        <row r="2157">
          <cell r="A2157" t="str">
            <v>170702</v>
          </cell>
          <cell r="B2157" t="str">
            <v>No passeio pavimentado</v>
          </cell>
          <cell r="C2157" t="str">
            <v>ud</v>
          </cell>
          <cell r="D2157">
            <v>142.27000000000001</v>
          </cell>
          <cell r="E2157">
            <v>14.61</v>
          </cell>
          <cell r="F2157">
            <v>156.88</v>
          </cell>
        </row>
        <row r="2158">
          <cell r="A2158" t="str">
            <v>170703</v>
          </cell>
          <cell r="B2158" t="str">
            <v>Na rua, passeio e rua sem pavimento</v>
          </cell>
          <cell r="C2158" t="str">
            <v>ud</v>
          </cell>
          <cell r="D2158">
            <v>293.44</v>
          </cell>
          <cell r="E2158">
            <v>1.42</v>
          </cell>
          <cell r="F2158">
            <v>294.86</v>
          </cell>
        </row>
        <row r="2159">
          <cell r="A2159" t="str">
            <v>170704</v>
          </cell>
          <cell r="B2159" t="str">
            <v>Na rua, passeio sem pavimento e rua pavimentada</v>
          </cell>
          <cell r="C2159" t="str">
            <v>ud</v>
          </cell>
          <cell r="D2159">
            <v>327.39</v>
          </cell>
          <cell r="E2159">
            <v>14.87</v>
          </cell>
          <cell r="F2159">
            <v>342.26</v>
          </cell>
        </row>
        <row r="2160">
          <cell r="A2160" t="str">
            <v>170705</v>
          </cell>
          <cell r="B2160" t="str">
            <v>Na rua, passeio pavimentado e rua sem pavimento</v>
          </cell>
          <cell r="C2160" t="str">
            <v>ud</v>
          </cell>
          <cell r="D2160">
            <v>375.6</v>
          </cell>
          <cell r="E2160">
            <v>40.82</v>
          </cell>
          <cell r="F2160">
            <v>416.42</v>
          </cell>
        </row>
        <row r="2161">
          <cell r="A2161" t="str">
            <v>170706</v>
          </cell>
          <cell r="B2161" t="str">
            <v>Na rua, passeio e rua pavimentados</v>
          </cell>
          <cell r="C2161" t="str">
            <v>ud</v>
          </cell>
          <cell r="D2161">
            <v>409.56</v>
          </cell>
          <cell r="E2161">
            <v>54.27</v>
          </cell>
          <cell r="F2161">
            <v>463.83</v>
          </cell>
        </row>
        <row r="2162">
          <cell r="A2162" t="str">
            <v>170707</v>
          </cell>
          <cell r="B2162" t="str">
            <v>No outro lado da rua, passeio e rua sem pavimento</v>
          </cell>
          <cell r="C2162" t="str">
            <v>ud</v>
          </cell>
          <cell r="D2162">
            <v>511.5</v>
          </cell>
          <cell r="E2162">
            <v>1.42</v>
          </cell>
          <cell r="F2162">
            <v>512.91999999999996</v>
          </cell>
        </row>
        <row r="2163">
          <cell r="A2163" t="str">
            <v>170708</v>
          </cell>
          <cell r="B2163" t="str">
            <v>No outro lado da rua, passeio sem pavimento e rua pavimentada</v>
          </cell>
          <cell r="C2163" t="str">
            <v>ud</v>
          </cell>
          <cell r="D2163">
            <v>542.17999999999995</v>
          </cell>
          <cell r="E2163">
            <v>13.57</v>
          </cell>
          <cell r="F2163">
            <v>555.75</v>
          </cell>
        </row>
        <row r="2164">
          <cell r="A2164" t="str">
            <v>170709</v>
          </cell>
          <cell r="B2164" t="str">
            <v>No outro lado da rua, passeio pavimentado e rua sem pavimento</v>
          </cell>
          <cell r="C2164" t="str">
            <v>ud</v>
          </cell>
          <cell r="D2164">
            <v>687.06</v>
          </cell>
          <cell r="E2164">
            <v>85.63</v>
          </cell>
          <cell r="F2164">
            <v>772.69</v>
          </cell>
        </row>
        <row r="2165">
          <cell r="A2165" t="str">
            <v>170710</v>
          </cell>
          <cell r="B2165" t="str">
            <v>No outro lado da rua, passeio e rua pavimentados</v>
          </cell>
          <cell r="C2165" t="str">
            <v>ud</v>
          </cell>
          <cell r="D2165">
            <v>717.74</v>
          </cell>
          <cell r="E2165">
            <v>97.78</v>
          </cell>
          <cell r="F2165">
            <v>815.52</v>
          </cell>
        </row>
        <row r="2166">
          <cell r="A2166" t="str">
            <v>1708</v>
          </cell>
          <cell r="B2166" t="str">
            <v>FORNECIMENTO DE MATERIAIS P/ LIGAÇÃO PREDIAL DE ÁGUA 1" - REDE 50 a 160 mm</v>
          </cell>
        </row>
        <row r="2167">
          <cell r="A2167" t="str">
            <v>170801</v>
          </cell>
          <cell r="B2167" t="str">
            <v>Caixa subterrânea p/ HD 1", rede PVC no passeio</v>
          </cell>
          <cell r="C2167" t="str">
            <v>ud</v>
          </cell>
          <cell r="D2167">
            <v>0</v>
          </cell>
          <cell r="E2167">
            <v>156.43</v>
          </cell>
          <cell r="F2167">
            <v>156.43</v>
          </cell>
        </row>
        <row r="2168">
          <cell r="A2168" t="str">
            <v>170802</v>
          </cell>
          <cell r="B2168" t="str">
            <v>Caixa subterrânea p/ HD 1", rede PVC na rua</v>
          </cell>
          <cell r="C2168" t="str">
            <v>ud</v>
          </cell>
          <cell r="D2168">
            <v>0</v>
          </cell>
          <cell r="E2168">
            <v>209.64</v>
          </cell>
          <cell r="F2168">
            <v>209.64</v>
          </cell>
        </row>
        <row r="2169">
          <cell r="A2169" t="str">
            <v>170803</v>
          </cell>
          <cell r="B2169" t="str">
            <v>Caixa subterrânea p/ HD 1", rede PVC no outro lado da rua</v>
          </cell>
          <cell r="C2169" t="str">
            <v>ud</v>
          </cell>
          <cell r="D2169">
            <v>0</v>
          </cell>
          <cell r="E2169">
            <v>262.85000000000002</v>
          </cell>
          <cell r="F2169">
            <v>262.85000000000002</v>
          </cell>
        </row>
        <row r="2170">
          <cell r="A2170" t="str">
            <v>170804</v>
          </cell>
          <cell r="B2170" t="str">
            <v>Caixa subterrânea p/ HD 1", rede FD no passeio</v>
          </cell>
          <cell r="C2170" t="str">
            <v>ud</v>
          </cell>
          <cell r="D2170">
            <v>0</v>
          </cell>
          <cell r="E2170">
            <v>199.36</v>
          </cell>
          <cell r="F2170">
            <v>199.36</v>
          </cell>
        </row>
        <row r="2171">
          <cell r="A2171" t="str">
            <v>170805</v>
          </cell>
          <cell r="B2171" t="str">
            <v>Caixa subterrânea p/ HD 1", rede FD na rua</v>
          </cell>
          <cell r="C2171" t="str">
            <v>ud</v>
          </cell>
          <cell r="D2171">
            <v>0</v>
          </cell>
          <cell r="E2171">
            <v>252.57</v>
          </cell>
          <cell r="F2171">
            <v>252.57</v>
          </cell>
        </row>
        <row r="2172">
          <cell r="A2172" t="str">
            <v>170806</v>
          </cell>
          <cell r="B2172" t="str">
            <v>Caixa subterrânea p/ HD 1", rede FD no outro lado da rua</v>
          </cell>
          <cell r="C2172" t="str">
            <v>ud</v>
          </cell>
          <cell r="D2172">
            <v>0</v>
          </cell>
          <cell r="E2172">
            <v>305.77999999999997</v>
          </cell>
          <cell r="F2172">
            <v>305.77999999999997</v>
          </cell>
        </row>
        <row r="2173">
          <cell r="A2173" t="str">
            <v>170807</v>
          </cell>
          <cell r="B2173" t="str">
            <v>Caixa subterrânea p/ HD 1", rede PEAD no passeio</v>
          </cell>
          <cell r="C2173" t="str">
            <v>ud</v>
          </cell>
          <cell r="D2173">
            <v>0</v>
          </cell>
          <cell r="E2173">
            <v>225.07</v>
          </cell>
          <cell r="F2173">
            <v>225.07</v>
          </cell>
        </row>
        <row r="2174">
          <cell r="A2174" t="str">
            <v>170808</v>
          </cell>
          <cell r="B2174" t="str">
            <v>Caixa subterrânea p/ HD 1", rede PEAD na rua</v>
          </cell>
          <cell r="C2174" t="str">
            <v>ud</v>
          </cell>
          <cell r="D2174">
            <v>0</v>
          </cell>
          <cell r="E2174">
            <v>278.27999999999997</v>
          </cell>
          <cell r="F2174">
            <v>278.27999999999997</v>
          </cell>
        </row>
        <row r="2175">
          <cell r="A2175" t="str">
            <v>170809</v>
          </cell>
          <cell r="B2175" t="str">
            <v>Caixa subterrânea p/ HD 1", rede PEAD no outro lado da rua</v>
          </cell>
          <cell r="C2175" t="str">
            <v>ud</v>
          </cell>
          <cell r="D2175">
            <v>0</v>
          </cell>
          <cell r="E2175">
            <v>331.49</v>
          </cell>
          <cell r="F2175">
            <v>331.49</v>
          </cell>
        </row>
        <row r="2176">
          <cell r="A2176" t="str">
            <v>1709</v>
          </cell>
          <cell r="B2176" t="str">
            <v>EXECUÇÃO DE LIGAÇÃO PREDIAL DE ÁGUA 1 1/2" - REDE PVC OU FD</v>
          </cell>
        </row>
        <row r="2177">
          <cell r="A2177" t="str">
            <v>170901</v>
          </cell>
          <cell r="B2177" t="str">
            <v>No passeio sem pavimento</v>
          </cell>
          <cell r="C2177" t="str">
            <v>ud</v>
          </cell>
          <cell r="D2177">
            <v>100.64</v>
          </cell>
          <cell r="E2177">
            <v>1.42</v>
          </cell>
          <cell r="F2177">
            <v>102.06</v>
          </cell>
        </row>
        <row r="2178">
          <cell r="A2178" t="str">
            <v>170902</v>
          </cell>
          <cell r="B2178" t="str">
            <v>No passeio pavimentado</v>
          </cell>
          <cell r="C2178" t="str">
            <v>ud</v>
          </cell>
          <cell r="D2178">
            <v>128.80000000000001</v>
          </cell>
          <cell r="E2178">
            <v>14.92</v>
          </cell>
          <cell r="F2178">
            <v>143.72</v>
          </cell>
        </row>
        <row r="2179">
          <cell r="A2179" t="str">
            <v>170903</v>
          </cell>
          <cell r="B2179" t="str">
            <v>Na rua, passeio e rua sem pavimento</v>
          </cell>
          <cell r="C2179" t="str">
            <v>ud</v>
          </cell>
          <cell r="D2179">
            <v>291.99</v>
          </cell>
          <cell r="E2179">
            <v>1.42</v>
          </cell>
          <cell r="F2179">
            <v>293.41000000000003</v>
          </cell>
        </row>
        <row r="2180">
          <cell r="A2180" t="str">
            <v>170904</v>
          </cell>
          <cell r="B2180" t="str">
            <v>Na rua, passeio sem pavimento e rua pavimentada</v>
          </cell>
          <cell r="C2180" t="str">
            <v>ud</v>
          </cell>
          <cell r="D2180">
            <v>325.94</v>
          </cell>
          <cell r="E2180">
            <v>14.87</v>
          </cell>
          <cell r="F2180">
            <v>340.81</v>
          </cell>
        </row>
        <row r="2181">
          <cell r="A2181" t="str">
            <v>170905</v>
          </cell>
          <cell r="B2181" t="str">
            <v>Na rua, passeio pavimentado e rua sem pavimento</v>
          </cell>
          <cell r="C2181" t="str">
            <v>ud</v>
          </cell>
          <cell r="D2181">
            <v>381.43</v>
          </cell>
          <cell r="E2181">
            <v>44.32</v>
          </cell>
          <cell r="F2181">
            <v>425.75</v>
          </cell>
        </row>
        <row r="2182">
          <cell r="A2182" t="str">
            <v>170906</v>
          </cell>
          <cell r="B2182" t="str">
            <v>Na rua, passeio e rua pavimentados</v>
          </cell>
          <cell r="C2182" t="str">
            <v>ud</v>
          </cell>
          <cell r="D2182">
            <v>415.4</v>
          </cell>
          <cell r="E2182">
            <v>57.77</v>
          </cell>
          <cell r="F2182">
            <v>473.17</v>
          </cell>
        </row>
        <row r="2183">
          <cell r="A2183" t="str">
            <v>170907</v>
          </cell>
          <cell r="B2183" t="str">
            <v>No outro lado da rua, passeio e rua sem pavimento</v>
          </cell>
          <cell r="C2183" t="str">
            <v>ud</v>
          </cell>
          <cell r="D2183">
            <v>513.85</v>
          </cell>
          <cell r="E2183">
            <v>1.42</v>
          </cell>
          <cell r="F2183">
            <v>515.27</v>
          </cell>
        </row>
        <row r="2184">
          <cell r="A2184" t="str">
            <v>170908</v>
          </cell>
          <cell r="B2184" t="str">
            <v>No outro lado da rua, passeio sem pavimento e rua pavimentada</v>
          </cell>
          <cell r="C2184" t="str">
            <v>ud</v>
          </cell>
          <cell r="D2184">
            <v>573.87</v>
          </cell>
          <cell r="E2184">
            <v>25.19</v>
          </cell>
          <cell r="F2184">
            <v>599.05999999999995</v>
          </cell>
        </row>
        <row r="2185">
          <cell r="A2185" t="str">
            <v>170909</v>
          </cell>
          <cell r="B2185" t="str">
            <v>No outro lado da rua, passeio pavimentado e rua sem pavimento</v>
          </cell>
          <cell r="C2185" t="str">
            <v>ud</v>
          </cell>
          <cell r="D2185">
            <v>696.7</v>
          </cell>
          <cell r="E2185">
            <v>89.12</v>
          </cell>
          <cell r="F2185">
            <v>785.82</v>
          </cell>
        </row>
        <row r="2186">
          <cell r="A2186" t="str">
            <v>170910</v>
          </cell>
          <cell r="B2186" t="str">
            <v>No outro lado da rua, passeio e rua pavimentados</v>
          </cell>
          <cell r="C2186" t="str">
            <v>ud</v>
          </cell>
          <cell r="D2186">
            <v>756.72</v>
          </cell>
          <cell r="E2186">
            <v>112.89</v>
          </cell>
          <cell r="F2186">
            <v>869.61</v>
          </cell>
        </row>
        <row r="2187">
          <cell r="A2187" t="str">
            <v>1710</v>
          </cell>
          <cell r="B2187" t="str">
            <v>EXECUÇÃO DE LIGAÇÃO PREDIAL DE ÁGUA 1 1/2" - REDE PEAD</v>
          </cell>
        </row>
        <row r="2188">
          <cell r="A2188" t="str">
            <v>171001</v>
          </cell>
          <cell r="B2188" t="str">
            <v>No passeio sem pavimento</v>
          </cell>
          <cell r="C2188" t="str">
            <v>ud</v>
          </cell>
          <cell r="D2188">
            <v>137.81</v>
          </cell>
          <cell r="E2188">
            <v>1.42</v>
          </cell>
          <cell r="F2188">
            <v>139.22999999999999</v>
          </cell>
        </row>
        <row r="2189">
          <cell r="A2189" t="str">
            <v>171002</v>
          </cell>
          <cell r="B2189" t="str">
            <v>No passeio pavimentado</v>
          </cell>
          <cell r="C2189" t="str">
            <v>ud</v>
          </cell>
          <cell r="D2189">
            <v>165.97</v>
          </cell>
          <cell r="E2189">
            <v>14.92</v>
          </cell>
          <cell r="F2189">
            <v>180.89</v>
          </cell>
        </row>
        <row r="2190">
          <cell r="A2190" t="str">
            <v>171003</v>
          </cell>
          <cell r="B2190" t="str">
            <v>Na rua, passeio e rua sem pavimento</v>
          </cell>
          <cell r="C2190" t="str">
            <v>ud</v>
          </cell>
          <cell r="D2190">
            <v>329.16</v>
          </cell>
          <cell r="E2190">
            <v>1.42</v>
          </cell>
          <cell r="F2190">
            <v>330.58</v>
          </cell>
        </row>
        <row r="2191">
          <cell r="A2191" t="str">
            <v>171004</v>
          </cell>
          <cell r="B2191" t="str">
            <v>Na rua, passeio sem pavimento e rua pavimentada</v>
          </cell>
          <cell r="C2191" t="str">
            <v>ud</v>
          </cell>
          <cell r="D2191">
            <v>363.11</v>
          </cell>
          <cell r="E2191">
            <v>14.87</v>
          </cell>
          <cell r="F2191">
            <v>377.98</v>
          </cell>
        </row>
        <row r="2192">
          <cell r="A2192" t="str">
            <v>171005</v>
          </cell>
          <cell r="B2192" t="str">
            <v>Na rua, passeio pavimentado e rua sem pavimento</v>
          </cell>
          <cell r="C2192" t="str">
            <v>ud</v>
          </cell>
          <cell r="D2192">
            <v>418.6</v>
          </cell>
          <cell r="E2192">
            <v>44.32</v>
          </cell>
          <cell r="F2192">
            <v>462.92</v>
          </cell>
        </row>
        <row r="2193">
          <cell r="A2193" t="str">
            <v>171006</v>
          </cell>
          <cell r="B2193" t="str">
            <v>Na rua, passeio e rua pavimentados</v>
          </cell>
          <cell r="C2193" t="str">
            <v>ud</v>
          </cell>
          <cell r="D2193">
            <v>452.57</v>
          </cell>
          <cell r="E2193">
            <v>57.77</v>
          </cell>
          <cell r="F2193">
            <v>510.34</v>
          </cell>
        </row>
        <row r="2194">
          <cell r="A2194" t="str">
            <v>171007</v>
          </cell>
          <cell r="B2194" t="str">
            <v>No outro lado da rua, passeio e rua sem pavimento</v>
          </cell>
          <cell r="C2194" t="str">
            <v>ud</v>
          </cell>
          <cell r="D2194">
            <v>551.02</v>
          </cell>
          <cell r="E2194">
            <v>1.42</v>
          </cell>
          <cell r="F2194">
            <v>552.44000000000005</v>
          </cell>
        </row>
        <row r="2195">
          <cell r="A2195" t="str">
            <v>171008</v>
          </cell>
          <cell r="B2195" t="str">
            <v>No outro lado da rua, passeio sem pavimento e rua pavimentada</v>
          </cell>
          <cell r="C2195" t="str">
            <v>ud</v>
          </cell>
          <cell r="D2195">
            <v>611.04</v>
          </cell>
          <cell r="E2195">
            <v>25.19</v>
          </cell>
          <cell r="F2195">
            <v>636.23</v>
          </cell>
        </row>
        <row r="2196">
          <cell r="A2196" t="str">
            <v>171009</v>
          </cell>
          <cell r="B2196" t="str">
            <v>No outro lado da rua, passeio pavimentado e rua sem pavimento</v>
          </cell>
          <cell r="C2196" t="str">
            <v>ud</v>
          </cell>
          <cell r="D2196">
            <v>733.87</v>
          </cell>
          <cell r="E2196">
            <v>89.12</v>
          </cell>
          <cell r="F2196">
            <v>822.99</v>
          </cell>
        </row>
        <row r="2197">
          <cell r="A2197" t="str">
            <v>171010</v>
          </cell>
          <cell r="B2197" t="str">
            <v>No outro lado da rua, passeio e rua pavimentados</v>
          </cell>
          <cell r="C2197" t="str">
            <v>ud</v>
          </cell>
          <cell r="D2197">
            <v>793.89</v>
          </cell>
          <cell r="E2197">
            <v>112.89</v>
          </cell>
          <cell r="F2197">
            <v>906.78</v>
          </cell>
        </row>
        <row r="2198">
          <cell r="A2198" t="str">
            <v>1711</v>
          </cell>
          <cell r="B2198" t="str">
            <v>FORNECIMENTO DE MATERIAIS P/ LIGAÇÃO PREDIAL DE ÁGUA 1 1/2" - REDE 50 a 160 mm</v>
          </cell>
        </row>
        <row r="2199">
          <cell r="A2199" t="str">
            <v>171101</v>
          </cell>
          <cell r="B2199" t="str">
            <v>Caixa subterrânea p/ HD 1 1/2", rede PVC no passeio</v>
          </cell>
          <cell r="C2199" t="str">
            <v>ud</v>
          </cell>
          <cell r="D2199">
            <v>0</v>
          </cell>
          <cell r="E2199">
            <v>263.45</v>
          </cell>
          <cell r="F2199">
            <v>263.45</v>
          </cell>
        </row>
        <row r="2200">
          <cell r="A2200" t="str">
            <v>171102</v>
          </cell>
          <cell r="B2200" t="str">
            <v>Caixa subterrânea p/ HD 1 1/2", rede PVC na rua</v>
          </cell>
          <cell r="C2200" t="str">
            <v>ud</v>
          </cell>
          <cell r="D2200">
            <v>0</v>
          </cell>
          <cell r="E2200">
            <v>319.95999999999998</v>
          </cell>
          <cell r="F2200">
            <v>319.95999999999998</v>
          </cell>
        </row>
        <row r="2201">
          <cell r="A2201" t="str">
            <v>171103</v>
          </cell>
          <cell r="B2201" t="str">
            <v>Caixa subterrânea p/ HD 1 1/2", rede PVC no outro lado da rua</v>
          </cell>
          <cell r="C2201" t="str">
            <v>ud</v>
          </cell>
          <cell r="D2201">
            <v>0</v>
          </cell>
          <cell r="E2201">
            <v>376.47</v>
          </cell>
          <cell r="F2201">
            <v>376.47</v>
          </cell>
        </row>
        <row r="2202">
          <cell r="A2202" t="str">
            <v>171104</v>
          </cell>
          <cell r="B2202" t="str">
            <v>Caixa subterrânea p/ HD 1 1/2", rede FD no passeio</v>
          </cell>
          <cell r="C2202" t="str">
            <v>ud</v>
          </cell>
          <cell r="D2202">
            <v>0</v>
          </cell>
          <cell r="E2202">
            <v>300.39</v>
          </cell>
          <cell r="F2202">
            <v>300.39</v>
          </cell>
        </row>
        <row r="2203">
          <cell r="A2203" t="str">
            <v>171105</v>
          </cell>
          <cell r="B2203" t="str">
            <v>Caixa subterrânea p/ HD 1 1/2", rede FD na rua</v>
          </cell>
          <cell r="C2203" t="str">
            <v>ud</v>
          </cell>
          <cell r="D2203">
            <v>0</v>
          </cell>
          <cell r="E2203">
            <v>356.9</v>
          </cell>
          <cell r="F2203">
            <v>356.9</v>
          </cell>
        </row>
        <row r="2204">
          <cell r="A2204" t="str">
            <v>171106</v>
          </cell>
          <cell r="B2204" t="str">
            <v>Caixa subterrânea p/ HD 1 1/2", rede FD no outro lado da rua</v>
          </cell>
          <cell r="C2204" t="str">
            <v>ud</v>
          </cell>
          <cell r="D2204">
            <v>0</v>
          </cell>
          <cell r="E2204">
            <v>413.41</v>
          </cell>
          <cell r="F2204">
            <v>413.41</v>
          </cell>
        </row>
        <row r="2205">
          <cell r="A2205" t="str">
            <v>171107</v>
          </cell>
          <cell r="B2205" t="str">
            <v>Caixa subterrânea p/ HD 1 1/2", rede PEAD no passeio</v>
          </cell>
          <cell r="C2205" t="str">
            <v>ud</v>
          </cell>
          <cell r="D2205">
            <v>0</v>
          </cell>
          <cell r="F2205">
            <v>0</v>
          </cell>
        </row>
        <row r="2206">
          <cell r="A2206" t="str">
            <v>171108</v>
          </cell>
          <cell r="B2206" t="str">
            <v>Caixa subterrânea p/ HD 1 1/2", rede PEAD na rua</v>
          </cell>
          <cell r="C2206" t="str">
            <v>ud</v>
          </cell>
          <cell r="D2206">
            <v>0</v>
          </cell>
          <cell r="F2206">
            <v>0</v>
          </cell>
        </row>
        <row r="2207">
          <cell r="A2207" t="str">
            <v>171109</v>
          </cell>
          <cell r="B2207" t="str">
            <v>Caixa subterrânea p/ HD 1 1/2", rede PEAD no outro lado da rua</v>
          </cell>
          <cell r="C2207" t="str">
            <v>ud</v>
          </cell>
          <cell r="D2207">
            <v>0</v>
          </cell>
          <cell r="F2207">
            <v>0</v>
          </cell>
        </row>
        <row r="2208">
          <cell r="A2208" t="str">
            <v>1712</v>
          </cell>
          <cell r="B2208" t="str">
            <v>EXECUÇÃO DE LIGAÇÃO PREDIAL DE ÁGUA 2" - REDE PVC OU FD</v>
          </cell>
        </row>
        <row r="2209">
          <cell r="A2209" t="str">
            <v>171201</v>
          </cell>
          <cell r="B2209" t="str">
            <v>No passeio sem pavimento</v>
          </cell>
          <cell r="C2209" t="str">
            <v>ud</v>
          </cell>
          <cell r="D2209">
            <v>125.52</v>
          </cell>
          <cell r="E2209">
            <v>1.42</v>
          </cell>
          <cell r="F2209">
            <v>126.94</v>
          </cell>
        </row>
        <row r="2210">
          <cell r="A2210" t="str">
            <v>171202</v>
          </cell>
          <cell r="B2210" t="str">
            <v>No passeio pavimentado</v>
          </cell>
          <cell r="C2210" t="str">
            <v>ud</v>
          </cell>
          <cell r="D2210">
            <v>153.68</v>
          </cell>
          <cell r="E2210">
            <v>14.92</v>
          </cell>
          <cell r="F2210">
            <v>168.6</v>
          </cell>
        </row>
        <row r="2211">
          <cell r="A2211" t="str">
            <v>171203</v>
          </cell>
          <cell r="B2211" t="str">
            <v>Na rua, passeio e rua sem pavimento</v>
          </cell>
          <cell r="C2211" t="str">
            <v>ud</v>
          </cell>
          <cell r="D2211">
            <v>317.08</v>
          </cell>
          <cell r="E2211">
            <v>1.42</v>
          </cell>
          <cell r="F2211">
            <v>318.5</v>
          </cell>
        </row>
        <row r="2212">
          <cell r="A2212" t="str">
            <v>171204</v>
          </cell>
          <cell r="B2212" t="str">
            <v>Na rua, passeio sem pavimento e rua pavimentada</v>
          </cell>
          <cell r="C2212" t="str">
            <v>ud</v>
          </cell>
          <cell r="D2212">
            <v>351.03</v>
          </cell>
          <cell r="E2212">
            <v>14.87</v>
          </cell>
          <cell r="F2212">
            <v>365.9</v>
          </cell>
        </row>
        <row r="2213">
          <cell r="A2213" t="str">
            <v>171205</v>
          </cell>
          <cell r="B2213" t="str">
            <v>Na rua, passeio pavimentado e rua sem pavimento</v>
          </cell>
          <cell r="C2213" t="str">
            <v>ud</v>
          </cell>
          <cell r="D2213">
            <v>406.52</v>
          </cell>
          <cell r="E2213">
            <v>44.32</v>
          </cell>
          <cell r="F2213">
            <v>450.84</v>
          </cell>
        </row>
        <row r="2214">
          <cell r="A2214" t="str">
            <v>171206</v>
          </cell>
          <cell r="B2214" t="str">
            <v>Na rua, passeio e rua pavimentados</v>
          </cell>
          <cell r="C2214" t="str">
            <v>ud</v>
          </cell>
          <cell r="D2214">
            <v>440.49</v>
          </cell>
          <cell r="E2214">
            <v>57.77</v>
          </cell>
          <cell r="F2214">
            <v>498.26</v>
          </cell>
        </row>
        <row r="2215">
          <cell r="A2215" t="str">
            <v>171207</v>
          </cell>
          <cell r="B2215" t="str">
            <v>No outro lado da rua, passeio e rua sem pavimento</v>
          </cell>
          <cell r="C2215" t="str">
            <v>ud</v>
          </cell>
          <cell r="D2215">
            <v>537.89</v>
          </cell>
          <cell r="E2215">
            <v>1.42</v>
          </cell>
          <cell r="F2215">
            <v>539.30999999999995</v>
          </cell>
        </row>
        <row r="2216">
          <cell r="A2216" t="str">
            <v>171208</v>
          </cell>
          <cell r="B2216" t="str">
            <v>No outro lado da rua, passeio sem pavimento e rua pavimentada</v>
          </cell>
          <cell r="C2216" t="str">
            <v>ud</v>
          </cell>
          <cell r="D2216">
            <v>597.91</v>
          </cell>
          <cell r="E2216">
            <v>25.19</v>
          </cell>
          <cell r="F2216">
            <v>623.1</v>
          </cell>
        </row>
        <row r="2217">
          <cell r="A2217" t="str">
            <v>171209</v>
          </cell>
          <cell r="B2217" t="str">
            <v>No outro lado da rua, passeio pavimentado e rua sem pavimento</v>
          </cell>
          <cell r="C2217" t="str">
            <v>ud</v>
          </cell>
          <cell r="D2217">
            <v>720.74</v>
          </cell>
          <cell r="E2217">
            <v>89.12</v>
          </cell>
          <cell r="F2217">
            <v>809.86</v>
          </cell>
        </row>
        <row r="2218">
          <cell r="A2218" t="str">
            <v>171210</v>
          </cell>
          <cell r="B2218" t="str">
            <v>No outro lado da rua, passeio e rua pavimentados</v>
          </cell>
          <cell r="C2218" t="str">
            <v>ud</v>
          </cell>
          <cell r="D2218">
            <v>780.76</v>
          </cell>
          <cell r="E2218">
            <v>112.89</v>
          </cell>
          <cell r="F2218">
            <v>893.65</v>
          </cell>
        </row>
        <row r="2219">
          <cell r="A2219" t="str">
            <v>1713</v>
          </cell>
          <cell r="B2219" t="str">
            <v>EXECUÇÃO DE LIGAÇÃO PREDIAL DE ÁGUA 2" - REDE PEAD</v>
          </cell>
        </row>
        <row r="2220">
          <cell r="A2220" t="str">
            <v>171301</v>
          </cell>
          <cell r="B2220" t="str">
            <v>No passeio sem pavimento</v>
          </cell>
          <cell r="C2220" t="str">
            <v>ud</v>
          </cell>
          <cell r="D2220">
            <v>162.69</v>
          </cell>
          <cell r="E2220">
            <v>1.42</v>
          </cell>
          <cell r="F2220">
            <v>164.11</v>
          </cell>
        </row>
        <row r="2221">
          <cell r="A2221" t="str">
            <v>171302</v>
          </cell>
          <cell r="B2221" t="str">
            <v>No passeio pavimentado</v>
          </cell>
          <cell r="C2221" t="str">
            <v>ud</v>
          </cell>
          <cell r="D2221">
            <v>190.85</v>
          </cell>
          <cell r="E2221">
            <v>14.92</v>
          </cell>
          <cell r="F2221">
            <v>205.77</v>
          </cell>
        </row>
        <row r="2222">
          <cell r="A2222" t="str">
            <v>171303</v>
          </cell>
          <cell r="B2222" t="str">
            <v>Na rua, passeio e rua sem pavimento</v>
          </cell>
          <cell r="C2222" t="str">
            <v>ud</v>
          </cell>
          <cell r="D2222">
            <v>354.25</v>
          </cell>
          <cell r="E2222">
            <v>1.42</v>
          </cell>
          <cell r="F2222">
            <v>355.67</v>
          </cell>
        </row>
        <row r="2223">
          <cell r="A2223" t="str">
            <v>171304</v>
          </cell>
          <cell r="B2223" t="str">
            <v>Na rua, passeio sem pavimento e rua pavimentada</v>
          </cell>
          <cell r="C2223" t="str">
            <v>ud</v>
          </cell>
          <cell r="D2223">
            <v>388.2</v>
          </cell>
          <cell r="E2223">
            <v>14.87</v>
          </cell>
          <cell r="F2223">
            <v>403.07</v>
          </cell>
        </row>
        <row r="2224">
          <cell r="A2224" t="str">
            <v>171305</v>
          </cell>
          <cell r="B2224" t="str">
            <v>Na rua, passeio pavimentado e rua sem pavimento</v>
          </cell>
          <cell r="C2224" t="str">
            <v>ud</v>
          </cell>
          <cell r="D2224">
            <v>443.69</v>
          </cell>
          <cell r="E2224">
            <v>44.32</v>
          </cell>
          <cell r="F2224">
            <v>488.01</v>
          </cell>
        </row>
        <row r="2225">
          <cell r="A2225" t="str">
            <v>171306</v>
          </cell>
          <cell r="B2225" t="str">
            <v>Na rua, passeio e rua pavimentados</v>
          </cell>
          <cell r="C2225" t="str">
            <v>ud</v>
          </cell>
          <cell r="D2225">
            <v>477.66</v>
          </cell>
          <cell r="E2225">
            <v>57.77</v>
          </cell>
          <cell r="F2225">
            <v>535.42999999999995</v>
          </cell>
        </row>
        <row r="2226">
          <cell r="A2226" t="str">
            <v>171307</v>
          </cell>
          <cell r="B2226" t="str">
            <v>No outro lado da rua, passeio e rua sem pavimento</v>
          </cell>
          <cell r="C2226" t="str">
            <v>ud</v>
          </cell>
          <cell r="D2226">
            <v>575.05999999999995</v>
          </cell>
          <cell r="E2226">
            <v>1.42</v>
          </cell>
          <cell r="F2226">
            <v>576.48</v>
          </cell>
        </row>
        <row r="2227">
          <cell r="A2227" t="str">
            <v>171308</v>
          </cell>
          <cell r="B2227" t="str">
            <v>No outro lado da rua, passeio sem pavimento e rua pavimentada</v>
          </cell>
          <cell r="C2227" t="str">
            <v>ud</v>
          </cell>
          <cell r="D2227">
            <v>635.08000000000004</v>
          </cell>
          <cell r="E2227">
            <v>25.19</v>
          </cell>
          <cell r="F2227">
            <v>660.27</v>
          </cell>
        </row>
        <row r="2228">
          <cell r="A2228" t="str">
            <v>171309</v>
          </cell>
          <cell r="B2228" t="str">
            <v>No outro lado da rua, passeio pavimentado e rua sem pavimento</v>
          </cell>
          <cell r="C2228" t="str">
            <v>ud</v>
          </cell>
          <cell r="D2228">
            <v>757.91</v>
          </cell>
          <cell r="E2228">
            <v>89.12</v>
          </cell>
          <cell r="F2228">
            <v>847.03</v>
          </cell>
        </row>
        <row r="2229">
          <cell r="A2229" t="str">
            <v>171310</v>
          </cell>
          <cell r="B2229" t="str">
            <v>No outro lado da rua, passeio e rua pavimentados</v>
          </cell>
          <cell r="C2229" t="str">
            <v>ud</v>
          </cell>
          <cell r="D2229">
            <v>817.93</v>
          </cell>
          <cell r="E2229">
            <v>112.89</v>
          </cell>
          <cell r="F2229">
            <v>930.82</v>
          </cell>
        </row>
        <row r="2230">
          <cell r="A2230" t="str">
            <v>1714</v>
          </cell>
          <cell r="B2230" t="str">
            <v>FORNECIMENTO DE MATERIAIS P/ LIGAÇÃO PREDIAL DE ÁGUA 2" - REDE 50 a 160 mm</v>
          </cell>
        </row>
        <row r="2231">
          <cell r="A2231" t="str">
            <v>171401</v>
          </cell>
          <cell r="B2231" t="str">
            <v>Caixa subterrânea p/ HD 2", rede PVC no passeio</v>
          </cell>
          <cell r="C2231" t="str">
            <v>ud</v>
          </cell>
          <cell r="D2231">
            <v>0</v>
          </cell>
          <cell r="E2231">
            <v>922.03</v>
          </cell>
          <cell r="F2231">
            <v>922.03</v>
          </cell>
        </row>
        <row r="2232">
          <cell r="A2232" t="str">
            <v>171402</v>
          </cell>
          <cell r="B2232" t="str">
            <v>Caixa subterrânea p/ HD 2", rede PVC na rua</v>
          </cell>
          <cell r="C2232" t="str">
            <v>ud</v>
          </cell>
          <cell r="D2232">
            <v>0</v>
          </cell>
          <cell r="E2232">
            <v>979.45</v>
          </cell>
          <cell r="F2232">
            <v>979.45</v>
          </cell>
        </row>
        <row r="2233">
          <cell r="A2233" t="str">
            <v>171403</v>
          </cell>
          <cell r="B2233" t="str">
            <v>Caixa subterrânea p/ HD 2", rede PVC no outro lado da rua</v>
          </cell>
          <cell r="C2233" t="str">
            <v>ud</v>
          </cell>
          <cell r="D2233">
            <v>0</v>
          </cell>
          <cell r="E2233">
            <v>1036.8699999999999</v>
          </cell>
          <cell r="F2233">
            <v>1036.8699999999999</v>
          </cell>
        </row>
        <row r="2234">
          <cell r="A2234" t="str">
            <v>171404</v>
          </cell>
          <cell r="B2234" t="str">
            <v>Caixa subterrânea p/ HD 2", rede FD no passeio</v>
          </cell>
          <cell r="C2234" t="str">
            <v>ud</v>
          </cell>
          <cell r="D2234">
            <v>0</v>
          </cell>
          <cell r="E2234">
            <v>922.03</v>
          </cell>
          <cell r="F2234">
            <v>922.03</v>
          </cell>
        </row>
        <row r="2235">
          <cell r="A2235" t="str">
            <v>171405</v>
          </cell>
          <cell r="B2235" t="str">
            <v>Caixa subterrânea p/ HD 2", rede FD na rua</v>
          </cell>
          <cell r="C2235" t="str">
            <v>ud</v>
          </cell>
          <cell r="D2235">
            <v>0</v>
          </cell>
          <cell r="E2235">
            <v>979.45</v>
          </cell>
          <cell r="F2235">
            <v>979.45</v>
          </cell>
        </row>
        <row r="2236">
          <cell r="A2236" t="str">
            <v>171406</v>
          </cell>
          <cell r="B2236" t="str">
            <v>Caixa subterrânea p/ HD 2", rede FD no outro lado da rua</v>
          </cell>
          <cell r="C2236" t="str">
            <v>ud</v>
          </cell>
          <cell r="D2236">
            <v>0</v>
          </cell>
          <cell r="E2236">
            <v>1036.8699999999999</v>
          </cell>
          <cell r="F2236">
            <v>1036.8699999999999</v>
          </cell>
        </row>
        <row r="2237">
          <cell r="A2237" t="str">
            <v>171407</v>
          </cell>
          <cell r="B2237" t="str">
            <v>Caixa subterrânea p/ HD 2", rede PEAD no passeio</v>
          </cell>
          <cell r="C2237" t="str">
            <v>ud</v>
          </cell>
          <cell r="D2237">
            <v>0</v>
          </cell>
          <cell r="F2237">
            <v>0</v>
          </cell>
        </row>
        <row r="2238">
          <cell r="A2238" t="str">
            <v>171408</v>
          </cell>
          <cell r="B2238" t="str">
            <v>Caixa subterrânea p/ HD 2", rede PEAD na rua</v>
          </cell>
          <cell r="C2238" t="str">
            <v>ud</v>
          </cell>
          <cell r="D2238">
            <v>0</v>
          </cell>
          <cell r="F2238">
            <v>0</v>
          </cell>
        </row>
        <row r="2239">
          <cell r="A2239" t="str">
            <v>171409</v>
          </cell>
          <cell r="B2239" t="str">
            <v>Caixa subterrânea p/ HD 2", rede PEAD no outro lado da rua</v>
          </cell>
          <cell r="C2239" t="str">
            <v>ud</v>
          </cell>
          <cell r="D2239">
            <v>0</v>
          </cell>
          <cell r="F2239">
            <v>0</v>
          </cell>
        </row>
        <row r="2240">
          <cell r="A2240" t="str">
            <v>1715</v>
          </cell>
          <cell r="B2240" t="str">
            <v>DESLOCAMENTO PARA LIGAÇÃO PREDIAL DE ÁGUA</v>
          </cell>
        </row>
        <row r="2241">
          <cell r="A2241" t="str">
            <v>171501</v>
          </cell>
          <cell r="B2241" t="str">
            <v>distância média &lt;= 1,00 km</v>
          </cell>
          <cell r="C2241" t="str">
            <v>ud</v>
          </cell>
          <cell r="D2241">
            <v>2.41</v>
          </cell>
          <cell r="E2241">
            <v>0</v>
          </cell>
          <cell r="F2241">
            <v>2.41</v>
          </cell>
        </row>
        <row r="2242">
          <cell r="A2242" t="str">
            <v>171502</v>
          </cell>
          <cell r="B2242" t="str">
            <v>1,01 Km &lt; distância média &lt;= 3,00 km</v>
          </cell>
          <cell r="C2242" t="str">
            <v>ud</v>
          </cell>
          <cell r="D2242">
            <v>4.8099999999999996</v>
          </cell>
          <cell r="E2242">
            <v>0</v>
          </cell>
          <cell r="F2242">
            <v>4.8099999999999996</v>
          </cell>
        </row>
        <row r="2243">
          <cell r="A2243" t="str">
            <v>171503</v>
          </cell>
          <cell r="B2243" t="str">
            <v>3,01 Km &lt; distância média &lt;= 5,00 km</v>
          </cell>
          <cell r="C2243" t="str">
            <v>ud</v>
          </cell>
          <cell r="D2243">
            <v>9.6300000000000008</v>
          </cell>
          <cell r="E2243">
            <v>0</v>
          </cell>
          <cell r="F2243">
            <v>9.6300000000000008</v>
          </cell>
        </row>
        <row r="2244">
          <cell r="A2244" t="str">
            <v>171504</v>
          </cell>
          <cell r="B2244" t="str">
            <v>5,01 Km &lt; distância média &lt;= 7,00 km</v>
          </cell>
          <cell r="C2244" t="str">
            <v>ud</v>
          </cell>
          <cell r="D2244">
            <v>14.45</v>
          </cell>
          <cell r="E2244">
            <v>0</v>
          </cell>
          <cell r="F2244">
            <v>14.45</v>
          </cell>
        </row>
        <row r="2245">
          <cell r="A2245" t="str">
            <v>171505</v>
          </cell>
          <cell r="B2245" t="str">
            <v>7,01 Km &lt; distância média &lt;= 9,00 km</v>
          </cell>
          <cell r="C2245" t="str">
            <v>ud</v>
          </cell>
          <cell r="D2245">
            <v>16.52</v>
          </cell>
          <cell r="E2245">
            <v>0</v>
          </cell>
          <cell r="F2245">
            <v>16.52</v>
          </cell>
        </row>
        <row r="2246">
          <cell r="A2246" t="str">
            <v>171506</v>
          </cell>
          <cell r="B2246" t="str">
            <v>9,01 Km &lt; distância média &lt;= 11,00 km</v>
          </cell>
          <cell r="C2246" t="str">
            <v>ud</v>
          </cell>
          <cell r="D2246">
            <v>20.65</v>
          </cell>
          <cell r="E2246">
            <v>0</v>
          </cell>
          <cell r="F2246">
            <v>20.65</v>
          </cell>
        </row>
        <row r="2247">
          <cell r="A2247" t="str">
            <v>171507</v>
          </cell>
          <cell r="B2247" t="str">
            <v>11,01 Km &lt; distância média &lt;= 13,00 km</v>
          </cell>
          <cell r="C2247" t="str">
            <v>ud</v>
          </cell>
          <cell r="D2247">
            <v>24.77</v>
          </cell>
          <cell r="E2247">
            <v>0</v>
          </cell>
          <cell r="F2247">
            <v>24.77</v>
          </cell>
        </row>
        <row r="2248">
          <cell r="A2248" t="str">
            <v>171508</v>
          </cell>
          <cell r="B2248" t="str">
            <v>13,01 Km &lt; distância média &lt;= 15,00 km</v>
          </cell>
          <cell r="C2248" t="str">
            <v>ud</v>
          </cell>
          <cell r="D2248">
            <v>28.91</v>
          </cell>
          <cell r="E2248">
            <v>0</v>
          </cell>
          <cell r="F2248">
            <v>28.91</v>
          </cell>
        </row>
        <row r="2249">
          <cell r="A2249" t="str">
            <v>171509</v>
          </cell>
          <cell r="B2249" t="str">
            <v>15,01 Km &lt; distância média &lt;= 20,00 km</v>
          </cell>
          <cell r="C2249" t="str">
            <v>ud</v>
          </cell>
          <cell r="D2249">
            <v>31.62</v>
          </cell>
          <cell r="E2249">
            <v>0</v>
          </cell>
          <cell r="F2249">
            <v>31.62</v>
          </cell>
        </row>
        <row r="2250">
          <cell r="A2250" t="str">
            <v>171510</v>
          </cell>
          <cell r="B2250" t="str">
            <v>20,01 Km &lt; distância média &lt;= 25,00 km</v>
          </cell>
          <cell r="C2250" t="str">
            <v>ud</v>
          </cell>
          <cell r="D2250">
            <v>40.659999999999997</v>
          </cell>
          <cell r="E2250">
            <v>0</v>
          </cell>
          <cell r="F2250">
            <v>40.659999999999997</v>
          </cell>
        </row>
        <row r="2251">
          <cell r="A2251" t="str">
            <v>171511</v>
          </cell>
          <cell r="B2251" t="str">
            <v>25,01 Km &lt; distância média &lt;= 30,00 km</v>
          </cell>
          <cell r="C2251" t="str">
            <v>ud</v>
          </cell>
          <cell r="D2251">
            <v>49.69</v>
          </cell>
          <cell r="E2251">
            <v>0</v>
          </cell>
          <cell r="F2251">
            <v>49.69</v>
          </cell>
        </row>
        <row r="2252">
          <cell r="A2252" t="str">
            <v>1716</v>
          </cell>
          <cell r="B2252" t="str">
            <v>DESCONEXÃO DE TOMADA DE ÁGUA</v>
          </cell>
        </row>
        <row r="2253">
          <cell r="A2253" t="str">
            <v>171601</v>
          </cell>
          <cell r="B2253" t="str">
            <v>No passeio sem pavimento</v>
          </cell>
          <cell r="C2253" t="str">
            <v>ud</v>
          </cell>
          <cell r="D2253">
            <v>19.350000000000001</v>
          </cell>
          <cell r="E2253">
            <v>0</v>
          </cell>
          <cell r="F2253">
            <v>19.350000000000001</v>
          </cell>
        </row>
        <row r="2254">
          <cell r="A2254" t="str">
            <v>171602</v>
          </cell>
          <cell r="B2254" t="str">
            <v>No passeio pavimentado</v>
          </cell>
          <cell r="C2254" t="str">
            <v>ud</v>
          </cell>
          <cell r="D2254">
            <v>31.54</v>
          </cell>
          <cell r="E2254">
            <v>6.83</v>
          </cell>
          <cell r="F2254">
            <v>38.369999999999997</v>
          </cell>
        </row>
        <row r="2255">
          <cell r="A2255" t="str">
            <v>171603</v>
          </cell>
          <cell r="B2255" t="str">
            <v>Na rua sem pavimento</v>
          </cell>
          <cell r="C2255" t="str">
            <v>ud</v>
          </cell>
          <cell r="D2255">
            <v>19.350000000000001</v>
          </cell>
          <cell r="E2255">
            <v>0</v>
          </cell>
          <cell r="F2255">
            <v>19.350000000000001</v>
          </cell>
        </row>
        <row r="2256">
          <cell r="A2256" t="str">
            <v>171604</v>
          </cell>
          <cell r="B2256" t="str">
            <v>Na rua pavimentada</v>
          </cell>
          <cell r="C2256" t="str">
            <v>ud</v>
          </cell>
          <cell r="D2256">
            <v>24.22</v>
          </cell>
          <cell r="E2256">
            <v>3.05</v>
          </cell>
          <cell r="F2256">
            <v>27.27</v>
          </cell>
        </row>
        <row r="2257">
          <cell r="A2257" t="str">
            <v>1717</v>
          </cell>
          <cell r="B2257" t="str">
            <v>EXECUÇÃO DE PADRONIZAÇÃO DE LIGAÇÃO PREDIAL DE ÁGUA</v>
          </cell>
        </row>
        <row r="2258">
          <cell r="A2258" t="str">
            <v>171701</v>
          </cell>
          <cell r="B2258" t="str">
            <v>Tomada de água - rede PVC ou FD</v>
          </cell>
          <cell r="C2258" t="str">
            <v>ud</v>
          </cell>
          <cell r="D2258">
            <v>18.72</v>
          </cell>
          <cell r="E2258">
            <v>0</v>
          </cell>
          <cell r="F2258">
            <v>18.72</v>
          </cell>
        </row>
        <row r="2259">
          <cell r="A2259" t="str">
            <v>171702</v>
          </cell>
          <cell r="B2259" t="str">
            <v>Tomada de água - rede PEAD</v>
          </cell>
          <cell r="C2259" t="str">
            <v>ud</v>
          </cell>
          <cell r="D2259">
            <v>55.89</v>
          </cell>
          <cell r="E2259">
            <v>0</v>
          </cell>
          <cell r="F2259">
            <v>55.89</v>
          </cell>
        </row>
        <row r="2260">
          <cell r="A2260" t="str">
            <v>171703</v>
          </cell>
          <cell r="B2260" t="str">
            <v>Ramal no passeio sem pavimento</v>
          </cell>
          <cell r="C2260" t="str">
            <v>m</v>
          </cell>
          <cell r="D2260">
            <v>15.07</v>
          </cell>
          <cell r="E2260">
            <v>0</v>
          </cell>
          <cell r="F2260">
            <v>15.07</v>
          </cell>
        </row>
        <row r="2261">
          <cell r="A2261" t="str">
            <v>171704</v>
          </cell>
          <cell r="B2261" t="str">
            <v>Ramal no passeio pavimentado</v>
          </cell>
          <cell r="C2261" t="str">
            <v>m</v>
          </cell>
          <cell r="D2261">
            <v>24.44</v>
          </cell>
          <cell r="E2261">
            <v>5.38</v>
          </cell>
          <cell r="F2261">
            <v>29.82</v>
          </cell>
        </row>
        <row r="2262">
          <cell r="A2262" t="str">
            <v>171705</v>
          </cell>
          <cell r="B2262" t="str">
            <v>Ramal na rua sem pavimento</v>
          </cell>
          <cell r="C2262" t="str">
            <v>m</v>
          </cell>
          <cell r="D2262">
            <v>19.940000000000001</v>
          </cell>
          <cell r="E2262">
            <v>0</v>
          </cell>
          <cell r="F2262">
            <v>19.940000000000001</v>
          </cell>
        </row>
        <row r="2263">
          <cell r="A2263" t="str">
            <v>171706</v>
          </cell>
          <cell r="B2263" t="str">
            <v>Ramal na rua pavimentada</v>
          </cell>
          <cell r="C2263" t="str">
            <v>m</v>
          </cell>
          <cell r="D2263">
            <v>24.35</v>
          </cell>
          <cell r="E2263">
            <v>2.54</v>
          </cell>
          <cell r="F2263">
            <v>26.89</v>
          </cell>
        </row>
        <row r="2264">
          <cell r="A2264" t="str">
            <v>171707</v>
          </cell>
          <cell r="B2264" t="str">
            <v>Cavalete / UMC / caixa subterrânea p/ HD 3/4"</v>
          </cell>
          <cell r="C2264" t="str">
            <v>ud</v>
          </cell>
          <cell r="D2264">
            <v>32.54</v>
          </cell>
          <cell r="E2264">
            <v>7.0000000000000007E-2</v>
          </cell>
          <cell r="F2264">
            <v>32.61</v>
          </cell>
        </row>
        <row r="2265">
          <cell r="A2265" t="str">
            <v>171708</v>
          </cell>
          <cell r="B2265" t="str">
            <v>Instalação de CPH</v>
          </cell>
          <cell r="C2265" t="str">
            <v>ud</v>
          </cell>
          <cell r="D2265">
            <v>81.59</v>
          </cell>
          <cell r="E2265">
            <v>8.44</v>
          </cell>
          <cell r="F2265">
            <v>90.03</v>
          </cell>
        </row>
        <row r="2266">
          <cell r="A2266" t="str">
            <v>171709</v>
          </cell>
          <cell r="B2266" t="str">
            <v>Caixa subterrânea p/ HD 1"</v>
          </cell>
          <cell r="C2266" t="str">
            <v>ud</v>
          </cell>
          <cell r="D2266">
            <v>43.06</v>
          </cell>
          <cell r="E2266">
            <v>1.42</v>
          </cell>
          <cell r="F2266">
            <v>44.48</v>
          </cell>
        </row>
        <row r="2267">
          <cell r="A2267" t="str">
            <v>171710</v>
          </cell>
          <cell r="B2267" t="str">
            <v>Caixa subterrânea p/ HD 1 1/2"</v>
          </cell>
          <cell r="C2267" t="str">
            <v>ud</v>
          </cell>
          <cell r="D2267">
            <v>56.16</v>
          </cell>
          <cell r="E2267">
            <v>1.42</v>
          </cell>
          <cell r="F2267">
            <v>57.58</v>
          </cell>
        </row>
        <row r="2268">
          <cell r="A2268" t="str">
            <v>171711</v>
          </cell>
          <cell r="B2268" t="str">
            <v>Caixa subterrânea p/ HD 2"</v>
          </cell>
          <cell r="C2268" t="str">
            <v>ud</v>
          </cell>
          <cell r="D2268">
            <v>69.260000000000005</v>
          </cell>
          <cell r="E2268">
            <v>1.42</v>
          </cell>
          <cell r="F2268">
            <v>70.680000000000007</v>
          </cell>
        </row>
        <row r="2269">
          <cell r="A2269" t="str">
            <v>1718</v>
          </cell>
          <cell r="B2269" t="str">
            <v>FORNECIMENTO DE MATERIAIS PARA PADRONIZAÇÃO DE LIGAÇÃO PREDIAL DE ÁGUA</v>
          </cell>
        </row>
        <row r="2270">
          <cell r="A2270" t="str">
            <v>171801</v>
          </cell>
          <cell r="B2270" t="str">
            <v>Tomada de água - rede PVC ou PEAD até 40 mm</v>
          </cell>
          <cell r="C2270" t="str">
            <v>ud</v>
          </cell>
          <cell r="D2270">
            <v>0</v>
          </cell>
          <cell r="E2270">
            <v>10.47</v>
          </cell>
          <cell r="F2270">
            <v>10.47</v>
          </cell>
        </row>
        <row r="2271">
          <cell r="A2271" t="str">
            <v>171802</v>
          </cell>
          <cell r="B2271" t="str">
            <v>Tomada de água - rede PVC de 50 a 150 mm</v>
          </cell>
          <cell r="C2271" t="str">
            <v>ud</v>
          </cell>
          <cell r="D2271">
            <v>0</v>
          </cell>
          <cell r="E2271">
            <v>27.85</v>
          </cell>
          <cell r="F2271">
            <v>27.85</v>
          </cell>
        </row>
        <row r="2272">
          <cell r="A2272" t="str">
            <v>171803</v>
          </cell>
          <cell r="B2272" t="str">
            <v>Tomada de água - rede FD de 50 a 150 mm</v>
          </cell>
          <cell r="C2272" t="str">
            <v>ud</v>
          </cell>
          <cell r="D2272">
            <v>0</v>
          </cell>
          <cell r="E2272">
            <v>60.13</v>
          </cell>
          <cell r="F2272">
            <v>60.13</v>
          </cell>
        </row>
        <row r="2273">
          <cell r="A2273" t="str">
            <v>171804</v>
          </cell>
          <cell r="B2273" t="str">
            <v>Tomada de água - rede PEAD de 50 a 160 mm</v>
          </cell>
          <cell r="C2273" t="str">
            <v>ud</v>
          </cell>
          <cell r="D2273">
            <v>0</v>
          </cell>
          <cell r="E2273">
            <v>0</v>
          </cell>
          <cell r="F2273">
            <v>0</v>
          </cell>
        </row>
        <row r="2274">
          <cell r="A2274" t="str">
            <v>171805</v>
          </cell>
          <cell r="B2274" t="str">
            <v>Ramal PEAD DE 20</v>
          </cell>
          <cell r="C2274" t="str">
            <v>m</v>
          </cell>
          <cell r="D2274">
            <v>0</v>
          </cell>
          <cell r="E2274">
            <v>3.27</v>
          </cell>
          <cell r="F2274">
            <v>3.27</v>
          </cell>
        </row>
        <row r="2275">
          <cell r="A2275" t="str">
            <v>171806</v>
          </cell>
          <cell r="B2275" t="str">
            <v>Ramal PEAD DE 32</v>
          </cell>
          <cell r="C2275" t="str">
            <v>m</v>
          </cell>
          <cell r="D2275">
            <v>0</v>
          </cell>
          <cell r="E2275">
            <v>6.45</v>
          </cell>
          <cell r="F2275">
            <v>6.45</v>
          </cell>
        </row>
        <row r="2276">
          <cell r="A2276" t="str">
            <v>171807</v>
          </cell>
          <cell r="B2276" t="str">
            <v>Ramal PVC DE 40</v>
          </cell>
          <cell r="C2276" t="str">
            <v>m</v>
          </cell>
          <cell r="D2276">
            <v>0</v>
          </cell>
          <cell r="E2276">
            <v>6.85</v>
          </cell>
          <cell r="F2276">
            <v>6.85</v>
          </cell>
        </row>
        <row r="2277">
          <cell r="A2277" t="str">
            <v>171808</v>
          </cell>
          <cell r="B2277" t="str">
            <v>Ramal PVC DN 50</v>
          </cell>
          <cell r="C2277" t="str">
            <v>m</v>
          </cell>
          <cell r="D2277">
            <v>0</v>
          </cell>
          <cell r="E2277">
            <v>6.96</v>
          </cell>
          <cell r="F2277">
            <v>6.96</v>
          </cell>
        </row>
        <row r="2278">
          <cell r="A2278" t="str">
            <v>171809</v>
          </cell>
          <cell r="B2278" t="str">
            <v>Cavalete 3/4"</v>
          </cell>
          <cell r="C2278" t="str">
            <v>ud</v>
          </cell>
          <cell r="D2278">
            <v>0</v>
          </cell>
          <cell r="E2278">
            <v>77.989999999999995</v>
          </cell>
          <cell r="F2278">
            <v>77.989999999999995</v>
          </cell>
        </row>
        <row r="2279">
          <cell r="A2279" t="str">
            <v>171810</v>
          </cell>
          <cell r="B2279" t="str">
            <v>UMC no piso</v>
          </cell>
          <cell r="C2279" t="str">
            <v>ud</v>
          </cell>
          <cell r="D2279">
            <v>0</v>
          </cell>
          <cell r="E2279">
            <v>64.16</v>
          </cell>
          <cell r="F2279">
            <v>64.16</v>
          </cell>
        </row>
        <row r="2280">
          <cell r="A2280" t="str">
            <v>171811</v>
          </cell>
          <cell r="B2280" t="str">
            <v>UMC na parede ou CPH</v>
          </cell>
          <cell r="C2280" t="str">
            <v>ud</v>
          </cell>
          <cell r="D2280">
            <v>0</v>
          </cell>
          <cell r="E2280">
            <v>56.16</v>
          </cell>
          <cell r="F2280">
            <v>56.16</v>
          </cell>
        </row>
        <row r="2281">
          <cell r="A2281" t="str">
            <v>171812</v>
          </cell>
          <cell r="B2281" t="str">
            <v>Caixa subterrânea p/ HD 3/4"</v>
          </cell>
          <cell r="C2281" t="str">
            <v>ud</v>
          </cell>
          <cell r="D2281">
            <v>0</v>
          </cell>
          <cell r="E2281">
            <v>45.82</v>
          </cell>
          <cell r="F2281">
            <v>45.82</v>
          </cell>
        </row>
        <row r="2282">
          <cell r="A2282" t="str">
            <v>171813</v>
          </cell>
          <cell r="B2282" t="str">
            <v xml:space="preserve">Caixa subterrânea p/ HD 1" </v>
          </cell>
          <cell r="C2282" t="str">
            <v>ud</v>
          </cell>
          <cell r="D2282">
            <v>0</v>
          </cell>
          <cell r="E2282">
            <v>116.1</v>
          </cell>
          <cell r="F2282">
            <v>116.1</v>
          </cell>
        </row>
        <row r="2283">
          <cell r="A2283" t="str">
            <v>171814</v>
          </cell>
          <cell r="B2283" t="str">
            <v>Caixa subterrânea p/ HD 1 1/2"</v>
          </cell>
          <cell r="C2283" t="str">
            <v>ud</v>
          </cell>
          <cell r="D2283">
            <v>0</v>
          </cell>
          <cell r="E2283">
            <v>203.68</v>
          </cell>
          <cell r="F2283">
            <v>203.68</v>
          </cell>
        </row>
        <row r="2284">
          <cell r="A2284" t="str">
            <v>171815</v>
          </cell>
          <cell r="B2284" t="str">
            <v>Caixa subterrânea p/ HD 2"</v>
          </cell>
          <cell r="C2284" t="str">
            <v>ud</v>
          </cell>
          <cell r="D2284">
            <v>0</v>
          </cell>
          <cell r="E2284">
            <v>317.36</v>
          </cell>
          <cell r="F2284">
            <v>317.36</v>
          </cell>
        </row>
        <row r="2285">
          <cell r="A2285" t="str">
            <v>1719</v>
          </cell>
          <cell r="B2285" t="str">
            <v>EXECUÇÃO DE LIGAÇÃO PREDIAL DE ESGOTO - DN 100</v>
          </cell>
        </row>
        <row r="2286">
          <cell r="A2286" t="str">
            <v>171901</v>
          </cell>
          <cell r="B2286" t="str">
            <v>No passeio sem pavimento</v>
          </cell>
          <cell r="C2286" t="str">
            <v>ud</v>
          </cell>
          <cell r="D2286">
            <v>162.35</v>
          </cell>
          <cell r="E2286">
            <v>38.01</v>
          </cell>
          <cell r="F2286">
            <v>200.36</v>
          </cell>
        </row>
        <row r="2287">
          <cell r="A2287" t="str">
            <v>171902</v>
          </cell>
          <cell r="B2287" t="str">
            <v>No passeio pavimentado</v>
          </cell>
          <cell r="C2287" t="str">
            <v>ud</v>
          </cell>
          <cell r="D2287">
            <v>202.11</v>
          </cell>
          <cell r="E2287">
            <v>57.08</v>
          </cell>
          <cell r="F2287">
            <v>259.19</v>
          </cell>
        </row>
        <row r="2288">
          <cell r="A2288" t="str">
            <v>171903</v>
          </cell>
          <cell r="B2288" t="str">
            <v>Na rua, passeio e rua sem pavimento</v>
          </cell>
          <cell r="C2288" t="str">
            <v>ud</v>
          </cell>
          <cell r="D2288">
            <v>290.76</v>
          </cell>
          <cell r="E2288">
            <v>48.21</v>
          </cell>
          <cell r="F2288">
            <v>338.97</v>
          </cell>
        </row>
        <row r="2289">
          <cell r="A2289" t="str">
            <v>171904</v>
          </cell>
          <cell r="B2289" t="str">
            <v>Na rua, passeio sem pavimento e rua pavimentada</v>
          </cell>
          <cell r="C2289" t="str">
            <v>ud</v>
          </cell>
          <cell r="D2289">
            <v>327.7</v>
          </cell>
          <cell r="E2289">
            <v>62.84</v>
          </cell>
          <cell r="F2289">
            <v>390.54</v>
          </cell>
        </row>
        <row r="2290">
          <cell r="A2290" t="str">
            <v>171905</v>
          </cell>
          <cell r="B2290" t="str">
            <v>Na rua, passeio pavimentado e rua sem pavimento</v>
          </cell>
          <cell r="C2290" t="str">
            <v>ud</v>
          </cell>
          <cell r="D2290">
            <v>410.02</v>
          </cell>
          <cell r="E2290">
            <v>105.41</v>
          </cell>
          <cell r="F2290">
            <v>515.42999999999995</v>
          </cell>
        </row>
        <row r="2291">
          <cell r="A2291" t="str">
            <v>171906</v>
          </cell>
          <cell r="B2291" t="str">
            <v>Na rua, passeio e rua pavimentados</v>
          </cell>
          <cell r="C2291" t="str">
            <v>ud</v>
          </cell>
          <cell r="D2291">
            <v>446.96</v>
          </cell>
          <cell r="E2291">
            <v>120.04</v>
          </cell>
          <cell r="F2291">
            <v>567</v>
          </cell>
        </row>
        <row r="2292">
          <cell r="A2292" t="str">
            <v>171907</v>
          </cell>
          <cell r="B2292" t="str">
            <v>No outro lado da rua, passeio e rua sem pavimento</v>
          </cell>
          <cell r="C2292" t="str">
            <v>ud</v>
          </cell>
          <cell r="D2292">
            <v>441.11</v>
          </cell>
          <cell r="E2292">
            <v>62.86</v>
          </cell>
          <cell r="F2292">
            <v>503.97</v>
          </cell>
        </row>
        <row r="2293">
          <cell r="A2293" t="str">
            <v>171908</v>
          </cell>
          <cell r="B2293" t="str">
            <v>No outro lado da rua, passeio sem pavimento e rua pavimentada</v>
          </cell>
          <cell r="C2293" t="str">
            <v>ud</v>
          </cell>
          <cell r="D2293">
            <v>514.99</v>
          </cell>
          <cell r="E2293">
            <v>92.12</v>
          </cell>
          <cell r="F2293">
            <v>607.11</v>
          </cell>
        </row>
        <row r="2294">
          <cell r="A2294" t="str">
            <v>171909</v>
          </cell>
          <cell r="B2294" t="str">
            <v>No outro lado da rua, passeio pavimentado e rua sem pavimento</v>
          </cell>
          <cell r="C2294" t="str">
            <v>ud</v>
          </cell>
          <cell r="D2294">
            <v>639.87</v>
          </cell>
          <cell r="E2294">
            <v>158.19</v>
          </cell>
          <cell r="F2294">
            <v>798.06</v>
          </cell>
        </row>
        <row r="2295">
          <cell r="A2295" t="str">
            <v>171910</v>
          </cell>
          <cell r="B2295" t="str">
            <v>No outro lado da rua, passeio e rua pavimentados</v>
          </cell>
          <cell r="C2295" t="str">
            <v>ud</v>
          </cell>
          <cell r="D2295">
            <v>713.75</v>
          </cell>
          <cell r="E2295">
            <v>187.45</v>
          </cell>
          <cell r="F2295">
            <v>901.2</v>
          </cell>
        </row>
        <row r="2296">
          <cell r="A2296" t="str">
            <v>1720</v>
          </cell>
          <cell r="B2296" t="str">
            <v>EXECUÇÃO DE LIGAÇÃO PREDIAL DE ESGOTO - DN 150</v>
          </cell>
        </row>
        <row r="2297">
          <cell r="A2297" t="str">
            <v>172001</v>
          </cell>
          <cell r="B2297" t="str">
            <v>No passeio sem pavimento</v>
          </cell>
          <cell r="C2297" t="str">
            <v>ud</v>
          </cell>
          <cell r="D2297">
            <v>162.35</v>
          </cell>
          <cell r="E2297">
            <v>38.56</v>
          </cell>
          <cell r="F2297">
            <v>200.91</v>
          </cell>
        </row>
        <row r="2298">
          <cell r="A2298" t="str">
            <v>172002</v>
          </cell>
          <cell r="B2298" t="str">
            <v>No passeio pavimentado</v>
          </cell>
          <cell r="C2298" t="str">
            <v>ud</v>
          </cell>
          <cell r="D2298">
            <v>202.11</v>
          </cell>
          <cell r="E2298">
            <v>57.63</v>
          </cell>
          <cell r="F2298">
            <v>259.74</v>
          </cell>
        </row>
        <row r="2299">
          <cell r="A2299" t="str">
            <v>172003</v>
          </cell>
          <cell r="B2299" t="str">
            <v>Na rua, passeio e rua sem pavimento</v>
          </cell>
          <cell r="C2299" t="str">
            <v>ud</v>
          </cell>
          <cell r="D2299">
            <v>290.91000000000003</v>
          </cell>
          <cell r="E2299">
            <v>49.31</v>
          </cell>
          <cell r="F2299">
            <v>340.22</v>
          </cell>
        </row>
        <row r="2300">
          <cell r="A2300" t="str">
            <v>172004</v>
          </cell>
          <cell r="B2300" t="str">
            <v>Na rua, passeio sem pavimento e rua pavimentada</v>
          </cell>
          <cell r="C2300" t="str">
            <v>ud</v>
          </cell>
          <cell r="D2300">
            <v>327.85</v>
          </cell>
          <cell r="E2300">
            <v>63.94</v>
          </cell>
          <cell r="F2300">
            <v>391.79</v>
          </cell>
        </row>
        <row r="2301">
          <cell r="A2301" t="str">
            <v>172005</v>
          </cell>
          <cell r="B2301" t="str">
            <v>Na rua, passeio pavimentado e rua sem pavimento</v>
          </cell>
          <cell r="C2301" t="str">
            <v>ud</v>
          </cell>
          <cell r="D2301">
            <v>410.17</v>
          </cell>
          <cell r="E2301">
            <v>106.51</v>
          </cell>
          <cell r="F2301">
            <v>516.67999999999995</v>
          </cell>
        </row>
        <row r="2302">
          <cell r="A2302" t="str">
            <v>172006</v>
          </cell>
          <cell r="B2302" t="str">
            <v>Na rua, passeio e rua pavimentados</v>
          </cell>
          <cell r="C2302" t="str">
            <v>ud</v>
          </cell>
          <cell r="D2302">
            <v>447.11</v>
          </cell>
          <cell r="E2302">
            <v>121.14</v>
          </cell>
          <cell r="F2302">
            <v>568.25</v>
          </cell>
        </row>
        <row r="2303">
          <cell r="A2303" t="str">
            <v>172007</v>
          </cell>
          <cell r="B2303" t="str">
            <v>No outro lado da rua, passeio e rua sem pavimento</v>
          </cell>
          <cell r="C2303" t="str">
            <v>ud</v>
          </cell>
          <cell r="D2303">
            <v>441.42</v>
          </cell>
          <cell r="E2303">
            <v>64.510000000000005</v>
          </cell>
          <cell r="F2303">
            <v>505.93</v>
          </cell>
        </row>
        <row r="2304">
          <cell r="A2304" t="str">
            <v>172008</v>
          </cell>
          <cell r="B2304" t="str">
            <v>No outro lado da rua, passeio sem pavimento e rua pavimentada</v>
          </cell>
          <cell r="C2304" t="str">
            <v>ud</v>
          </cell>
          <cell r="D2304">
            <v>515.29999999999995</v>
          </cell>
          <cell r="E2304">
            <v>93.77</v>
          </cell>
          <cell r="F2304">
            <v>609.07000000000005</v>
          </cell>
        </row>
        <row r="2305">
          <cell r="A2305" t="str">
            <v>172009</v>
          </cell>
          <cell r="B2305" t="str">
            <v>No outro lado da rua, passeio pavimentado e rua sem pavimento</v>
          </cell>
          <cell r="C2305" t="str">
            <v>ud</v>
          </cell>
          <cell r="D2305">
            <v>640.17999999999995</v>
          </cell>
          <cell r="E2305">
            <v>159.84</v>
          </cell>
          <cell r="F2305">
            <v>800.02</v>
          </cell>
        </row>
        <row r="2306">
          <cell r="A2306" t="str">
            <v>172010</v>
          </cell>
          <cell r="B2306" t="str">
            <v>No outro lado da rua, passeio e rua pavimentados</v>
          </cell>
          <cell r="C2306" t="str">
            <v>ud</v>
          </cell>
          <cell r="D2306">
            <v>714.06</v>
          </cell>
          <cell r="E2306">
            <v>189.1</v>
          </cell>
          <cell r="F2306">
            <v>903.16</v>
          </cell>
        </row>
        <row r="2307">
          <cell r="A2307" t="str">
            <v>1721</v>
          </cell>
          <cell r="B2307" t="str">
            <v>ACRÉSCIMO PARA LIGAÇÃO PREDIAL DE ESGOTO</v>
          </cell>
        </row>
        <row r="2308">
          <cell r="A2308" t="str">
            <v>172101</v>
          </cell>
          <cell r="B2308" t="str">
            <v>2,00 m &lt; profundidade da rede &lt;= 2,50 m</v>
          </cell>
          <cell r="C2308" t="str">
            <v>ud</v>
          </cell>
          <cell r="D2308">
            <v>28.24</v>
          </cell>
          <cell r="E2308">
            <v>0.64</v>
          </cell>
          <cell r="F2308">
            <v>28.88</v>
          </cell>
        </row>
        <row r="2309">
          <cell r="A2309" t="str">
            <v>172102</v>
          </cell>
          <cell r="B2309" t="str">
            <v>2,50 m &lt; profundidade da rede &lt;= 3,00 m</v>
          </cell>
          <cell r="C2309" t="str">
            <v>ud</v>
          </cell>
          <cell r="D2309">
            <v>56.47</v>
          </cell>
          <cell r="E2309">
            <v>1.28</v>
          </cell>
          <cell r="F2309">
            <v>57.75</v>
          </cell>
        </row>
        <row r="2310">
          <cell r="A2310" t="str">
            <v>172103</v>
          </cell>
          <cell r="B2310" t="str">
            <v>3,00 m &lt; profundidade da rede &lt;= 3,50 m</v>
          </cell>
          <cell r="C2310" t="str">
            <v>ud</v>
          </cell>
          <cell r="D2310">
            <v>87.07</v>
          </cell>
          <cell r="E2310">
            <v>1.92</v>
          </cell>
          <cell r="F2310">
            <v>88.99</v>
          </cell>
        </row>
        <row r="2311">
          <cell r="A2311" t="str">
            <v>172104</v>
          </cell>
          <cell r="B2311" t="str">
            <v>3,50 m &lt; profundidade da rede &lt;= 4,00 m</v>
          </cell>
          <cell r="C2311" t="str">
            <v>ud</v>
          </cell>
          <cell r="D2311">
            <v>116.09</v>
          </cell>
          <cell r="E2311">
            <v>2.56</v>
          </cell>
          <cell r="F2311">
            <v>118.65</v>
          </cell>
        </row>
        <row r="2312">
          <cell r="A2312" t="str">
            <v>172105</v>
          </cell>
          <cell r="B2312" t="str">
            <v>4,00 m &lt; profundidade da rede &lt;= 4,50 m</v>
          </cell>
          <cell r="C2312" t="str">
            <v>ud</v>
          </cell>
          <cell r="D2312">
            <v>145.12</v>
          </cell>
          <cell r="E2312">
            <v>3.2</v>
          </cell>
          <cell r="F2312">
            <v>148.32</v>
          </cell>
        </row>
        <row r="2313">
          <cell r="A2313" t="str">
            <v>172106</v>
          </cell>
          <cell r="B2313" t="str">
            <v>4,50 m &lt; profundidade da rede</v>
          </cell>
          <cell r="C2313" t="str">
            <v>ud</v>
          </cell>
          <cell r="D2313">
            <v>174.14</v>
          </cell>
          <cell r="E2313">
            <v>3.84</v>
          </cell>
          <cell r="F2313">
            <v>177.98</v>
          </cell>
        </row>
        <row r="2314">
          <cell r="A2314" t="str">
            <v>1722</v>
          </cell>
          <cell r="B2314" t="str">
            <v>DESLOCAMENTO PARA LIGAÇÃO PREDIAL DE ESGOTO</v>
          </cell>
        </row>
        <row r="2315">
          <cell r="A2315" t="str">
            <v>172201</v>
          </cell>
          <cell r="B2315" t="str">
            <v>distância média &lt;= 1,00 km</v>
          </cell>
          <cell r="C2315" t="str">
            <v>ud</v>
          </cell>
          <cell r="D2315">
            <v>3</v>
          </cell>
          <cell r="E2315">
            <v>0</v>
          </cell>
          <cell r="F2315">
            <v>3</v>
          </cell>
        </row>
        <row r="2316">
          <cell r="A2316" t="str">
            <v>172202</v>
          </cell>
          <cell r="B2316" t="str">
            <v>1,01 Km &lt; distância média &lt;= 3,00 km</v>
          </cell>
          <cell r="C2316" t="str">
            <v>ud</v>
          </cell>
          <cell r="D2316">
            <v>5.99</v>
          </cell>
          <cell r="E2316">
            <v>0</v>
          </cell>
          <cell r="F2316">
            <v>5.99</v>
          </cell>
        </row>
        <row r="2317">
          <cell r="A2317" t="str">
            <v>172203</v>
          </cell>
          <cell r="B2317" t="str">
            <v>3,01 Km &lt; distância média &lt;= 5,00 km</v>
          </cell>
          <cell r="C2317" t="str">
            <v>ud</v>
          </cell>
          <cell r="D2317">
            <v>11.99</v>
          </cell>
          <cell r="E2317">
            <v>0</v>
          </cell>
          <cell r="F2317">
            <v>11.99</v>
          </cell>
        </row>
        <row r="2318">
          <cell r="A2318" t="str">
            <v>172204</v>
          </cell>
          <cell r="B2318" t="str">
            <v>5,01 Km &lt; distância média &lt;= 7,00 km</v>
          </cell>
          <cell r="C2318" t="str">
            <v>ud</v>
          </cell>
          <cell r="D2318">
            <v>17.989999999999998</v>
          </cell>
          <cell r="E2318">
            <v>0</v>
          </cell>
          <cell r="F2318">
            <v>17.989999999999998</v>
          </cell>
        </row>
        <row r="2319">
          <cell r="A2319" t="str">
            <v>172205</v>
          </cell>
          <cell r="B2319" t="str">
            <v>7,01 Km &lt; distância média &lt;= 9,00 km</v>
          </cell>
          <cell r="C2319" t="str">
            <v>ud</v>
          </cell>
          <cell r="D2319">
            <v>20.56</v>
          </cell>
          <cell r="E2319">
            <v>0</v>
          </cell>
          <cell r="F2319">
            <v>20.56</v>
          </cell>
        </row>
        <row r="2320">
          <cell r="A2320" t="str">
            <v>172206</v>
          </cell>
          <cell r="B2320" t="str">
            <v>9,01 Km &lt; distância média &lt;= 11,00 km</v>
          </cell>
          <cell r="C2320" t="str">
            <v>ud</v>
          </cell>
          <cell r="D2320">
            <v>25.7</v>
          </cell>
          <cell r="E2320">
            <v>0</v>
          </cell>
          <cell r="F2320">
            <v>25.7</v>
          </cell>
        </row>
        <row r="2321">
          <cell r="A2321" t="str">
            <v>172207</v>
          </cell>
          <cell r="B2321" t="str">
            <v>11,01 Km &lt; distância média &lt;= 13,00 km</v>
          </cell>
          <cell r="C2321" t="str">
            <v>ud</v>
          </cell>
          <cell r="D2321">
            <v>30.83</v>
          </cell>
          <cell r="E2321">
            <v>0</v>
          </cell>
          <cell r="F2321">
            <v>30.83</v>
          </cell>
        </row>
        <row r="2322">
          <cell r="A2322" t="str">
            <v>172208</v>
          </cell>
          <cell r="B2322" t="str">
            <v>13,01 Km &lt; distância média &lt;= 15,00 km</v>
          </cell>
          <cell r="C2322" t="str">
            <v>ud</v>
          </cell>
          <cell r="D2322">
            <v>35.979999999999997</v>
          </cell>
          <cell r="E2322">
            <v>0</v>
          </cell>
          <cell r="F2322">
            <v>35.979999999999997</v>
          </cell>
        </row>
        <row r="2323">
          <cell r="A2323" t="str">
            <v>172209</v>
          </cell>
          <cell r="B2323" t="str">
            <v>15,01 Km &lt; distância média &lt;= 20,00 km</v>
          </cell>
          <cell r="C2323" t="str">
            <v>ud</v>
          </cell>
          <cell r="D2323">
            <v>39.36</v>
          </cell>
          <cell r="E2323">
            <v>0</v>
          </cell>
          <cell r="F2323">
            <v>39.36</v>
          </cell>
        </row>
        <row r="2324">
          <cell r="A2324" t="str">
            <v>172210</v>
          </cell>
          <cell r="B2324" t="str">
            <v>20,01 Km &lt; distância média &lt;= 25,00 km</v>
          </cell>
          <cell r="C2324" t="str">
            <v>ud</v>
          </cell>
          <cell r="D2324">
            <v>50.6</v>
          </cell>
          <cell r="E2324">
            <v>0</v>
          </cell>
          <cell r="F2324">
            <v>50.6</v>
          </cell>
        </row>
        <row r="2325">
          <cell r="A2325" t="str">
            <v>172211</v>
          </cell>
          <cell r="B2325" t="str">
            <v>25,01 Km &lt; distância média &lt;= 30,00 km</v>
          </cell>
          <cell r="C2325" t="str">
            <v>ud</v>
          </cell>
          <cell r="D2325">
            <v>61.84</v>
          </cell>
          <cell r="E2325">
            <v>0</v>
          </cell>
          <cell r="F2325">
            <v>61.84</v>
          </cell>
        </row>
        <row r="2326">
          <cell r="A2326" t="str">
            <v>20</v>
          </cell>
          <cell r="B2326" t="str">
            <v>MATERIAL DE CONCRETO</v>
          </cell>
        </row>
        <row r="2327">
          <cell r="A2327" t="str">
            <v>2001</v>
          </cell>
          <cell r="B2327" t="str">
            <v>TAMPA / COPO DE CONCRETO</v>
          </cell>
        </row>
        <row r="2328">
          <cell r="A2328" t="str">
            <v>200101</v>
          </cell>
          <cell r="B2328" t="str">
            <v>Tampa/copo de concreto DN 100 (282299)</v>
          </cell>
          <cell r="C2328" t="str">
            <v>ud</v>
          </cell>
          <cell r="D2328">
            <v>0</v>
          </cell>
          <cell r="E2328">
            <v>12</v>
          </cell>
          <cell r="F2328">
            <v>12</v>
          </cell>
        </row>
        <row r="2329">
          <cell r="A2329" t="str">
            <v>200102</v>
          </cell>
          <cell r="B2329" t="str">
            <v>Tampa/copo de concreto DN 150 (282300)</v>
          </cell>
          <cell r="C2329" t="str">
            <v>ud</v>
          </cell>
          <cell r="D2329">
            <v>0</v>
          </cell>
          <cell r="E2329">
            <v>18</v>
          </cell>
          <cell r="F2329">
            <v>18</v>
          </cell>
        </row>
        <row r="2330">
          <cell r="A2330" t="str">
            <v>2002</v>
          </cell>
          <cell r="B2330" t="str">
            <v>TUBO DE CONCRETO</v>
          </cell>
        </row>
        <row r="2331">
          <cell r="A2331" t="str">
            <v>200201</v>
          </cell>
          <cell r="B2331" t="str">
            <v>Tubo de concreto JE  EA2  DN   300 (18929)</v>
          </cell>
          <cell r="C2331" t="str">
            <v>m</v>
          </cell>
          <cell r="D2331">
            <v>0</v>
          </cell>
        </row>
        <row r="2332">
          <cell r="A2332" t="str">
            <v>200202</v>
          </cell>
          <cell r="B2332" t="str">
            <v>Tubo de concreto JE  EA2  DN   350 (71374)</v>
          </cell>
          <cell r="C2332" t="str">
            <v>m</v>
          </cell>
          <cell r="D2332">
            <v>0</v>
          </cell>
        </row>
        <row r="2333">
          <cell r="A2333" t="str">
            <v>200203</v>
          </cell>
          <cell r="B2333" t="str">
            <v>Tubo de concreto JE  EA2  DN   400 (42463)</v>
          </cell>
          <cell r="C2333" t="str">
            <v>m</v>
          </cell>
          <cell r="D2333">
            <v>0</v>
          </cell>
          <cell r="E2333">
            <v>79.89</v>
          </cell>
          <cell r="F2333">
            <v>79.89</v>
          </cell>
          <cell r="G2333">
            <v>7740</v>
          </cell>
        </row>
        <row r="2334">
          <cell r="A2334" t="str">
            <v>200204</v>
          </cell>
          <cell r="B2334" t="str">
            <v>Tubo de concreto JE  EA2  DN   500 (202894)</v>
          </cell>
          <cell r="C2334" t="str">
            <v>m</v>
          </cell>
          <cell r="D2334">
            <v>0</v>
          </cell>
          <cell r="E2334">
            <v>100.83</v>
          </cell>
          <cell r="F2334">
            <v>100.83</v>
          </cell>
          <cell r="G2334">
            <v>7741</v>
          </cell>
        </row>
        <row r="2335">
          <cell r="A2335" t="str">
            <v>200205</v>
          </cell>
          <cell r="B2335" t="str">
            <v>Tubo de concreto JE  EA2  DN   600 (199621)</v>
          </cell>
          <cell r="C2335" t="str">
            <v>m</v>
          </cell>
          <cell r="D2335">
            <v>0</v>
          </cell>
          <cell r="E2335">
            <v>135.72999999999999</v>
          </cell>
          <cell r="F2335">
            <v>135.72999999999999</v>
          </cell>
          <cell r="G2335">
            <v>7774</v>
          </cell>
        </row>
        <row r="2336">
          <cell r="A2336" t="str">
            <v>200206</v>
          </cell>
          <cell r="B2336" t="str">
            <v>Tubo de concreto JE  EA2  DN   700 (202908)</v>
          </cell>
          <cell r="C2336" t="str">
            <v>m</v>
          </cell>
          <cell r="D2336">
            <v>0</v>
          </cell>
          <cell r="E2336">
            <v>156.47</v>
          </cell>
          <cell r="F2336">
            <v>156.47</v>
          </cell>
          <cell r="G2336">
            <v>7744</v>
          </cell>
        </row>
        <row r="2337">
          <cell r="A2337" t="str">
            <v>200207</v>
          </cell>
          <cell r="B2337" t="str">
            <v>Tubo de concreto JE  EA2  DN   800 (202916)</v>
          </cell>
          <cell r="C2337" t="str">
            <v>m</v>
          </cell>
          <cell r="D2337">
            <v>0</v>
          </cell>
          <cell r="E2337">
            <v>194.86</v>
          </cell>
          <cell r="F2337">
            <v>194.86</v>
          </cell>
          <cell r="G2337">
            <v>7773</v>
          </cell>
        </row>
        <row r="2338">
          <cell r="A2338" t="str">
            <v>200208</v>
          </cell>
          <cell r="B2338" t="str">
            <v>Tubo de concreto JE  EA2  DN   900 (232645)</v>
          </cell>
          <cell r="C2338" t="str">
            <v>m</v>
          </cell>
          <cell r="D2338">
            <v>0</v>
          </cell>
          <cell r="E2338">
            <v>264.8</v>
          </cell>
          <cell r="F2338">
            <v>264.8</v>
          </cell>
          <cell r="G2338">
            <v>7754</v>
          </cell>
        </row>
        <row r="2339">
          <cell r="A2339" t="str">
            <v>200209</v>
          </cell>
          <cell r="B2339" t="str">
            <v>Tubo de concreto JE  EA2  DN 1000 (233544)</v>
          </cell>
          <cell r="C2339" t="str">
            <v>m</v>
          </cell>
          <cell r="D2339">
            <v>0</v>
          </cell>
          <cell r="E2339">
            <v>287.51</v>
          </cell>
          <cell r="F2339">
            <v>287.51</v>
          </cell>
          <cell r="G2339">
            <v>7720</v>
          </cell>
        </row>
        <row r="2340">
          <cell r="A2340" t="str">
            <v>200210</v>
          </cell>
          <cell r="B2340" t="str">
            <v>Tubo de concreto JE  EA2  DN 1200 (42480)</v>
          </cell>
          <cell r="C2340" t="str">
            <v>m</v>
          </cell>
          <cell r="D2340">
            <v>0</v>
          </cell>
          <cell r="G2340">
            <v>7749</v>
          </cell>
        </row>
        <row r="2341">
          <cell r="A2341" t="str">
            <v>200220</v>
          </cell>
          <cell r="B2341" t="str">
            <v>Tubo de concreto JE  EA3  DN   300</v>
          </cell>
          <cell r="C2341" t="str">
            <v>m</v>
          </cell>
          <cell r="D2341">
            <v>0</v>
          </cell>
        </row>
        <row r="2342">
          <cell r="A2342" t="str">
            <v>200221</v>
          </cell>
          <cell r="B2342" t="str">
            <v>Tubo de concreto JE  EA3  DN   350</v>
          </cell>
          <cell r="C2342" t="str">
            <v>m</v>
          </cell>
          <cell r="D2342">
            <v>0</v>
          </cell>
        </row>
        <row r="2343">
          <cell r="A2343" t="str">
            <v>200222</v>
          </cell>
          <cell r="B2343" t="str">
            <v>Tubo de concreto JE  EA3  DN   400 (89915)</v>
          </cell>
          <cell r="C2343" t="str">
            <v>m</v>
          </cell>
          <cell r="D2343">
            <v>0</v>
          </cell>
          <cell r="E2343">
            <v>97.33</v>
          </cell>
          <cell r="F2343">
            <v>97.33</v>
          </cell>
          <cell r="G2343">
            <v>7755</v>
          </cell>
        </row>
        <row r="2344">
          <cell r="A2344" t="str">
            <v>200223</v>
          </cell>
          <cell r="B2344" t="str">
            <v>Tubo de concreto JE  EA3  DN   500</v>
          </cell>
          <cell r="C2344" t="str">
            <v>m</v>
          </cell>
          <cell r="D2344">
            <v>0</v>
          </cell>
          <cell r="E2344">
            <v>126.68</v>
          </cell>
          <cell r="F2344">
            <v>126.68</v>
          </cell>
          <cell r="G2344">
            <v>7776</v>
          </cell>
        </row>
        <row r="2345">
          <cell r="A2345" t="str">
            <v>200224</v>
          </cell>
          <cell r="B2345" t="str">
            <v>Tubo de concreto JE  EA3  DN   600</v>
          </cell>
          <cell r="C2345" t="str">
            <v>m</v>
          </cell>
          <cell r="D2345">
            <v>0</v>
          </cell>
          <cell r="E2345">
            <v>167.29</v>
          </cell>
          <cell r="F2345">
            <v>167.29</v>
          </cell>
          <cell r="G2345">
            <v>7743</v>
          </cell>
        </row>
        <row r="2346">
          <cell r="A2346" t="str">
            <v>200225</v>
          </cell>
          <cell r="B2346" t="str">
            <v>Tubo de concreto JE  EA3  DN   700</v>
          </cell>
          <cell r="C2346" t="str">
            <v>m</v>
          </cell>
          <cell r="D2346">
            <v>0</v>
          </cell>
          <cell r="E2346">
            <v>186.55</v>
          </cell>
          <cell r="F2346">
            <v>186.55</v>
          </cell>
          <cell r="G2346">
            <v>7733</v>
          </cell>
        </row>
        <row r="2347">
          <cell r="A2347" t="str">
            <v>200226</v>
          </cell>
          <cell r="B2347" t="str">
            <v>Tubo de concreto JE  EA3  DN   800</v>
          </cell>
          <cell r="C2347" t="str">
            <v>m</v>
          </cell>
          <cell r="D2347">
            <v>0</v>
          </cell>
          <cell r="E2347">
            <v>229.51</v>
          </cell>
          <cell r="F2347">
            <v>229.51</v>
          </cell>
          <cell r="G2347">
            <v>7775</v>
          </cell>
        </row>
        <row r="2348">
          <cell r="A2348" t="str">
            <v>200227</v>
          </cell>
          <cell r="B2348" t="str">
            <v>Tubo de concreto JE  EA3  DN   900</v>
          </cell>
          <cell r="C2348" t="str">
            <v>m</v>
          </cell>
          <cell r="D2348">
            <v>0</v>
          </cell>
          <cell r="E2348">
            <v>331.8</v>
          </cell>
          <cell r="F2348">
            <v>331.8</v>
          </cell>
          <cell r="G2348">
            <v>7734</v>
          </cell>
        </row>
        <row r="2349">
          <cell r="A2349" t="str">
            <v>200228</v>
          </cell>
          <cell r="B2349" t="str">
            <v>Tubo de concreto JE  EA3  DN 1000 (42501)</v>
          </cell>
          <cell r="C2349" t="str">
            <v>m</v>
          </cell>
          <cell r="D2349">
            <v>0</v>
          </cell>
          <cell r="E2349">
            <v>362.95</v>
          </cell>
          <cell r="F2349">
            <v>362.95</v>
          </cell>
          <cell r="G2349">
            <v>7735</v>
          </cell>
        </row>
        <row r="2350">
          <cell r="A2350" t="str">
            <v>200229</v>
          </cell>
          <cell r="B2350" t="str">
            <v>Tubo de concreto JE  EA3  DN 1200</v>
          </cell>
          <cell r="C2350" t="str">
            <v>m</v>
          </cell>
          <cell r="D2350">
            <v>0</v>
          </cell>
          <cell r="G2350">
            <v>7729</v>
          </cell>
        </row>
        <row r="2351">
          <cell r="A2351" t="str">
            <v>2010</v>
          </cell>
          <cell r="B2351" t="str">
            <v>TAMPÃO PARA POÇO DE VISITA</v>
          </cell>
        </row>
        <row r="2352">
          <cell r="A2352" t="str">
            <v>201001</v>
          </cell>
          <cell r="B2352" t="str">
            <v>Tampão de concreto para PV, incluindo caixilho (282294)</v>
          </cell>
          <cell r="C2352" t="str">
            <v>ud</v>
          </cell>
          <cell r="D2352">
            <v>0</v>
          </cell>
          <cell r="E2352">
            <v>110</v>
          </cell>
          <cell r="F2352">
            <v>110</v>
          </cell>
        </row>
        <row r="2353">
          <cell r="A2353" t="str">
            <v>21</v>
          </cell>
          <cell r="B2353" t="str">
            <v>MATERIAL DE FERRO DÚCTIL- ÁGUA</v>
          </cell>
        </row>
        <row r="2354">
          <cell r="A2354" t="str">
            <v>2101</v>
          </cell>
          <cell r="B2354" t="str">
            <v>ADAPTADOR FD PARA PVC</v>
          </cell>
        </row>
        <row r="2355">
          <cell r="A2355" t="str">
            <v>210101</v>
          </cell>
          <cell r="B2355" t="str">
            <v>Adaptador FD para interligação PVC PBA DN50 (19)</v>
          </cell>
          <cell r="C2355" t="str">
            <v>ud</v>
          </cell>
          <cell r="D2355">
            <v>0</v>
          </cell>
          <cell r="E2355">
            <v>28.1</v>
          </cell>
          <cell r="F2355">
            <v>28.1</v>
          </cell>
        </row>
        <row r="2356">
          <cell r="A2356" t="str">
            <v>210103</v>
          </cell>
          <cell r="B2356" t="str">
            <v>Adaptador FD para interligação PVC PBA DN75 (27)</v>
          </cell>
          <cell r="C2356" t="str">
            <v>ud</v>
          </cell>
          <cell r="D2356">
            <v>0</v>
          </cell>
          <cell r="E2356">
            <v>51.19</v>
          </cell>
          <cell r="F2356">
            <v>51.19</v>
          </cell>
        </row>
        <row r="2357">
          <cell r="A2357" t="str">
            <v>210104</v>
          </cell>
          <cell r="B2357" t="str">
            <v>Adaptador FD para interligação PVC PBA DN100 (35)</v>
          </cell>
          <cell r="C2357" t="str">
            <v>ud</v>
          </cell>
          <cell r="D2357">
            <v>0</v>
          </cell>
          <cell r="E2357">
            <v>89.11</v>
          </cell>
          <cell r="F2357">
            <v>89.11</v>
          </cell>
        </row>
        <row r="2358">
          <cell r="A2358" t="str">
            <v>210105</v>
          </cell>
          <cell r="B2358" t="str">
            <v>Adaptador FD para interligação PVC PBA DN150 (43)</v>
          </cell>
          <cell r="C2358" t="str">
            <v>ud</v>
          </cell>
          <cell r="D2358">
            <v>0</v>
          </cell>
          <cell r="E2358">
            <v>129.15</v>
          </cell>
          <cell r="F2358">
            <v>129.15</v>
          </cell>
        </row>
        <row r="2359">
          <cell r="A2359" t="str">
            <v>210106</v>
          </cell>
          <cell r="B2359" t="str">
            <v>Adaptador FD para interligação PVC PBA DN200 (51)</v>
          </cell>
          <cell r="C2359" t="str">
            <v>ud</v>
          </cell>
          <cell r="D2359">
            <v>0</v>
          </cell>
          <cell r="E2359">
            <v>173.48</v>
          </cell>
          <cell r="F2359">
            <v>173.48</v>
          </cell>
        </row>
        <row r="2360">
          <cell r="A2360" t="str">
            <v>210107</v>
          </cell>
          <cell r="B2360" t="str">
            <v>Adaptador FD para interligação PVC PBA DN250 (60)</v>
          </cell>
          <cell r="C2360" t="str">
            <v>ud</v>
          </cell>
          <cell r="D2360">
            <v>0</v>
          </cell>
          <cell r="E2360">
            <v>249.08</v>
          </cell>
          <cell r="F2360">
            <v>249.08</v>
          </cell>
        </row>
        <row r="2361">
          <cell r="A2361" t="str">
            <v>210108</v>
          </cell>
          <cell r="B2361" t="str">
            <v>Adaptador FD para interligação PVC PBA DN300 (78)</v>
          </cell>
          <cell r="C2361" t="str">
            <v>ud</v>
          </cell>
          <cell r="D2361">
            <v>0</v>
          </cell>
          <cell r="E2361">
            <v>335.13</v>
          </cell>
          <cell r="F2361">
            <v>335.13</v>
          </cell>
        </row>
        <row r="2362">
          <cell r="A2362" t="str">
            <v>2103</v>
          </cell>
          <cell r="B2362" t="str">
            <v>ARRUELA BORRACHA P/ FLANGES FD + PARAFUSOS C/ PORCAS E ARRUELAS (ABF + PFP)</v>
          </cell>
        </row>
        <row r="2363">
          <cell r="A2363" t="str">
            <v>210301</v>
          </cell>
          <cell r="B2363" t="str">
            <v>ABF + PPF  DN   50 - PN-10</v>
          </cell>
          <cell r="C2363" t="str">
            <v>cj</v>
          </cell>
          <cell r="D2363">
            <v>0</v>
          </cell>
          <cell r="E2363">
            <v>15.54</v>
          </cell>
          <cell r="F2363">
            <v>15.54</v>
          </cell>
        </row>
        <row r="2364">
          <cell r="A2364" t="str">
            <v>210302</v>
          </cell>
          <cell r="B2364" t="str">
            <v>ABF + PPF  DN   75 - PN-10</v>
          </cell>
          <cell r="C2364" t="str">
            <v>cj</v>
          </cell>
          <cell r="D2364">
            <v>0</v>
          </cell>
          <cell r="E2364">
            <v>15.54</v>
          </cell>
          <cell r="F2364">
            <v>15.54</v>
          </cell>
        </row>
        <row r="2365">
          <cell r="A2365" t="str">
            <v>210303</v>
          </cell>
          <cell r="B2365" t="str">
            <v>ABF + PPF  DN  80/100 - PN-10</v>
          </cell>
          <cell r="C2365" t="str">
            <v>cj</v>
          </cell>
          <cell r="D2365">
            <v>0</v>
          </cell>
          <cell r="E2365">
            <v>29.78</v>
          </cell>
          <cell r="F2365">
            <v>29.78</v>
          </cell>
        </row>
        <row r="2366">
          <cell r="A2366" t="str">
            <v>210304</v>
          </cell>
          <cell r="B2366" t="str">
            <v>ABF + PPF  DN  150 - PN-10</v>
          </cell>
          <cell r="C2366" t="str">
            <v>cj</v>
          </cell>
          <cell r="D2366">
            <v>0</v>
          </cell>
          <cell r="E2366">
            <v>59.56</v>
          </cell>
          <cell r="F2366">
            <v>59.56</v>
          </cell>
        </row>
        <row r="2367">
          <cell r="A2367" t="str">
            <v>210305</v>
          </cell>
          <cell r="B2367" t="str">
            <v>ABF + PPF  DN  200 - PN-10</v>
          </cell>
          <cell r="C2367" t="str">
            <v>cj</v>
          </cell>
          <cell r="D2367">
            <v>0</v>
          </cell>
          <cell r="E2367">
            <v>62.15</v>
          </cell>
          <cell r="F2367">
            <v>62.15</v>
          </cell>
        </row>
        <row r="2368">
          <cell r="A2368" t="str">
            <v>210306</v>
          </cell>
          <cell r="B2368" t="str">
            <v>ABF + PPF  DN  250 - PN-10</v>
          </cell>
          <cell r="C2368" t="str">
            <v>cj</v>
          </cell>
          <cell r="D2368">
            <v>0</v>
          </cell>
          <cell r="E2368">
            <v>88.04</v>
          </cell>
          <cell r="F2368">
            <v>88.04</v>
          </cell>
        </row>
        <row r="2369">
          <cell r="A2369" t="str">
            <v>210307</v>
          </cell>
          <cell r="B2369" t="str">
            <v>ABF + PPF  DN  300 - PN-10</v>
          </cell>
          <cell r="C2369" t="str">
            <v>cj</v>
          </cell>
          <cell r="D2369">
            <v>0</v>
          </cell>
          <cell r="E2369">
            <v>100.99</v>
          </cell>
          <cell r="F2369">
            <v>100.99</v>
          </cell>
        </row>
        <row r="2370">
          <cell r="A2370" t="str">
            <v>210308</v>
          </cell>
          <cell r="B2370" t="str">
            <v>ABF + PPF  DN  350 - PN-10</v>
          </cell>
          <cell r="C2370" t="str">
            <v>cj</v>
          </cell>
          <cell r="D2370">
            <v>0</v>
          </cell>
          <cell r="E2370">
            <v>116.52</v>
          </cell>
          <cell r="F2370">
            <v>116.52</v>
          </cell>
        </row>
        <row r="2371">
          <cell r="A2371" t="str">
            <v>210309</v>
          </cell>
          <cell r="B2371" t="str">
            <v>ABF + PPF  DN  400 - PN-10</v>
          </cell>
          <cell r="C2371" t="str">
            <v>cj</v>
          </cell>
          <cell r="D2371">
            <v>0</v>
          </cell>
          <cell r="E2371">
            <v>192.73</v>
          </cell>
          <cell r="F2371">
            <v>192.73</v>
          </cell>
        </row>
        <row r="2372">
          <cell r="A2372" t="str">
            <v>210310</v>
          </cell>
          <cell r="B2372" t="str">
            <v>ABF + PPF  DN  450 - PN-10</v>
          </cell>
          <cell r="C2372" t="str">
            <v>cj</v>
          </cell>
          <cell r="D2372">
            <v>0</v>
          </cell>
          <cell r="E2372">
            <v>243.45</v>
          </cell>
          <cell r="F2372">
            <v>243.45</v>
          </cell>
        </row>
        <row r="2373">
          <cell r="A2373" t="str">
            <v>210311</v>
          </cell>
          <cell r="B2373" t="str">
            <v>ABF + PPF  DN  500 - PN-10</v>
          </cell>
          <cell r="C2373" t="str">
            <v>cj</v>
          </cell>
          <cell r="D2373">
            <v>0</v>
          </cell>
          <cell r="E2373">
            <v>245.51</v>
          </cell>
          <cell r="F2373">
            <v>245.51</v>
          </cell>
        </row>
        <row r="2374">
          <cell r="A2374" t="str">
            <v>210312</v>
          </cell>
          <cell r="B2374" t="str">
            <v>ABF + PPF  DN  600 - PN-10</v>
          </cell>
          <cell r="C2374" t="str">
            <v>cj</v>
          </cell>
          <cell r="D2374">
            <v>0</v>
          </cell>
          <cell r="E2374">
            <v>495.08</v>
          </cell>
          <cell r="F2374">
            <v>495.08</v>
          </cell>
        </row>
        <row r="2375">
          <cell r="A2375" t="str">
            <v>210313</v>
          </cell>
          <cell r="B2375" t="str">
            <v>ABF + PPF  DN  700 - PN-10</v>
          </cell>
          <cell r="C2375" t="str">
            <v>cj</v>
          </cell>
          <cell r="D2375">
            <v>0</v>
          </cell>
          <cell r="E2375">
            <v>707.87</v>
          </cell>
          <cell r="F2375">
            <v>707.87</v>
          </cell>
        </row>
        <row r="2376">
          <cell r="A2376" t="str">
            <v>210314</v>
          </cell>
          <cell r="B2376" t="str">
            <v>ABF + PPF  DN  800 - PN-10</v>
          </cell>
          <cell r="C2376" t="str">
            <v>cj</v>
          </cell>
          <cell r="D2376">
            <v>0</v>
          </cell>
          <cell r="E2376">
            <v>1002.45</v>
          </cell>
          <cell r="F2376">
            <v>1002.45</v>
          </cell>
        </row>
        <row r="2377">
          <cell r="A2377" t="str">
            <v>210315</v>
          </cell>
          <cell r="B2377" t="str">
            <v>ABF + PPF  DN  900 - PN-10</v>
          </cell>
          <cell r="C2377" t="str">
            <v>cj</v>
          </cell>
          <cell r="D2377">
            <v>0</v>
          </cell>
          <cell r="E2377">
            <v>974.56</v>
          </cell>
          <cell r="F2377">
            <v>974.56</v>
          </cell>
        </row>
        <row r="2378">
          <cell r="A2378" t="str">
            <v>210316</v>
          </cell>
          <cell r="B2378" t="str">
            <v>ABF + PPF  DN 1000 - PN-10</v>
          </cell>
          <cell r="C2378" t="str">
            <v>cj</v>
          </cell>
          <cell r="D2378">
            <v>0</v>
          </cell>
          <cell r="E2378">
            <v>1588.95</v>
          </cell>
          <cell r="F2378">
            <v>1588.95</v>
          </cell>
        </row>
        <row r="2379">
          <cell r="A2379" t="str">
            <v>210317</v>
          </cell>
          <cell r="B2379" t="str">
            <v>ABF + PPF  DN 1100 - PN-10</v>
          </cell>
          <cell r="C2379" t="str">
            <v>cj</v>
          </cell>
          <cell r="D2379">
            <v>0</v>
          </cell>
        </row>
        <row r="2380">
          <cell r="A2380" t="str">
            <v>210318</v>
          </cell>
          <cell r="B2380" t="str">
            <v>ABF + PPF  DN 1200 - PN-10</v>
          </cell>
          <cell r="C2380" t="str">
            <v>cj</v>
          </cell>
          <cell r="D2380">
            <v>0</v>
          </cell>
        </row>
        <row r="2381">
          <cell r="A2381" t="str">
            <v>210320</v>
          </cell>
          <cell r="B2381" t="str">
            <v>ABF + PPF  DN   50 - PN-16</v>
          </cell>
          <cell r="C2381" t="str">
            <v>cj</v>
          </cell>
          <cell r="D2381">
            <v>0</v>
          </cell>
          <cell r="E2381">
            <v>15.54</v>
          </cell>
          <cell r="F2381">
            <v>15.54</v>
          </cell>
        </row>
        <row r="2382">
          <cell r="A2382" t="str">
            <v>210321</v>
          </cell>
          <cell r="B2382" t="str">
            <v>ABF + PPF  DN   75 - PN-16</v>
          </cell>
          <cell r="C2382" t="str">
            <v>cj</v>
          </cell>
          <cell r="D2382">
            <v>0</v>
          </cell>
          <cell r="E2382">
            <v>15.54</v>
          </cell>
          <cell r="F2382">
            <v>15.54</v>
          </cell>
        </row>
        <row r="2383">
          <cell r="A2383" t="str">
            <v>210322</v>
          </cell>
          <cell r="B2383" t="str">
            <v>ABF + PPF  DN  80/100 - PN-16</v>
          </cell>
          <cell r="C2383" t="str">
            <v>cj</v>
          </cell>
          <cell r="D2383">
            <v>0</v>
          </cell>
          <cell r="E2383">
            <v>29.78</v>
          </cell>
          <cell r="F2383">
            <v>29.78</v>
          </cell>
        </row>
        <row r="2384">
          <cell r="A2384" t="str">
            <v>210323</v>
          </cell>
          <cell r="B2384" t="str">
            <v>ABF + PPF  DN  150 - PN-16</v>
          </cell>
          <cell r="C2384" t="str">
            <v>cj</v>
          </cell>
          <cell r="D2384">
            <v>0</v>
          </cell>
          <cell r="E2384">
            <v>59.56</v>
          </cell>
          <cell r="F2384">
            <v>59.56</v>
          </cell>
        </row>
        <row r="2385">
          <cell r="A2385" t="str">
            <v>210324</v>
          </cell>
          <cell r="B2385" t="str">
            <v>ABF + PPF  DN  200 - PN-16</v>
          </cell>
          <cell r="C2385" t="str">
            <v>cj</v>
          </cell>
          <cell r="D2385">
            <v>0</v>
          </cell>
          <cell r="E2385">
            <v>62.15</v>
          </cell>
          <cell r="F2385">
            <v>62.15</v>
          </cell>
        </row>
        <row r="2386">
          <cell r="A2386" t="str">
            <v>210325</v>
          </cell>
          <cell r="B2386" t="str">
            <v>ABF + PPF  DN  250 - PN-16</v>
          </cell>
          <cell r="C2386" t="str">
            <v>cj</v>
          </cell>
          <cell r="D2386">
            <v>0</v>
          </cell>
          <cell r="E2386">
            <v>88.04</v>
          </cell>
          <cell r="F2386">
            <v>88.04</v>
          </cell>
        </row>
        <row r="2387">
          <cell r="A2387" t="str">
            <v>210326</v>
          </cell>
          <cell r="B2387" t="str">
            <v>ABF + PPF  DN  300 - PN-16</v>
          </cell>
          <cell r="C2387" t="str">
            <v>cj</v>
          </cell>
          <cell r="D2387">
            <v>0</v>
          </cell>
          <cell r="E2387">
            <v>100.99</v>
          </cell>
          <cell r="F2387">
            <v>100.99</v>
          </cell>
        </row>
        <row r="2388">
          <cell r="A2388" t="str">
            <v>210327</v>
          </cell>
          <cell r="B2388" t="str">
            <v>ABF + PPF  DN  350 - PN-16</v>
          </cell>
          <cell r="C2388" t="str">
            <v>cj</v>
          </cell>
          <cell r="D2388">
            <v>0</v>
          </cell>
          <cell r="E2388">
            <v>116.52</v>
          </cell>
          <cell r="F2388">
            <v>116.52</v>
          </cell>
        </row>
        <row r="2389">
          <cell r="A2389" t="str">
            <v>210328</v>
          </cell>
          <cell r="B2389" t="str">
            <v>ABF + PPF  DN  400 - PN-16</v>
          </cell>
          <cell r="C2389" t="str">
            <v>cj</v>
          </cell>
          <cell r="D2389">
            <v>0</v>
          </cell>
          <cell r="E2389">
            <v>192.73</v>
          </cell>
          <cell r="F2389">
            <v>192.73</v>
          </cell>
        </row>
        <row r="2390">
          <cell r="A2390" t="str">
            <v>210329</v>
          </cell>
          <cell r="B2390" t="str">
            <v>ABF + PPF  DN  450 - PN-16</v>
          </cell>
          <cell r="C2390" t="str">
            <v>cj</v>
          </cell>
          <cell r="D2390">
            <v>0</v>
          </cell>
          <cell r="E2390">
            <v>243.45</v>
          </cell>
          <cell r="F2390">
            <v>243.45</v>
          </cell>
        </row>
        <row r="2391">
          <cell r="A2391" t="str">
            <v>210330</v>
          </cell>
          <cell r="B2391" t="str">
            <v>ABF + PPF  DN  500 - PN-16</v>
          </cell>
          <cell r="C2391" t="str">
            <v>cj</v>
          </cell>
          <cell r="D2391">
            <v>0</v>
          </cell>
          <cell r="E2391">
            <v>245.51</v>
          </cell>
          <cell r="F2391">
            <v>245.51</v>
          </cell>
        </row>
        <row r="2392">
          <cell r="A2392" t="str">
            <v>210331</v>
          </cell>
          <cell r="B2392" t="str">
            <v>ABF + PPF  DN  600 - PN-16</v>
          </cell>
          <cell r="C2392" t="str">
            <v>cj</v>
          </cell>
          <cell r="D2392">
            <v>0</v>
          </cell>
          <cell r="E2392">
            <v>495.08</v>
          </cell>
          <cell r="F2392">
            <v>495.08</v>
          </cell>
        </row>
        <row r="2393">
          <cell r="A2393" t="str">
            <v>210332</v>
          </cell>
          <cell r="B2393" t="str">
            <v>ABF + PPF  DN  700 - PN-16</v>
          </cell>
          <cell r="C2393" t="str">
            <v>cj</v>
          </cell>
          <cell r="D2393">
            <v>0</v>
          </cell>
          <cell r="E2393">
            <v>707.87</v>
          </cell>
          <cell r="F2393">
            <v>707.87</v>
          </cell>
        </row>
        <row r="2394">
          <cell r="A2394" t="str">
            <v>210333</v>
          </cell>
          <cell r="B2394" t="str">
            <v>ABF + PPF  DN  800 - PN-16</v>
          </cell>
          <cell r="C2394" t="str">
            <v>cj</v>
          </cell>
          <cell r="D2394">
            <v>0</v>
          </cell>
          <cell r="E2394">
            <v>1002.45</v>
          </cell>
          <cell r="F2394">
            <v>1002.45</v>
          </cell>
        </row>
        <row r="2395">
          <cell r="A2395" t="str">
            <v>210334</v>
          </cell>
          <cell r="B2395" t="str">
            <v>ABF + PPF  DN  900 - PN-16</v>
          </cell>
          <cell r="C2395" t="str">
            <v>cj</v>
          </cell>
          <cell r="D2395">
            <v>0</v>
          </cell>
          <cell r="E2395">
            <v>974.56</v>
          </cell>
          <cell r="F2395">
            <v>974.56</v>
          </cell>
        </row>
        <row r="2396">
          <cell r="A2396" t="str">
            <v>210335</v>
          </cell>
          <cell r="B2396" t="str">
            <v>ABF + PPF  DN 1000 - PN-16</v>
          </cell>
          <cell r="C2396" t="str">
            <v>cj</v>
          </cell>
          <cell r="D2396">
            <v>0</v>
          </cell>
          <cell r="E2396">
            <v>1588.95</v>
          </cell>
          <cell r="F2396">
            <v>1588.95</v>
          </cell>
        </row>
        <row r="2397">
          <cell r="A2397" t="str">
            <v>210336</v>
          </cell>
          <cell r="B2397" t="str">
            <v>ABF + PPF  DN 1100 - PN-16</v>
          </cell>
          <cell r="C2397" t="str">
            <v>cj</v>
          </cell>
          <cell r="D2397">
            <v>0</v>
          </cell>
        </row>
        <row r="2398">
          <cell r="A2398" t="str">
            <v>210337</v>
          </cell>
          <cell r="B2398" t="str">
            <v>ABF + PPF  DN 1200 - PN-16</v>
          </cell>
          <cell r="C2398" t="str">
            <v>cj</v>
          </cell>
          <cell r="D2398">
            <v>0</v>
          </cell>
        </row>
        <row r="2399">
          <cell r="A2399" t="str">
            <v>210340</v>
          </cell>
          <cell r="B2399" t="str">
            <v>ABF + PPF  DN   50 - PN-25</v>
          </cell>
          <cell r="C2399" t="str">
            <v>cj</v>
          </cell>
          <cell r="D2399">
            <v>0</v>
          </cell>
        </row>
        <row r="2400">
          <cell r="A2400" t="str">
            <v>210341</v>
          </cell>
          <cell r="B2400" t="str">
            <v>ABF + PPF  DN   75 - PN-25</v>
          </cell>
          <cell r="C2400" t="str">
            <v>cj</v>
          </cell>
          <cell r="D2400">
            <v>0</v>
          </cell>
        </row>
        <row r="2401">
          <cell r="A2401" t="str">
            <v>210342</v>
          </cell>
          <cell r="B2401" t="str">
            <v>ABF + PPF  DN  80/100 - PN-25</v>
          </cell>
          <cell r="C2401" t="str">
            <v>cj</v>
          </cell>
          <cell r="D2401">
            <v>0</v>
          </cell>
        </row>
        <row r="2402">
          <cell r="A2402" t="str">
            <v>210343</v>
          </cell>
          <cell r="B2402" t="str">
            <v>ABF + PPF  DN  150 - PN-25</v>
          </cell>
          <cell r="C2402" t="str">
            <v>cj</v>
          </cell>
          <cell r="D2402">
            <v>0</v>
          </cell>
        </row>
        <row r="2403">
          <cell r="A2403" t="str">
            <v>210344</v>
          </cell>
          <cell r="B2403" t="str">
            <v>ABF + PPF  DN  200 - PN-25</v>
          </cell>
          <cell r="C2403" t="str">
            <v>cj</v>
          </cell>
          <cell r="D2403">
            <v>0</v>
          </cell>
        </row>
        <row r="2404">
          <cell r="A2404" t="str">
            <v>210345</v>
          </cell>
          <cell r="B2404" t="str">
            <v>ABF + PPF  DN  250 - PN-25</v>
          </cell>
          <cell r="C2404" t="str">
            <v>cj</v>
          </cell>
          <cell r="D2404">
            <v>0</v>
          </cell>
        </row>
        <row r="2405">
          <cell r="A2405" t="str">
            <v>210346</v>
          </cell>
          <cell r="B2405" t="str">
            <v>ABF + PPF  DN  300 - PN-25</v>
          </cell>
          <cell r="C2405" t="str">
            <v>cj</v>
          </cell>
          <cell r="D2405">
            <v>0</v>
          </cell>
        </row>
        <row r="2406">
          <cell r="A2406" t="str">
            <v>210347</v>
          </cell>
          <cell r="B2406" t="str">
            <v>ABF + PPF  DN  350 - PN-25</v>
          </cell>
          <cell r="C2406" t="str">
            <v>cj</v>
          </cell>
          <cell r="D2406">
            <v>0</v>
          </cell>
        </row>
        <row r="2407">
          <cell r="A2407" t="str">
            <v>210348</v>
          </cell>
          <cell r="B2407" t="str">
            <v>ABF + PPF  DN  400 - PN-25</v>
          </cell>
          <cell r="C2407" t="str">
            <v>cj</v>
          </cell>
          <cell r="D2407">
            <v>0</v>
          </cell>
        </row>
        <row r="2408">
          <cell r="A2408" t="str">
            <v>210349</v>
          </cell>
          <cell r="B2408" t="str">
            <v>ABF + PPF  DN  450 - PN-25</v>
          </cell>
          <cell r="C2408" t="str">
            <v>cj</v>
          </cell>
          <cell r="D2408">
            <v>0</v>
          </cell>
        </row>
        <row r="2409">
          <cell r="A2409" t="str">
            <v>210350</v>
          </cell>
          <cell r="B2409" t="str">
            <v>ABF + PPF  DN  500 - PN-25</v>
          </cell>
          <cell r="C2409" t="str">
            <v>cj</v>
          </cell>
          <cell r="D2409">
            <v>0</v>
          </cell>
        </row>
        <row r="2410">
          <cell r="A2410" t="str">
            <v>210351</v>
          </cell>
          <cell r="B2410" t="str">
            <v>ABF + PPF  DN  600 - PN-25</v>
          </cell>
          <cell r="C2410" t="str">
            <v>cj</v>
          </cell>
          <cell r="D2410">
            <v>0</v>
          </cell>
        </row>
        <row r="2411">
          <cell r="A2411" t="str">
            <v>210352</v>
          </cell>
          <cell r="B2411" t="str">
            <v>ABF + PPF  DN  700 - PN-25</v>
          </cell>
          <cell r="C2411" t="str">
            <v>cj</v>
          </cell>
          <cell r="D2411">
            <v>0</v>
          </cell>
        </row>
        <row r="2412">
          <cell r="A2412" t="str">
            <v>210353</v>
          </cell>
          <cell r="B2412" t="str">
            <v>ABF + PPF  DN  800 - PN-25</v>
          </cell>
          <cell r="C2412" t="str">
            <v>cj</v>
          </cell>
          <cell r="D2412">
            <v>0</v>
          </cell>
        </row>
        <row r="2413">
          <cell r="A2413" t="str">
            <v>210354</v>
          </cell>
          <cell r="B2413" t="str">
            <v>ABF + PPF  DN  900 - PN-25</v>
          </cell>
          <cell r="C2413" t="str">
            <v>cj</v>
          </cell>
          <cell r="D2413">
            <v>0</v>
          </cell>
        </row>
        <row r="2414">
          <cell r="A2414" t="str">
            <v>210355</v>
          </cell>
          <cell r="B2414" t="str">
            <v>ABF + PPF  DN 1000 - PN-25</v>
          </cell>
          <cell r="C2414" t="str">
            <v>cj</v>
          </cell>
          <cell r="D2414">
            <v>0</v>
          </cell>
        </row>
        <row r="2415">
          <cell r="A2415" t="str">
            <v>210356</v>
          </cell>
          <cell r="B2415" t="str">
            <v>ABF + PPF  DN 1100 - PN-25</v>
          </cell>
          <cell r="C2415" t="str">
            <v>cj</v>
          </cell>
          <cell r="D2415">
            <v>0</v>
          </cell>
        </row>
        <row r="2416">
          <cell r="A2416" t="str">
            <v>210357</v>
          </cell>
          <cell r="B2416" t="str">
            <v>ABF + PPF  DN 1200 - PN-25</v>
          </cell>
          <cell r="C2416" t="str">
            <v>cj</v>
          </cell>
          <cell r="D2416">
            <v>0</v>
          </cell>
        </row>
        <row r="2417">
          <cell r="A2417" t="str">
            <v>2104</v>
          </cell>
          <cell r="B2417" t="str">
            <v>CAP FD</v>
          </cell>
        </row>
        <row r="2418">
          <cell r="A2418" t="str">
            <v>210401</v>
          </cell>
          <cell r="B2418" t="str">
            <v>Cap FD com bolsa JE2GS DN50 conforme norma NBR7675 (183)</v>
          </cell>
          <cell r="C2418" t="str">
            <v>ud</v>
          </cell>
          <cell r="D2418">
            <v>0</v>
          </cell>
          <cell r="E2418">
            <v>31.51</v>
          </cell>
          <cell r="F2418">
            <v>31.51</v>
          </cell>
        </row>
        <row r="2419">
          <cell r="A2419" t="str">
            <v>210402</v>
          </cell>
          <cell r="B2419" t="str">
            <v>Cap FD com bolsa JE2GS DN75/80 conforme norma NBR7675 (221)</v>
          </cell>
          <cell r="C2419" t="str">
            <v>ud</v>
          </cell>
          <cell r="D2419">
            <v>0</v>
          </cell>
          <cell r="E2419">
            <v>54.11</v>
          </cell>
          <cell r="F2419">
            <v>54.11</v>
          </cell>
        </row>
        <row r="2420">
          <cell r="A2420" t="str">
            <v>210403</v>
          </cell>
          <cell r="B2420" t="str">
            <v>Cap FD com bolsa JE2GS DN100 conforme norma NBR7675 (248)</v>
          </cell>
          <cell r="C2420" t="str">
            <v>ud</v>
          </cell>
          <cell r="D2420">
            <v>0</v>
          </cell>
          <cell r="E2420">
            <v>64.37</v>
          </cell>
          <cell r="F2420">
            <v>64.37</v>
          </cell>
        </row>
        <row r="2421">
          <cell r="A2421" t="str">
            <v>210404</v>
          </cell>
          <cell r="B2421" t="str">
            <v>Cap FD com bolsa JE2GS DN150 conforme norma NBR7675 (280)</v>
          </cell>
          <cell r="C2421" t="str">
            <v>ud</v>
          </cell>
          <cell r="D2421">
            <v>0</v>
          </cell>
          <cell r="E2421">
            <v>121.1</v>
          </cell>
          <cell r="F2421">
            <v>121.1</v>
          </cell>
        </row>
        <row r="2422">
          <cell r="A2422" t="str">
            <v>210405</v>
          </cell>
          <cell r="B2422" t="str">
            <v>Cap FD com bolsa JE2GS DN200 conforme norma NBR7675 (302)</v>
          </cell>
          <cell r="C2422" t="str">
            <v>ud</v>
          </cell>
          <cell r="D2422">
            <v>0</v>
          </cell>
          <cell r="E2422">
            <v>179.89</v>
          </cell>
          <cell r="F2422">
            <v>179.89</v>
          </cell>
        </row>
        <row r="2423">
          <cell r="A2423" t="str">
            <v>210406</v>
          </cell>
          <cell r="B2423" t="str">
            <v>Cap FD com bolsa JE2GS DN250 conforme norma NBR7675 (329)</v>
          </cell>
          <cell r="C2423" t="str">
            <v>ud</v>
          </cell>
          <cell r="D2423">
            <v>0</v>
          </cell>
          <cell r="E2423">
            <v>249.08</v>
          </cell>
          <cell r="F2423">
            <v>249.08</v>
          </cell>
        </row>
        <row r="2424">
          <cell r="A2424" t="str">
            <v>210407</v>
          </cell>
          <cell r="B2424" t="str">
            <v>Cap FD com bolsa JE2GS DN300 conforme norma NBR7675 (87157)</v>
          </cell>
          <cell r="C2424" t="str">
            <v>ud</v>
          </cell>
          <cell r="D2424">
            <v>0</v>
          </cell>
          <cell r="E2424">
            <v>421.43</v>
          </cell>
          <cell r="F2424">
            <v>421.43</v>
          </cell>
        </row>
        <row r="2425">
          <cell r="A2425" t="str">
            <v>210408</v>
          </cell>
          <cell r="B2425" t="str">
            <v>Cap FD com bolsa JE2GS DN350 conforme norma NBR7675 (161152)</v>
          </cell>
          <cell r="C2425" t="str">
            <v>ud</v>
          </cell>
          <cell r="D2425">
            <v>0</v>
          </cell>
          <cell r="E2425">
            <v>580.34</v>
          </cell>
          <cell r="F2425">
            <v>580.34</v>
          </cell>
        </row>
        <row r="2426">
          <cell r="A2426" t="str">
            <v>210409</v>
          </cell>
          <cell r="B2426" t="str">
            <v>Cap FD com bolsa JE2GS DN400 conforme norma NBR7675 (87165)</v>
          </cell>
          <cell r="C2426" t="str">
            <v>ud</v>
          </cell>
          <cell r="D2426">
            <v>0</v>
          </cell>
          <cell r="E2426">
            <v>684.98</v>
          </cell>
          <cell r="F2426">
            <v>684.98</v>
          </cell>
        </row>
        <row r="2427">
          <cell r="A2427" t="str">
            <v>210410</v>
          </cell>
          <cell r="B2427" t="str">
            <v>Cap FD com bolsa JE2GS DN450 conforme norma NBR7675 (361)</v>
          </cell>
          <cell r="C2427" t="str">
            <v>ud</v>
          </cell>
          <cell r="D2427">
            <v>0</v>
          </cell>
        </row>
        <row r="2428">
          <cell r="A2428" t="str">
            <v>210411</v>
          </cell>
          <cell r="B2428" t="str">
            <v>Cap FD com bolsa JE2GS DN500 conforme norma NBR7675 (38610)</v>
          </cell>
          <cell r="C2428" t="str">
            <v>ud</v>
          </cell>
          <cell r="D2428">
            <v>0</v>
          </cell>
          <cell r="E2428">
            <v>1076.67</v>
          </cell>
          <cell r="F2428">
            <v>1076.67</v>
          </cell>
        </row>
        <row r="2429">
          <cell r="A2429" t="str">
            <v>210412</v>
          </cell>
          <cell r="B2429" t="str">
            <v>Cap FD com bolsa JE2GS DN600 conforme norma NBR7675 (87173)</v>
          </cell>
          <cell r="C2429" t="str">
            <v>ud</v>
          </cell>
          <cell r="D2429">
            <v>0</v>
          </cell>
          <cell r="E2429">
            <v>1563.36</v>
          </cell>
          <cell r="F2429">
            <v>1563.36</v>
          </cell>
        </row>
        <row r="2430">
          <cell r="A2430" t="str">
            <v>2105</v>
          </cell>
          <cell r="B2430" t="str">
            <v>COLAR DE TOMADA FD</v>
          </cell>
        </row>
        <row r="2431">
          <cell r="A2431" t="str">
            <v>210501</v>
          </cell>
          <cell r="B2431" t="str">
            <v xml:space="preserve">Colar de tomada FD DN  25    1/2" </v>
          </cell>
          <cell r="C2431" t="str">
            <v>ud</v>
          </cell>
          <cell r="D2431">
            <v>0</v>
          </cell>
        </row>
        <row r="2432">
          <cell r="A2432" t="str">
            <v>210502</v>
          </cell>
          <cell r="B2432" t="str">
            <v xml:space="preserve">Colar de tomada FD DN  25    3/4" </v>
          </cell>
          <cell r="C2432" t="str">
            <v>ud</v>
          </cell>
          <cell r="D2432">
            <v>0</v>
          </cell>
        </row>
        <row r="2433">
          <cell r="A2433" t="str">
            <v>210503</v>
          </cell>
          <cell r="B2433" t="str">
            <v xml:space="preserve">Colar de tomada FD DN  25    1" </v>
          </cell>
          <cell r="C2433" t="str">
            <v>ud</v>
          </cell>
          <cell r="D2433">
            <v>0</v>
          </cell>
        </row>
        <row r="2434">
          <cell r="A2434" t="str">
            <v>210504</v>
          </cell>
          <cell r="B2434" t="str">
            <v xml:space="preserve">Colar de tomada FD DN  32    1/2" </v>
          </cell>
          <cell r="C2434" t="str">
            <v>ud</v>
          </cell>
          <cell r="D2434">
            <v>0</v>
          </cell>
        </row>
        <row r="2435">
          <cell r="A2435" t="str">
            <v>210505</v>
          </cell>
          <cell r="B2435" t="str">
            <v xml:space="preserve">Colar de tomada FD DN  32    3/4" </v>
          </cell>
          <cell r="C2435" t="str">
            <v>ud</v>
          </cell>
          <cell r="D2435">
            <v>0</v>
          </cell>
        </row>
        <row r="2436">
          <cell r="A2436" t="str">
            <v>210506</v>
          </cell>
          <cell r="B2436" t="str">
            <v xml:space="preserve">Colar de tomada FD DN  32    1" </v>
          </cell>
          <cell r="C2436" t="str">
            <v>ud</v>
          </cell>
          <cell r="D2436">
            <v>0</v>
          </cell>
        </row>
        <row r="2437">
          <cell r="A2437" t="str">
            <v>210507</v>
          </cell>
          <cell r="B2437" t="str">
            <v xml:space="preserve">Colar de tomada FD DN  40    1/2" </v>
          </cell>
          <cell r="C2437" t="str">
            <v>ud</v>
          </cell>
          <cell r="D2437">
            <v>0</v>
          </cell>
        </row>
        <row r="2438">
          <cell r="A2438" t="str">
            <v>210508</v>
          </cell>
          <cell r="B2438" t="str">
            <v xml:space="preserve">Colar de tomada FD DN  40    3/4" </v>
          </cell>
          <cell r="C2438" t="str">
            <v>ud</v>
          </cell>
          <cell r="D2438">
            <v>0</v>
          </cell>
        </row>
        <row r="2439">
          <cell r="A2439" t="str">
            <v>210509</v>
          </cell>
          <cell r="B2439" t="str">
            <v xml:space="preserve">Colar de tomada FD DN  40    1" </v>
          </cell>
          <cell r="C2439" t="str">
            <v>ud</v>
          </cell>
          <cell r="D2439">
            <v>0</v>
          </cell>
        </row>
        <row r="2440">
          <cell r="A2440" t="str">
            <v>210510</v>
          </cell>
          <cell r="B2440" t="str">
            <v xml:space="preserve">Colar de tomada FD DN  50    1/2" </v>
          </cell>
          <cell r="C2440" t="str">
            <v>ud</v>
          </cell>
          <cell r="D2440">
            <v>0</v>
          </cell>
        </row>
        <row r="2441">
          <cell r="A2441" t="str">
            <v>210511</v>
          </cell>
          <cell r="B2441" t="str">
            <v>Colar de tomada FD DN  50    3/4"  (582)</v>
          </cell>
          <cell r="C2441" t="str">
            <v>ud</v>
          </cell>
          <cell r="D2441">
            <v>0</v>
          </cell>
          <cell r="E2441">
            <v>20.79</v>
          </cell>
          <cell r="F2441">
            <v>20.79</v>
          </cell>
        </row>
        <row r="2442">
          <cell r="A2442" t="str">
            <v>210512</v>
          </cell>
          <cell r="B2442" t="str">
            <v>Colar de tomada FD DN  50    1"  (58599)</v>
          </cell>
          <cell r="C2442" t="str">
            <v>ud</v>
          </cell>
          <cell r="D2442">
            <v>0</v>
          </cell>
        </row>
        <row r="2443">
          <cell r="A2443" t="str">
            <v>210513</v>
          </cell>
          <cell r="B2443" t="str">
            <v xml:space="preserve">Colar de tomada FD DN  50    1.1/2" </v>
          </cell>
          <cell r="C2443" t="str">
            <v>ud</v>
          </cell>
          <cell r="D2443">
            <v>0</v>
          </cell>
        </row>
        <row r="2444">
          <cell r="A2444" t="str">
            <v>210514</v>
          </cell>
          <cell r="B2444" t="str">
            <v xml:space="preserve">Colar de tomada FD DN  60    1/2" </v>
          </cell>
          <cell r="C2444" t="str">
            <v>ud</v>
          </cell>
          <cell r="D2444">
            <v>0</v>
          </cell>
        </row>
        <row r="2445">
          <cell r="A2445" t="str">
            <v>210515</v>
          </cell>
          <cell r="B2445" t="str">
            <v>Colar de tomada FD DN  60    3/4"  (817)</v>
          </cell>
          <cell r="C2445" t="str">
            <v>ud</v>
          </cell>
          <cell r="D2445">
            <v>0</v>
          </cell>
          <cell r="E2445">
            <v>22.51</v>
          </cell>
          <cell r="F2445">
            <v>22.51</v>
          </cell>
        </row>
        <row r="2446">
          <cell r="A2446" t="str">
            <v>210516</v>
          </cell>
          <cell r="B2446" t="str">
            <v>Colar de tomada FD DN  60    1"  (825)</v>
          </cell>
          <cell r="C2446" t="str">
            <v>ud</v>
          </cell>
          <cell r="D2446">
            <v>0</v>
          </cell>
        </row>
        <row r="2447">
          <cell r="A2447" t="str">
            <v>210517</v>
          </cell>
          <cell r="B2447" t="str">
            <v xml:space="preserve">Colar de tomada FD DN  60    1.1/2" </v>
          </cell>
          <cell r="C2447" t="str">
            <v>ud</v>
          </cell>
          <cell r="D2447">
            <v>0</v>
          </cell>
        </row>
        <row r="2448">
          <cell r="A2448" t="str">
            <v>210518</v>
          </cell>
          <cell r="B2448" t="str">
            <v xml:space="preserve">Colar de tomada FD DN  75    1/2" </v>
          </cell>
          <cell r="C2448" t="str">
            <v>ud</v>
          </cell>
          <cell r="D2448">
            <v>0</v>
          </cell>
        </row>
        <row r="2449">
          <cell r="A2449" t="str">
            <v>210519</v>
          </cell>
          <cell r="B2449" t="str">
            <v>Colar de tomada FD DN  75    3/4"  (620)</v>
          </cell>
          <cell r="C2449" t="str">
            <v>ud</v>
          </cell>
          <cell r="D2449">
            <v>0</v>
          </cell>
          <cell r="E2449">
            <v>23.17</v>
          </cell>
          <cell r="F2449">
            <v>23.17</v>
          </cell>
        </row>
        <row r="2450">
          <cell r="A2450" t="str">
            <v>210520</v>
          </cell>
          <cell r="B2450" t="str">
            <v>Colar de tomada FD DN  75    1"  (60100)</v>
          </cell>
          <cell r="C2450" t="str">
            <v>ud</v>
          </cell>
          <cell r="D2450">
            <v>0</v>
          </cell>
        </row>
        <row r="2451">
          <cell r="A2451" t="str">
            <v>210521</v>
          </cell>
          <cell r="B2451" t="str">
            <v xml:space="preserve">Colar de tomada FD DN  75    1.1/2" </v>
          </cell>
          <cell r="C2451" t="str">
            <v>ud</v>
          </cell>
          <cell r="D2451">
            <v>0</v>
          </cell>
        </row>
        <row r="2452">
          <cell r="A2452" t="str">
            <v>210522</v>
          </cell>
          <cell r="B2452" t="str">
            <v xml:space="preserve">Colar de tomada FD DN 100   1/2" </v>
          </cell>
          <cell r="C2452" t="str">
            <v>ud</v>
          </cell>
          <cell r="D2452">
            <v>0</v>
          </cell>
        </row>
        <row r="2453">
          <cell r="A2453" t="str">
            <v>210523</v>
          </cell>
          <cell r="B2453" t="str">
            <v>Colar de tomada FD DN 100   3/4"  (655)</v>
          </cell>
          <cell r="C2453" t="str">
            <v>ud</v>
          </cell>
          <cell r="D2453">
            <v>0</v>
          </cell>
          <cell r="E2453">
            <v>27.67</v>
          </cell>
          <cell r="F2453">
            <v>27.67</v>
          </cell>
        </row>
        <row r="2454">
          <cell r="A2454" t="str">
            <v>210524</v>
          </cell>
          <cell r="B2454" t="str">
            <v>Colar de tomada FD DN 100   1"  (663)</v>
          </cell>
          <cell r="C2454" t="str">
            <v>ud</v>
          </cell>
          <cell r="D2454">
            <v>0</v>
          </cell>
        </row>
        <row r="2455">
          <cell r="A2455" t="str">
            <v>210525</v>
          </cell>
          <cell r="B2455" t="str">
            <v xml:space="preserve">Colar de tomada FD DN 100   1.1/2" </v>
          </cell>
          <cell r="C2455" t="str">
            <v>ud</v>
          </cell>
          <cell r="D2455">
            <v>0</v>
          </cell>
        </row>
        <row r="2456">
          <cell r="A2456" t="str">
            <v>210526</v>
          </cell>
          <cell r="B2456" t="str">
            <v xml:space="preserve">Colar de tomada FD DN 125   1/2" </v>
          </cell>
          <cell r="C2456" t="str">
            <v>ud</v>
          </cell>
          <cell r="D2456">
            <v>0</v>
          </cell>
          <cell r="E2456">
            <v>0</v>
          </cell>
          <cell r="F2456">
            <v>0</v>
          </cell>
        </row>
        <row r="2457">
          <cell r="A2457" t="str">
            <v>210527</v>
          </cell>
          <cell r="B2457" t="str">
            <v>Colar de tomada FD DN 125   3/4"  (680)</v>
          </cell>
          <cell r="C2457" t="str">
            <v>ud</v>
          </cell>
          <cell r="D2457">
            <v>0</v>
          </cell>
          <cell r="E2457">
            <v>32.89</v>
          </cell>
          <cell r="F2457">
            <v>32.89</v>
          </cell>
        </row>
        <row r="2458">
          <cell r="A2458" t="str">
            <v>210528</v>
          </cell>
          <cell r="B2458" t="str">
            <v>Colar de tomada FD DN 125   1"  (698)</v>
          </cell>
          <cell r="C2458" t="str">
            <v>ud</v>
          </cell>
          <cell r="D2458">
            <v>0</v>
          </cell>
          <cell r="E2458">
            <v>0</v>
          </cell>
          <cell r="F2458">
            <v>0</v>
          </cell>
        </row>
        <row r="2459">
          <cell r="A2459" t="str">
            <v>210529</v>
          </cell>
          <cell r="B2459" t="str">
            <v xml:space="preserve">Colar de tomada FD DN 125   1.1/2" </v>
          </cell>
          <cell r="C2459" t="str">
            <v>ud</v>
          </cell>
          <cell r="D2459">
            <v>0</v>
          </cell>
        </row>
        <row r="2460">
          <cell r="A2460" t="str">
            <v>210530</v>
          </cell>
          <cell r="B2460" t="str">
            <v xml:space="preserve">Colar de tomada FD DN 140   1/2" </v>
          </cell>
          <cell r="C2460" t="str">
            <v>ud</v>
          </cell>
          <cell r="D2460">
            <v>0</v>
          </cell>
        </row>
        <row r="2461">
          <cell r="A2461" t="str">
            <v>210531</v>
          </cell>
          <cell r="B2461" t="str">
            <v xml:space="preserve">Colar de tomada FD DN 140   3/4" </v>
          </cell>
          <cell r="C2461" t="str">
            <v>ud</v>
          </cell>
          <cell r="D2461">
            <v>0</v>
          </cell>
        </row>
        <row r="2462">
          <cell r="A2462" t="str">
            <v>210532</v>
          </cell>
          <cell r="B2462" t="str">
            <v>Colar de tomada FD DN 140   1"  (112070)</v>
          </cell>
          <cell r="C2462" t="str">
            <v>ud</v>
          </cell>
          <cell r="D2462">
            <v>0</v>
          </cell>
        </row>
        <row r="2463">
          <cell r="A2463" t="str">
            <v>210533</v>
          </cell>
          <cell r="B2463" t="str">
            <v xml:space="preserve">Colar de tomada FD DN 140   1.1/2" </v>
          </cell>
          <cell r="C2463" t="str">
            <v>ud</v>
          </cell>
          <cell r="D2463">
            <v>0</v>
          </cell>
        </row>
        <row r="2464">
          <cell r="A2464" t="str">
            <v>210534</v>
          </cell>
          <cell r="B2464" t="str">
            <v xml:space="preserve">Colar de tomada FD DN 150   1/2" </v>
          </cell>
          <cell r="C2464" t="str">
            <v>ud</v>
          </cell>
          <cell r="D2464">
            <v>0</v>
          </cell>
        </row>
        <row r="2465">
          <cell r="A2465" t="str">
            <v>210535</v>
          </cell>
          <cell r="B2465" t="str">
            <v xml:space="preserve">Colar de tomada FD DN 150   3/4" </v>
          </cell>
          <cell r="C2465" t="str">
            <v>ud</v>
          </cell>
          <cell r="D2465">
            <v>0</v>
          </cell>
          <cell r="E2465">
            <v>41.69</v>
          </cell>
          <cell r="F2465">
            <v>41.69</v>
          </cell>
        </row>
        <row r="2466">
          <cell r="A2466" t="str">
            <v>210536</v>
          </cell>
          <cell r="B2466" t="str">
            <v xml:space="preserve">Colar de tomada FD DN 150   1" </v>
          </cell>
          <cell r="C2466" t="str">
            <v>ud</v>
          </cell>
          <cell r="D2466">
            <v>0</v>
          </cell>
        </row>
        <row r="2467">
          <cell r="A2467" t="str">
            <v>210537</v>
          </cell>
          <cell r="B2467" t="str">
            <v xml:space="preserve">Colar de tomada FD DN 150   1.1/2" </v>
          </cell>
          <cell r="C2467" t="str">
            <v>ud</v>
          </cell>
          <cell r="D2467">
            <v>0</v>
          </cell>
        </row>
        <row r="2468">
          <cell r="A2468" t="str">
            <v>210538</v>
          </cell>
          <cell r="B2468" t="str">
            <v xml:space="preserve">Colar de tomada FD DN 200   1/2" </v>
          </cell>
          <cell r="C2468" t="str">
            <v>ud</v>
          </cell>
          <cell r="D2468">
            <v>0</v>
          </cell>
        </row>
        <row r="2469">
          <cell r="A2469" t="str">
            <v>210539</v>
          </cell>
          <cell r="B2469" t="str">
            <v>Colar de tomada FD DN 200   3/4"  (744)</v>
          </cell>
          <cell r="C2469" t="str">
            <v>ud</v>
          </cell>
          <cell r="D2469">
            <v>0</v>
          </cell>
          <cell r="E2469">
            <v>51.92</v>
          </cell>
          <cell r="F2469">
            <v>51.92</v>
          </cell>
        </row>
        <row r="2470">
          <cell r="A2470" t="str">
            <v>210540</v>
          </cell>
          <cell r="B2470" t="str">
            <v>Colar de tomada FD DN 200   1"  (752)</v>
          </cell>
          <cell r="C2470" t="str">
            <v>ud</v>
          </cell>
          <cell r="D2470">
            <v>0</v>
          </cell>
        </row>
        <row r="2471">
          <cell r="A2471" t="str">
            <v>210541</v>
          </cell>
          <cell r="B2471" t="str">
            <v xml:space="preserve">Colar de tomada FD DN 200   1.1/2" </v>
          </cell>
          <cell r="C2471" t="str">
            <v>ud</v>
          </cell>
          <cell r="D2471">
            <v>0</v>
          </cell>
        </row>
        <row r="2472">
          <cell r="A2472" t="str">
            <v>210542</v>
          </cell>
          <cell r="B2472" t="str">
            <v xml:space="preserve">Colar de tomada FD DN 250   1/2" </v>
          </cell>
          <cell r="C2472" t="str">
            <v>ud</v>
          </cell>
          <cell r="D2472">
            <v>0</v>
          </cell>
        </row>
        <row r="2473">
          <cell r="A2473" t="str">
            <v>210543</v>
          </cell>
          <cell r="B2473" t="str">
            <v>Colar de tomada FD DN 250   3/4"  (760)</v>
          </cell>
          <cell r="C2473" t="str">
            <v>ud</v>
          </cell>
          <cell r="D2473">
            <v>0</v>
          </cell>
          <cell r="E2473">
            <v>65.73</v>
          </cell>
          <cell r="F2473">
            <v>65.73</v>
          </cell>
        </row>
        <row r="2474">
          <cell r="A2474" t="str">
            <v>210544</v>
          </cell>
          <cell r="B2474" t="str">
            <v xml:space="preserve">Colar de tomada FD DN 250   1" </v>
          </cell>
          <cell r="C2474" t="str">
            <v>ud</v>
          </cell>
          <cell r="D2474">
            <v>0</v>
          </cell>
        </row>
        <row r="2475">
          <cell r="A2475" t="str">
            <v>210545</v>
          </cell>
          <cell r="B2475" t="str">
            <v xml:space="preserve">Colar de tomada FD DN 250   1.1/2" </v>
          </cell>
          <cell r="C2475" t="str">
            <v>ud</v>
          </cell>
          <cell r="D2475">
            <v>0</v>
          </cell>
        </row>
        <row r="2476">
          <cell r="A2476" t="str">
            <v>210546</v>
          </cell>
          <cell r="B2476" t="str">
            <v xml:space="preserve">Colar de tomada FD DN 300   1/2" </v>
          </cell>
          <cell r="C2476" t="str">
            <v>ud</v>
          </cell>
          <cell r="D2476">
            <v>0</v>
          </cell>
        </row>
        <row r="2477">
          <cell r="A2477" t="str">
            <v>210547</v>
          </cell>
          <cell r="B2477" t="str">
            <v>Colar de tomada FD DN 300   3/4"  (7870</v>
          </cell>
          <cell r="C2477" t="str">
            <v>ud</v>
          </cell>
          <cell r="D2477">
            <v>0</v>
          </cell>
          <cell r="E2477">
            <v>79.569999999999993</v>
          </cell>
          <cell r="F2477">
            <v>79.569999999999993</v>
          </cell>
        </row>
        <row r="2478">
          <cell r="A2478" t="str">
            <v>210548</v>
          </cell>
          <cell r="B2478" t="str">
            <v xml:space="preserve">Colar de tomada FD DN 300   1" </v>
          </cell>
          <cell r="C2478" t="str">
            <v>ud</v>
          </cell>
          <cell r="D2478">
            <v>0</v>
          </cell>
        </row>
        <row r="2479">
          <cell r="A2479" t="str">
            <v>210549</v>
          </cell>
          <cell r="B2479" t="str">
            <v xml:space="preserve">Colar de tomada FD DN 300   1.1/2" </v>
          </cell>
          <cell r="C2479" t="str">
            <v>ud</v>
          </cell>
          <cell r="D2479">
            <v>0</v>
          </cell>
        </row>
        <row r="2480">
          <cell r="A2480" t="str">
            <v>2106</v>
          </cell>
          <cell r="B2480" t="str">
            <v>CRUZETA FD COM BOLSAS</v>
          </cell>
        </row>
        <row r="2481">
          <cell r="A2481" t="str">
            <v>210601</v>
          </cell>
          <cell r="B2481" t="str">
            <v>Cruzeta FD BBBB JE/JE2GS DN50 conforme norma NBR7675 (990)</v>
          </cell>
          <cell r="C2481" t="str">
            <v>ud</v>
          </cell>
          <cell r="D2481">
            <v>0</v>
          </cell>
          <cell r="E2481">
            <v>110.72</v>
          </cell>
          <cell r="F2481">
            <v>110.72</v>
          </cell>
        </row>
        <row r="2482">
          <cell r="A2482" t="str">
            <v>210602</v>
          </cell>
          <cell r="B2482" t="str">
            <v>Cruzeta FD BBBB JE/JE2GS DN75/80 conforme norma NBR7675 (1171)</v>
          </cell>
          <cell r="C2482" t="str">
            <v>ud</v>
          </cell>
          <cell r="D2482">
            <v>0</v>
          </cell>
          <cell r="E2482">
            <v>166.1</v>
          </cell>
          <cell r="F2482">
            <v>166.1</v>
          </cell>
        </row>
        <row r="2483">
          <cell r="A2483" t="str">
            <v>210603</v>
          </cell>
          <cell r="B2483" t="str">
            <v>Cruzeta FD BBBB JE/JE2GS DN100 conforme norma NBR7675 (1350)</v>
          </cell>
          <cell r="C2483" t="str">
            <v>ud</v>
          </cell>
          <cell r="D2483">
            <v>0</v>
          </cell>
          <cell r="E2483">
            <v>231.11</v>
          </cell>
          <cell r="F2483">
            <v>231.11</v>
          </cell>
        </row>
        <row r="2484">
          <cell r="A2484" t="str">
            <v>210604</v>
          </cell>
          <cell r="B2484" t="str">
            <v>Cruzeta FD BBBB JE/JE2GS DN150 conforme norma NBR7675 (1694)</v>
          </cell>
          <cell r="C2484" t="str">
            <v>ud</v>
          </cell>
          <cell r="D2484">
            <v>0</v>
          </cell>
          <cell r="E2484">
            <v>502.99</v>
          </cell>
          <cell r="F2484">
            <v>502.99</v>
          </cell>
        </row>
        <row r="2485">
          <cell r="A2485" t="str">
            <v>210605</v>
          </cell>
          <cell r="B2485" t="str">
            <v>Cruzeta FD BBBB JE/JE2GS DN200 conforme norma NBR7675 (1880)</v>
          </cell>
          <cell r="C2485" t="str">
            <v>ud</v>
          </cell>
          <cell r="D2485">
            <v>0</v>
          </cell>
          <cell r="E2485">
            <v>706.9</v>
          </cell>
          <cell r="F2485">
            <v>706.9</v>
          </cell>
        </row>
        <row r="2486">
          <cell r="A2486" t="str">
            <v>210606</v>
          </cell>
          <cell r="B2486" t="str">
            <v>Cruzeta FD BBBB JE/JE2GS DN250 conforme norma NBR7675 (77631)</v>
          </cell>
          <cell r="C2486" t="str">
            <v>ud</v>
          </cell>
          <cell r="D2486">
            <v>0</v>
          </cell>
          <cell r="E2486">
            <v>897.23</v>
          </cell>
          <cell r="F2486">
            <v>897.23</v>
          </cell>
        </row>
        <row r="2487">
          <cell r="A2487" t="str">
            <v>210607</v>
          </cell>
          <cell r="B2487" t="str">
            <v>Cruzeta FD BBBB JE/JE2GS DN300 conforme norma NBR7675 (133221)</v>
          </cell>
          <cell r="C2487" t="str">
            <v>ud</v>
          </cell>
          <cell r="D2487">
            <v>0</v>
          </cell>
          <cell r="E2487">
            <v>1127.8399999999999</v>
          </cell>
          <cell r="F2487">
            <v>1127.8399999999999</v>
          </cell>
        </row>
        <row r="2488">
          <cell r="A2488" t="str">
            <v>210608</v>
          </cell>
          <cell r="B2488" t="str">
            <v>Cruzeta FD BBBB JE/JE2GS DN350 conforme norma NBR7675</v>
          </cell>
          <cell r="C2488" t="str">
            <v>ud</v>
          </cell>
          <cell r="D2488">
            <v>0</v>
          </cell>
          <cell r="E2488">
            <v>0</v>
          </cell>
          <cell r="F2488">
            <v>0</v>
          </cell>
        </row>
        <row r="2489">
          <cell r="A2489" t="str">
            <v>210609</v>
          </cell>
          <cell r="B2489" t="str">
            <v>Cruzeta FD BBBB JE/JE2GS DN400 conforme norma NBR7675 (86991)</v>
          </cell>
          <cell r="C2489" t="str">
            <v>ud</v>
          </cell>
          <cell r="D2489">
            <v>0</v>
          </cell>
          <cell r="E2489">
            <v>1848.84</v>
          </cell>
          <cell r="F2489">
            <v>1848.84</v>
          </cell>
        </row>
        <row r="2490">
          <cell r="A2490" t="str">
            <v>210610</v>
          </cell>
          <cell r="B2490" t="str">
            <v>Cruzeta FD BBBB JE/JE2GS DN450 conforme norma NBR7675</v>
          </cell>
          <cell r="C2490" t="str">
            <v>ud</v>
          </cell>
          <cell r="D2490">
            <v>0</v>
          </cell>
          <cell r="E2490">
            <v>0</v>
          </cell>
          <cell r="F2490">
            <v>0</v>
          </cell>
        </row>
        <row r="2491">
          <cell r="A2491" t="str">
            <v>210611</v>
          </cell>
          <cell r="B2491" t="str">
            <v>Cruzeta FD BBBB JE/JE2GS DN500 conforme norma NBR7675 (133264)</v>
          </cell>
          <cell r="C2491" t="str">
            <v>ud</v>
          </cell>
          <cell r="D2491">
            <v>0</v>
          </cell>
          <cell r="E2491">
            <v>2992.57</v>
          </cell>
          <cell r="F2491">
            <v>2992.57</v>
          </cell>
        </row>
        <row r="2492">
          <cell r="A2492" t="str">
            <v>210612</v>
          </cell>
          <cell r="B2492" t="str">
            <v>Cruzeta FD BBBB JE/JE2GS DN600 conforme norma NBR7675</v>
          </cell>
          <cell r="C2492" t="str">
            <v>ud</v>
          </cell>
          <cell r="D2492">
            <v>0</v>
          </cell>
          <cell r="E2492">
            <v>4774.2299999999996</v>
          </cell>
          <cell r="F2492">
            <v>4774.2299999999996</v>
          </cell>
        </row>
        <row r="2493">
          <cell r="A2493" t="str">
            <v>210613</v>
          </cell>
          <cell r="B2493" t="str">
            <v>Cruzeta FD BBBB JE/JE2GS DN75/80x50 conforme norma NBR7675 (73458)</v>
          </cell>
          <cell r="C2493" t="str">
            <v>ud</v>
          </cell>
          <cell r="D2493">
            <v>0</v>
          </cell>
          <cell r="E2493">
            <v>138.38999999999999</v>
          </cell>
          <cell r="F2493">
            <v>138.38999999999999</v>
          </cell>
        </row>
        <row r="2494">
          <cell r="A2494" t="str">
            <v>210614</v>
          </cell>
          <cell r="B2494" t="str">
            <v>Cruzeta FD BBBB JE/JE2GS DN100x50 conforme norma NBR7675 (79804)</v>
          </cell>
          <cell r="C2494" t="str">
            <v>ud</v>
          </cell>
          <cell r="D2494">
            <v>0</v>
          </cell>
          <cell r="E2494">
            <v>179.88</v>
          </cell>
          <cell r="F2494">
            <v>179.88</v>
          </cell>
        </row>
        <row r="2495">
          <cell r="A2495" t="str">
            <v>210615</v>
          </cell>
          <cell r="B2495" t="str">
            <v>Cruzeta FD BBBB JE/JE2GS DN100x75/80 conforme norma NBR7675 (80004)</v>
          </cell>
          <cell r="C2495" t="str">
            <v>ud</v>
          </cell>
          <cell r="D2495">
            <v>0</v>
          </cell>
          <cell r="E2495">
            <v>204.1</v>
          </cell>
          <cell r="F2495">
            <v>204.1</v>
          </cell>
        </row>
        <row r="2496">
          <cell r="A2496" t="str">
            <v>210616</v>
          </cell>
          <cell r="B2496" t="str">
            <v>Cruzeta FD BBBB JE/JE2GS DN150x50 conforme norma NBR7675 (65927)</v>
          </cell>
          <cell r="C2496" t="str">
            <v>ud</v>
          </cell>
          <cell r="D2496">
            <v>0</v>
          </cell>
          <cell r="E2496">
            <v>255.97</v>
          </cell>
          <cell r="F2496">
            <v>255.97</v>
          </cell>
        </row>
        <row r="2497">
          <cell r="A2497" t="str">
            <v>210617</v>
          </cell>
          <cell r="B2497" t="str">
            <v>Cruzeta FD BBBB JE/JE2GS DN150x75/80 conforme norma NBR7675 (38636)</v>
          </cell>
          <cell r="C2497" t="str">
            <v>ud</v>
          </cell>
          <cell r="D2497">
            <v>0</v>
          </cell>
          <cell r="E2497">
            <v>290.60000000000002</v>
          </cell>
          <cell r="F2497">
            <v>290.60000000000002</v>
          </cell>
        </row>
        <row r="2498">
          <cell r="A2498" t="str">
            <v>210618</v>
          </cell>
          <cell r="B2498" t="str">
            <v>Cruzeta FD BBBB JE/JE2GS DN150x100 conforme norma NBR7675 (57460)</v>
          </cell>
          <cell r="C2498" t="str">
            <v>ud</v>
          </cell>
          <cell r="D2498">
            <v>0</v>
          </cell>
          <cell r="E2498">
            <v>318.31</v>
          </cell>
          <cell r="F2498">
            <v>318.31</v>
          </cell>
        </row>
        <row r="2499">
          <cell r="A2499" t="str">
            <v>210619</v>
          </cell>
          <cell r="B2499" t="str">
            <v>Cruzeta FD BBBB JE/JE2GS DN200x50 conforme norma NBR7675 (68756)</v>
          </cell>
          <cell r="C2499" t="str">
            <v>ud</v>
          </cell>
          <cell r="D2499">
            <v>0</v>
          </cell>
          <cell r="E2499">
            <v>352.87</v>
          </cell>
          <cell r="F2499">
            <v>352.87</v>
          </cell>
        </row>
        <row r="2500">
          <cell r="A2500" t="str">
            <v>210620</v>
          </cell>
          <cell r="B2500" t="str">
            <v>Cruzeta FD BBBB JE/JE2GS DN200x75/80 conforme norma NBR7675 (84433)</v>
          </cell>
          <cell r="C2500" t="str">
            <v>ud</v>
          </cell>
          <cell r="D2500">
            <v>0</v>
          </cell>
          <cell r="E2500">
            <v>373.66</v>
          </cell>
          <cell r="F2500">
            <v>373.66</v>
          </cell>
        </row>
        <row r="2501">
          <cell r="A2501" t="str">
            <v>210621</v>
          </cell>
          <cell r="B2501" t="str">
            <v>Cruzeta FD BBBB JE/JE2GS DN200x100 conforme norma NBR7675 (68748)</v>
          </cell>
          <cell r="C2501" t="str">
            <v>ud</v>
          </cell>
          <cell r="D2501">
            <v>0</v>
          </cell>
          <cell r="E2501">
            <v>421.43</v>
          </cell>
          <cell r="F2501">
            <v>421.43</v>
          </cell>
        </row>
        <row r="2502">
          <cell r="A2502" t="str">
            <v>210622</v>
          </cell>
          <cell r="B2502" t="str">
            <v>Cruzeta FD BBBB JE/JE2GS DN200x150 conforme norma NBR7675 (84441)</v>
          </cell>
          <cell r="C2502" t="str">
            <v>ud</v>
          </cell>
          <cell r="D2502">
            <v>0</v>
          </cell>
          <cell r="E2502">
            <v>0</v>
          </cell>
          <cell r="F2502">
            <v>0</v>
          </cell>
        </row>
        <row r="2503">
          <cell r="A2503" t="str">
            <v>210623</v>
          </cell>
          <cell r="B2503" t="str">
            <v>Cruzeta FD BBBB JE/JE2GS DN250x50 conforme norma NBR7675 (79260)</v>
          </cell>
          <cell r="C2503" t="str">
            <v>ud</v>
          </cell>
          <cell r="D2503">
            <v>0</v>
          </cell>
          <cell r="E2503">
            <v>475.81</v>
          </cell>
          <cell r="F2503">
            <v>475.81</v>
          </cell>
        </row>
        <row r="2504">
          <cell r="A2504" t="str">
            <v>210624</v>
          </cell>
          <cell r="B2504" t="str">
            <v>Cruzeta FD BBBB JE/JE2GS DN250x75/80 conforme norma NBR7675 (68730)</v>
          </cell>
          <cell r="C2504" t="str">
            <v>ud</v>
          </cell>
          <cell r="D2504">
            <v>0</v>
          </cell>
          <cell r="E2504">
            <v>525.84</v>
          </cell>
          <cell r="F2504">
            <v>525.84</v>
          </cell>
        </row>
        <row r="2505">
          <cell r="A2505" t="str">
            <v>210625</v>
          </cell>
          <cell r="B2505" t="str">
            <v>Cruzeta FD BBBB JE/JE2GS DN250x100 conforme norma NBR7675 (68721)</v>
          </cell>
          <cell r="C2505" t="str">
            <v>ud</v>
          </cell>
          <cell r="D2505">
            <v>0</v>
          </cell>
          <cell r="E2505">
            <v>747.69</v>
          </cell>
          <cell r="F2505">
            <v>747.69</v>
          </cell>
        </row>
        <row r="2506">
          <cell r="A2506" t="str">
            <v>210626</v>
          </cell>
          <cell r="B2506" t="str">
            <v>Cruzeta FD BBBB JE/JE2GS DN250x150 conforme norma NBR7675</v>
          </cell>
          <cell r="C2506" t="str">
            <v>ud</v>
          </cell>
          <cell r="D2506">
            <v>0</v>
          </cell>
          <cell r="E2506">
            <v>0</v>
          </cell>
          <cell r="F2506">
            <v>0</v>
          </cell>
        </row>
        <row r="2507">
          <cell r="A2507" t="str">
            <v>210627</v>
          </cell>
          <cell r="B2507" t="str">
            <v>Cruzeta FD BBBB JE/JE2GS DN250x200 conforme norma NBR7675</v>
          </cell>
          <cell r="C2507" t="str">
            <v>ud</v>
          </cell>
          <cell r="D2507">
            <v>0</v>
          </cell>
          <cell r="E2507">
            <v>706.9</v>
          </cell>
          <cell r="F2507">
            <v>706.9</v>
          </cell>
        </row>
        <row r="2508">
          <cell r="A2508" t="str">
            <v>210628</v>
          </cell>
          <cell r="B2508" t="str">
            <v>Cruzeta FD BBBB JE/JE2GS DN300x50 conforme norma NBR7675 (161020)</v>
          </cell>
          <cell r="C2508" t="str">
            <v>ud</v>
          </cell>
          <cell r="D2508">
            <v>0</v>
          </cell>
          <cell r="E2508">
            <v>0</v>
          </cell>
          <cell r="F2508">
            <v>0</v>
          </cell>
        </row>
        <row r="2509">
          <cell r="A2509" t="str">
            <v>210629</v>
          </cell>
          <cell r="B2509" t="str">
            <v>Cruzeta FD BBBB JE/JE2GS DN300x75/80 conforme norma NBR7675 (93629)</v>
          </cell>
          <cell r="C2509" t="str">
            <v>ud</v>
          </cell>
          <cell r="D2509">
            <v>0</v>
          </cell>
          <cell r="E2509">
            <v>652.53</v>
          </cell>
          <cell r="F2509">
            <v>652.53</v>
          </cell>
        </row>
        <row r="2510">
          <cell r="A2510" t="str">
            <v>210630</v>
          </cell>
          <cell r="B2510" t="str">
            <v>Cruzeta FD BBBB JE/JE2GS DN300x100 conforme norma NBR7675 (86967)</v>
          </cell>
          <cell r="C2510" t="str">
            <v>ud</v>
          </cell>
          <cell r="D2510">
            <v>0</v>
          </cell>
          <cell r="E2510">
            <v>679.72</v>
          </cell>
          <cell r="F2510">
            <v>679.72</v>
          </cell>
        </row>
        <row r="2511">
          <cell r="A2511" t="str">
            <v>210631</v>
          </cell>
          <cell r="B2511" t="str">
            <v>Cruzeta FD BBBB JE/JE2GS DN300x150 conforme norma NBR7675 (144827)</v>
          </cell>
          <cell r="C2511" t="str">
            <v>ud</v>
          </cell>
          <cell r="D2511">
            <v>0</v>
          </cell>
          <cell r="E2511">
            <v>720.5</v>
          </cell>
          <cell r="F2511">
            <v>720.5</v>
          </cell>
        </row>
        <row r="2512">
          <cell r="A2512" t="str">
            <v>210632</v>
          </cell>
          <cell r="B2512" t="str">
            <v>Cruzeta FD BBBB JE/JE2GS DN300x200 conforme norma NBR7675 (133213)</v>
          </cell>
          <cell r="C2512" t="str">
            <v>ud</v>
          </cell>
          <cell r="D2512">
            <v>0</v>
          </cell>
          <cell r="E2512">
            <v>978.79</v>
          </cell>
          <cell r="F2512">
            <v>978.79</v>
          </cell>
        </row>
        <row r="2513">
          <cell r="A2513" t="str">
            <v>210633</v>
          </cell>
          <cell r="B2513" t="str">
            <v>Cruzeta FD BBBB JE/JE2GS DN300x250 conforme norma NBR7675 (144819)</v>
          </cell>
          <cell r="C2513" t="str">
            <v>ud</v>
          </cell>
          <cell r="D2513">
            <v>0</v>
          </cell>
          <cell r="E2513">
            <v>0</v>
          </cell>
          <cell r="F2513">
            <v>0</v>
          </cell>
        </row>
        <row r="2514">
          <cell r="A2514" t="str">
            <v>210634</v>
          </cell>
          <cell r="B2514" t="str">
            <v>Cruzeta FD BBBB JE/JE2GS DN400x75/80 conforme norma NBR7675 (86975)</v>
          </cell>
          <cell r="C2514" t="str">
            <v>ud</v>
          </cell>
          <cell r="D2514">
            <v>0</v>
          </cell>
          <cell r="E2514">
            <v>0</v>
          </cell>
          <cell r="F2514">
            <v>0</v>
          </cell>
        </row>
        <row r="2515">
          <cell r="A2515" t="str">
            <v>210635</v>
          </cell>
          <cell r="B2515" t="str">
            <v>Cruzeta FD BBBB JE/JE2GS DN400x100 conforme norma NBR7675 (57428)</v>
          </cell>
          <cell r="C2515" t="str">
            <v>ud</v>
          </cell>
          <cell r="D2515">
            <v>0</v>
          </cell>
          <cell r="E2515">
            <v>1087.55</v>
          </cell>
          <cell r="F2515">
            <v>1087.55</v>
          </cell>
        </row>
        <row r="2516">
          <cell r="A2516" t="str">
            <v>210636</v>
          </cell>
          <cell r="B2516" t="str">
            <v>Cruzeta FD BBBB JE/JE2GS DN400x150 conforme norma NBR7675 (161039)</v>
          </cell>
          <cell r="C2516" t="str">
            <v>ud</v>
          </cell>
          <cell r="D2516">
            <v>0</v>
          </cell>
          <cell r="E2516">
            <v>1223.49</v>
          </cell>
          <cell r="F2516">
            <v>1223.49</v>
          </cell>
        </row>
        <row r="2517">
          <cell r="A2517" t="str">
            <v>210637</v>
          </cell>
          <cell r="B2517" t="str">
            <v>Cruzeta FD BBBB JE/JE2GS DN400x200 conforme norma NBR7675</v>
          </cell>
          <cell r="C2517" t="str">
            <v>ud</v>
          </cell>
          <cell r="D2517">
            <v>0</v>
          </cell>
          <cell r="E2517">
            <v>0</v>
          </cell>
          <cell r="F2517">
            <v>0</v>
          </cell>
        </row>
        <row r="2518">
          <cell r="A2518" t="str">
            <v>210638</v>
          </cell>
          <cell r="B2518" t="str">
            <v>Cruzeta FD BBBB JE/JE2GS DN400x250 conforme norma NBR7675</v>
          </cell>
          <cell r="C2518" t="str">
            <v>ud</v>
          </cell>
          <cell r="D2518">
            <v>0</v>
          </cell>
          <cell r="E2518">
            <v>0</v>
          </cell>
          <cell r="F2518">
            <v>0</v>
          </cell>
        </row>
        <row r="2519">
          <cell r="A2519" t="str">
            <v>210639</v>
          </cell>
          <cell r="B2519" t="str">
            <v>Cruzeta FD BBBB JE/JE2GS DN400x300 conforme norma NBR7675</v>
          </cell>
          <cell r="C2519" t="str">
            <v>ud</v>
          </cell>
          <cell r="D2519">
            <v>0</v>
          </cell>
          <cell r="E2519">
            <v>1712.89</v>
          </cell>
          <cell r="F2519">
            <v>1712.89</v>
          </cell>
        </row>
        <row r="2520">
          <cell r="A2520" t="str">
            <v>210640</v>
          </cell>
          <cell r="B2520" t="str">
            <v>Cruzeta FD BBBB JE/JE2GS DN500x75/80 conforme norma NBR7675 (133230)</v>
          </cell>
          <cell r="C2520" t="str">
            <v>ud</v>
          </cell>
          <cell r="D2520">
            <v>0</v>
          </cell>
          <cell r="E2520">
            <v>0</v>
          </cell>
          <cell r="F2520">
            <v>0</v>
          </cell>
        </row>
        <row r="2521">
          <cell r="A2521" t="str">
            <v>210641</v>
          </cell>
          <cell r="B2521" t="str">
            <v>Cruzeta FD BBBB JE/JE2GS DN500x100 conforme norma NBR7675 (133248)</v>
          </cell>
          <cell r="C2521" t="str">
            <v>ud</v>
          </cell>
          <cell r="D2521">
            <v>0</v>
          </cell>
          <cell r="E2521">
            <v>0</v>
          </cell>
          <cell r="F2521">
            <v>0</v>
          </cell>
        </row>
        <row r="2522">
          <cell r="A2522" t="str">
            <v>210642</v>
          </cell>
          <cell r="B2522" t="str">
            <v>Cruzeta FD BBBB JE/JE2GS DN500x200 conforme norma NBR7675 (133256)</v>
          </cell>
          <cell r="C2522" t="str">
            <v>ud</v>
          </cell>
          <cell r="D2522">
            <v>0</v>
          </cell>
          <cell r="E2522">
            <v>0</v>
          </cell>
          <cell r="F2522">
            <v>0</v>
          </cell>
        </row>
        <row r="2523">
          <cell r="A2523" t="str">
            <v>210643</v>
          </cell>
          <cell r="B2523" t="str">
            <v>Cruzeta FD BBBB JE/JE2GS DN500x300 conforme norma NBR7675</v>
          </cell>
          <cell r="C2523" t="str">
            <v>ud</v>
          </cell>
          <cell r="D2523">
            <v>0</v>
          </cell>
        </row>
        <row r="2524">
          <cell r="A2524" t="str">
            <v>210644</v>
          </cell>
          <cell r="B2524" t="str">
            <v>Cruzeta FD BBBB JE/JE2GS DN500x400 conforme norma NBR7675 (175323)</v>
          </cell>
          <cell r="C2524" t="str">
            <v>ud</v>
          </cell>
          <cell r="D2524">
            <v>0</v>
          </cell>
          <cell r="E2524">
            <v>0</v>
          </cell>
          <cell r="F2524">
            <v>0</v>
          </cell>
        </row>
        <row r="2525">
          <cell r="A2525" t="str">
            <v>210645</v>
          </cell>
          <cell r="B2525" t="str">
            <v>Cruzeta FD BBBB JE/JE2GS DN600x75/80 conforme norma NBR7675 (87017)</v>
          </cell>
          <cell r="C2525" t="str">
            <v>ud</v>
          </cell>
          <cell r="D2525">
            <v>0</v>
          </cell>
          <cell r="E2525">
            <v>0</v>
          </cell>
          <cell r="F2525">
            <v>0</v>
          </cell>
        </row>
        <row r="2526">
          <cell r="A2526" t="str">
            <v>210646</v>
          </cell>
          <cell r="B2526" t="str">
            <v>Cruzeta FD BBBB JE/JE2GS DN600x100 conforme norma NBR7675 (87025)</v>
          </cell>
          <cell r="C2526" t="str">
            <v>ud</v>
          </cell>
          <cell r="D2526">
            <v>0</v>
          </cell>
          <cell r="E2526">
            <v>0</v>
          </cell>
          <cell r="F2526">
            <v>0</v>
          </cell>
        </row>
        <row r="2527">
          <cell r="A2527" t="str">
            <v>210647</v>
          </cell>
          <cell r="B2527" t="str">
            <v>Cruzeta FD BBBB JE/JE2GS DN600x200 conforme norma NBR7675</v>
          </cell>
          <cell r="C2527" t="str">
            <v>ud</v>
          </cell>
          <cell r="D2527">
            <v>0</v>
          </cell>
        </row>
        <row r="2528">
          <cell r="A2528" t="str">
            <v>210648</v>
          </cell>
          <cell r="B2528" t="str">
            <v>Cruzeta FD BBBB JE/JE2GS DN600x300 conforme norma NBR7675</v>
          </cell>
          <cell r="C2528" t="str">
            <v>ud</v>
          </cell>
          <cell r="D2528">
            <v>0</v>
          </cell>
          <cell r="E2528">
            <v>3085.97</v>
          </cell>
          <cell r="F2528">
            <v>3085.97</v>
          </cell>
        </row>
        <row r="2529">
          <cell r="A2529" t="str">
            <v>210649</v>
          </cell>
          <cell r="B2529" t="str">
            <v>Cruzeta FD BBBB JE/JE2GS DN600x400 conforme norma NBR7675 (149365)</v>
          </cell>
          <cell r="C2529" t="str">
            <v>ud</v>
          </cell>
          <cell r="D2529">
            <v>0</v>
          </cell>
          <cell r="E2529">
            <v>3397.29</v>
          </cell>
          <cell r="F2529">
            <v>3397.29</v>
          </cell>
        </row>
        <row r="2530">
          <cell r="A2530" t="str">
            <v>210650</v>
          </cell>
          <cell r="B2530" t="str">
            <v>Cruzeta FD BBBB JE/JE2GS DN600x500 conforme norma NBR7675</v>
          </cell>
          <cell r="C2530" t="str">
            <v>ud</v>
          </cell>
          <cell r="D2530">
            <v>0</v>
          </cell>
          <cell r="E2530">
            <v>4324.49</v>
          </cell>
          <cell r="F2530">
            <v>4324.49</v>
          </cell>
        </row>
        <row r="2531">
          <cell r="A2531" t="str">
            <v>210651</v>
          </cell>
          <cell r="B2531" t="str">
            <v>Cruzeta FD BBBB JE para interligação PVC PBA DN100x50 conforme NBR5647 (134783)</v>
          </cell>
          <cell r="C2531" t="str">
            <v>ud</v>
          </cell>
          <cell r="D2531">
            <v>0</v>
          </cell>
          <cell r="E2531">
            <v>179.89</v>
          </cell>
          <cell r="F2531">
            <v>179.89</v>
          </cell>
        </row>
        <row r="2532">
          <cell r="A2532" t="str">
            <v>210652</v>
          </cell>
          <cell r="B2532" t="str">
            <v xml:space="preserve">Cruzeta FD BBBB JE para interligação PVC PBA DN100x75 conforme NBR5647 </v>
          </cell>
          <cell r="C2532" t="str">
            <v>ud</v>
          </cell>
          <cell r="D2532">
            <v>0</v>
          </cell>
          <cell r="E2532">
            <v>196.91</v>
          </cell>
          <cell r="F2532">
            <v>196.91</v>
          </cell>
        </row>
        <row r="2533">
          <cell r="A2533" t="str">
            <v>210653</v>
          </cell>
          <cell r="B2533" t="str">
            <v>Cruzeta FD BBBB JE para interligação PVC PBA DN150x50 conforme NBR5647 (101893)</v>
          </cell>
          <cell r="C2533" t="str">
            <v>ud</v>
          </cell>
          <cell r="D2533">
            <v>0</v>
          </cell>
          <cell r="E2533">
            <v>221.41</v>
          </cell>
          <cell r="F2533">
            <v>221.41</v>
          </cell>
        </row>
        <row r="2534">
          <cell r="A2534" t="str">
            <v>210654</v>
          </cell>
          <cell r="B2534" t="str">
            <v>Cruzeta FD BBBB JE para interligação PVC PBA DN150x75 conforme NBR5647 (101907)</v>
          </cell>
          <cell r="C2534" t="str">
            <v>ud</v>
          </cell>
          <cell r="D2534">
            <v>0</v>
          </cell>
          <cell r="E2534">
            <v>283.69</v>
          </cell>
          <cell r="F2534">
            <v>283.69</v>
          </cell>
        </row>
        <row r="2535">
          <cell r="A2535" t="str">
            <v>210655</v>
          </cell>
          <cell r="B2535" t="str">
            <v>Cruzeta FD BBBB JE para interligação PVC PBA DN150x100 conforme NBR5647 (101915)</v>
          </cell>
          <cell r="C2535" t="str">
            <v>ud</v>
          </cell>
          <cell r="D2535">
            <v>0</v>
          </cell>
          <cell r="E2535">
            <v>307.89</v>
          </cell>
          <cell r="F2535">
            <v>307.89</v>
          </cell>
        </row>
        <row r="2536">
          <cell r="A2536" t="str">
            <v>210656</v>
          </cell>
          <cell r="B2536" t="str">
            <v>Cruzeta FD BBBB JE para interligação PVC PBA DN200x50 conforme NBR5647 (101923)</v>
          </cell>
          <cell r="C2536" t="str">
            <v>ud</v>
          </cell>
          <cell r="D2536">
            <v>0</v>
          </cell>
          <cell r="E2536">
            <v>339.05</v>
          </cell>
          <cell r="F2536">
            <v>339.05</v>
          </cell>
        </row>
        <row r="2537">
          <cell r="A2537" t="str">
            <v>210657</v>
          </cell>
          <cell r="B2537" t="str">
            <v>Cruzeta FD BBBB JE para interligação PVC PBA DN200x75 conforme NBR5647 (101931)</v>
          </cell>
          <cell r="C2537" t="str">
            <v>ud</v>
          </cell>
          <cell r="D2537">
            <v>0</v>
          </cell>
          <cell r="E2537">
            <v>366.72</v>
          </cell>
          <cell r="F2537">
            <v>366.72</v>
          </cell>
        </row>
        <row r="2538">
          <cell r="A2538" t="str">
            <v>210658</v>
          </cell>
          <cell r="B2538" t="str">
            <v>Cruzeta FD BBBB JE para interligação PVC PBA DN200x100 conforme NBR5647 (101940)</v>
          </cell>
          <cell r="C2538" t="str">
            <v>ud</v>
          </cell>
          <cell r="D2538">
            <v>0</v>
          </cell>
          <cell r="E2538">
            <v>387.47</v>
          </cell>
          <cell r="F2538">
            <v>387.47</v>
          </cell>
        </row>
        <row r="2539">
          <cell r="A2539" t="str">
            <v>210659</v>
          </cell>
          <cell r="B2539" t="str">
            <v>Cruzeta FD BBBB JE para interligação PVC PBA DN250x50 conforme NBR5647 (101958)</v>
          </cell>
          <cell r="C2539" t="str">
            <v>ud</v>
          </cell>
          <cell r="D2539">
            <v>0</v>
          </cell>
          <cell r="E2539">
            <v>494.7</v>
          </cell>
          <cell r="F2539">
            <v>494.7</v>
          </cell>
        </row>
        <row r="2540">
          <cell r="A2540" t="str">
            <v>210660</v>
          </cell>
          <cell r="B2540" t="str">
            <v>Cruzeta FD BBBB JE para interligação PVC PBA DN250x75 conforme NBR5647 (101966)</v>
          </cell>
          <cell r="C2540" t="str">
            <v>ud</v>
          </cell>
          <cell r="D2540">
            <v>0</v>
          </cell>
          <cell r="E2540">
            <v>522.41</v>
          </cell>
          <cell r="F2540">
            <v>522.41</v>
          </cell>
        </row>
        <row r="2541">
          <cell r="A2541" t="str">
            <v>210661</v>
          </cell>
          <cell r="B2541" t="str">
            <v>Cruzeta FD BBBB JE para interligação PVC PBA DN250x100 conforme NBR5647 (101974)</v>
          </cell>
          <cell r="C2541" t="str">
            <v>ud</v>
          </cell>
          <cell r="D2541">
            <v>0</v>
          </cell>
          <cell r="E2541">
            <v>546.62</v>
          </cell>
          <cell r="F2541">
            <v>546.62</v>
          </cell>
        </row>
        <row r="2542">
          <cell r="A2542" t="str">
            <v>2107</v>
          </cell>
          <cell r="B2542" t="str">
            <v>CURVA FD COM BOLSAS</v>
          </cell>
        </row>
        <row r="2543">
          <cell r="A2543" t="str">
            <v>210701</v>
          </cell>
          <cell r="B2543" t="str">
            <v>Curva de 11o15` FD BB JE/JE2GS DN50 conforme NBR7675</v>
          </cell>
          <cell r="C2543" t="str">
            <v>ud</v>
          </cell>
          <cell r="D2543">
            <v>0</v>
          </cell>
        </row>
        <row r="2544">
          <cell r="A2544" t="str">
            <v>210702</v>
          </cell>
          <cell r="B2544" t="str">
            <v>Curva de 11o15` FD BB JE/JE2GS DN75/80 conforme NBR7675</v>
          </cell>
          <cell r="C2544" t="str">
            <v>ud</v>
          </cell>
          <cell r="D2544">
            <v>0</v>
          </cell>
          <cell r="E2544">
            <v>83.01</v>
          </cell>
          <cell r="F2544">
            <v>83.01</v>
          </cell>
        </row>
        <row r="2545">
          <cell r="A2545" t="str">
            <v>210703</v>
          </cell>
          <cell r="B2545" t="str">
            <v>Curva de 11o15` FD BB JE/JE2GS DN100 conforme NBR7675 (149349)</v>
          </cell>
          <cell r="C2545" t="str">
            <v>ud</v>
          </cell>
          <cell r="D2545">
            <v>0</v>
          </cell>
          <cell r="E2545">
            <v>103.76</v>
          </cell>
          <cell r="F2545">
            <v>103.76</v>
          </cell>
        </row>
        <row r="2546">
          <cell r="A2546" t="str">
            <v>210704</v>
          </cell>
          <cell r="B2546" t="str">
            <v>Curva de 11o15` FD BB JE/JE2GS DN150 conforme NBR7675 (2976)</v>
          </cell>
          <cell r="C2546" t="str">
            <v>ud</v>
          </cell>
          <cell r="D2546">
            <v>0</v>
          </cell>
          <cell r="E2546">
            <v>186.83</v>
          </cell>
          <cell r="F2546">
            <v>186.83</v>
          </cell>
        </row>
        <row r="2547">
          <cell r="A2547" t="str">
            <v>210705</v>
          </cell>
          <cell r="B2547" t="str">
            <v>Curva de 11o15` FD BB JE/JE2GS DN200 conforme NBR7675 (95621)</v>
          </cell>
          <cell r="C2547" t="str">
            <v>ud</v>
          </cell>
          <cell r="D2547">
            <v>0</v>
          </cell>
          <cell r="E2547">
            <v>262.94</v>
          </cell>
          <cell r="F2547">
            <v>262.94</v>
          </cell>
        </row>
        <row r="2548">
          <cell r="A2548" t="str">
            <v>210706</v>
          </cell>
          <cell r="B2548" t="str">
            <v>Curva de 11o15` FD BB JE/JE2GS DN250 conforme NBR7675 (169870)</v>
          </cell>
          <cell r="C2548" t="str">
            <v>ud</v>
          </cell>
          <cell r="D2548">
            <v>0</v>
          </cell>
          <cell r="E2548">
            <v>401.29</v>
          </cell>
          <cell r="F2548">
            <v>401.29</v>
          </cell>
        </row>
        <row r="2549">
          <cell r="A2549" t="str">
            <v>210707</v>
          </cell>
          <cell r="B2549" t="str">
            <v>Curva de 11o15` FD BB JE/JE2GS DN300 conforme NBR7675 (77640)</v>
          </cell>
          <cell r="C2549" t="str">
            <v>ud</v>
          </cell>
          <cell r="D2549">
            <v>0</v>
          </cell>
          <cell r="E2549">
            <v>515.51</v>
          </cell>
          <cell r="F2549">
            <v>515.51</v>
          </cell>
        </row>
        <row r="2550">
          <cell r="A2550" t="str">
            <v>210708</v>
          </cell>
          <cell r="B2550" t="str">
            <v>Curva de 11o15` FD BB JE/JE2GS DN350 conforme NBR7675 (268232)</v>
          </cell>
          <cell r="C2550" t="str">
            <v>ud</v>
          </cell>
          <cell r="D2550">
            <v>0</v>
          </cell>
          <cell r="E2550">
            <v>712.7</v>
          </cell>
          <cell r="F2550">
            <v>712.7</v>
          </cell>
        </row>
        <row r="2551">
          <cell r="A2551" t="str">
            <v>210709</v>
          </cell>
          <cell r="B2551" t="str">
            <v>Curva de 11o15` FD BB JE/JE2GS DN400 conforme NBR7675 (90050)</v>
          </cell>
          <cell r="C2551" t="str">
            <v>ud</v>
          </cell>
          <cell r="D2551">
            <v>0</v>
          </cell>
          <cell r="E2551">
            <v>979.06</v>
          </cell>
          <cell r="F2551">
            <v>979.06</v>
          </cell>
        </row>
        <row r="2552">
          <cell r="A2552" t="str">
            <v>210710</v>
          </cell>
          <cell r="B2552" t="str">
            <v>Curva de 11o15` FD BB JE/JE2GS DN450 conforme NBR7675</v>
          </cell>
          <cell r="C2552" t="str">
            <v>ud</v>
          </cell>
          <cell r="D2552">
            <v>0</v>
          </cell>
        </row>
        <row r="2553">
          <cell r="A2553" t="str">
            <v>210711</v>
          </cell>
          <cell r="B2553" t="str">
            <v>Curva de 11o15` FD BB JE/JE2GS DN500 conforme NBR7675 (4146)</v>
          </cell>
          <cell r="C2553" t="str">
            <v>ud</v>
          </cell>
          <cell r="D2553">
            <v>0</v>
          </cell>
          <cell r="E2553">
            <v>1508.38</v>
          </cell>
          <cell r="F2553">
            <v>1508.38</v>
          </cell>
        </row>
        <row r="2554">
          <cell r="A2554" t="str">
            <v>210712</v>
          </cell>
          <cell r="B2554" t="str">
            <v>Curva de 11o15` FD BB JE/JE2GS DN600 conforme NBR7675 (194859)</v>
          </cell>
          <cell r="C2554" t="str">
            <v>ud</v>
          </cell>
          <cell r="D2554">
            <v>0</v>
          </cell>
          <cell r="E2554">
            <v>2207.23</v>
          </cell>
          <cell r="F2554">
            <v>2207.23</v>
          </cell>
        </row>
        <row r="2555">
          <cell r="A2555" t="str">
            <v>210713</v>
          </cell>
          <cell r="B2555" t="str">
            <v>Curva de 11o15` FD BB JE/JE2GS DN700 conforme NBR7675 (194840)</v>
          </cell>
          <cell r="C2555" t="str">
            <v>ud</v>
          </cell>
          <cell r="D2555">
            <v>0</v>
          </cell>
        </row>
        <row r="2556">
          <cell r="A2556" t="str">
            <v>210714</v>
          </cell>
          <cell r="B2556" t="str">
            <v>Curva de 11o15` FD BB JE/JE2GS DN800 conforme NBR7675 (282661)</v>
          </cell>
          <cell r="C2556" t="str">
            <v>ud</v>
          </cell>
          <cell r="D2556">
            <v>0</v>
          </cell>
          <cell r="E2556">
            <v>3823.67</v>
          </cell>
          <cell r="F2556">
            <v>3823.67</v>
          </cell>
        </row>
        <row r="2557">
          <cell r="A2557" t="str">
            <v>210715</v>
          </cell>
          <cell r="B2557" t="str">
            <v>Curva de 11o15` FD BB JE/JE2GS DN900 conforme NBR7675 (114073)</v>
          </cell>
          <cell r="C2557" t="str">
            <v>ud</v>
          </cell>
          <cell r="D2557">
            <v>0</v>
          </cell>
        </row>
        <row r="2558">
          <cell r="A2558" t="str">
            <v>210716</v>
          </cell>
          <cell r="B2558" t="str">
            <v>Curva de 11o15` FD BB JE/JE2GS DN1000 conforme NBR7675</v>
          </cell>
          <cell r="C2558" t="str">
            <v>ud</v>
          </cell>
          <cell r="D2558">
            <v>0</v>
          </cell>
        </row>
        <row r="2559">
          <cell r="A2559" t="str">
            <v>210717</v>
          </cell>
          <cell r="B2559" t="str">
            <v>Curva de 11o15` FD BB JE/JE2GS DN1100 conforme NBR7675</v>
          </cell>
          <cell r="C2559" t="str">
            <v>ud</v>
          </cell>
          <cell r="D2559">
            <v>0</v>
          </cell>
        </row>
        <row r="2560">
          <cell r="A2560" t="str">
            <v>210718</v>
          </cell>
          <cell r="B2560" t="str">
            <v>Curva de 11o15` FD BB JE/JE2GS DN1200 conforme NBR7675</v>
          </cell>
          <cell r="C2560" t="str">
            <v>ud</v>
          </cell>
          <cell r="D2560">
            <v>0</v>
          </cell>
        </row>
        <row r="2561">
          <cell r="A2561" t="str">
            <v>210719</v>
          </cell>
          <cell r="B2561" t="str">
            <v>Curva de 22o30` FD BB JE/JE2GS DN50 conforme NBR7675 (90255)</v>
          </cell>
          <cell r="C2561" t="str">
            <v>ud</v>
          </cell>
          <cell r="D2561">
            <v>0</v>
          </cell>
          <cell r="E2561">
            <v>69.17</v>
          </cell>
          <cell r="F2561">
            <v>69.17</v>
          </cell>
        </row>
        <row r="2562">
          <cell r="A2562" t="str">
            <v>210720</v>
          </cell>
          <cell r="B2562" t="str">
            <v>Curva de 22o30` FD BB JE/JE2GS DN75/80 conforme NBR7675 (3077)</v>
          </cell>
          <cell r="C2562" t="str">
            <v>ud</v>
          </cell>
          <cell r="D2562">
            <v>0</v>
          </cell>
          <cell r="E2562">
            <v>89.94</v>
          </cell>
          <cell r="F2562">
            <v>89.94</v>
          </cell>
        </row>
        <row r="2563">
          <cell r="A2563" t="str">
            <v>210721</v>
          </cell>
          <cell r="B2563" t="str">
            <v>Curva de 22o30` FD BB JE/JE2GS DN100 conforme NBR7675 (3123)</v>
          </cell>
          <cell r="C2563" t="str">
            <v>ud</v>
          </cell>
          <cell r="D2563">
            <v>0</v>
          </cell>
          <cell r="E2563">
            <v>114.16</v>
          </cell>
          <cell r="F2563">
            <v>114.16</v>
          </cell>
        </row>
        <row r="2564">
          <cell r="A2564" t="str">
            <v>210722</v>
          </cell>
          <cell r="B2564" t="str">
            <v>Curva de 22o30` FD BB JE/JE2GS DN150 conforme NBR7675 (3212)</v>
          </cell>
          <cell r="C2564" t="str">
            <v>ud</v>
          </cell>
          <cell r="D2564">
            <v>0</v>
          </cell>
          <cell r="E2564">
            <v>179.89</v>
          </cell>
          <cell r="F2564">
            <v>179.89</v>
          </cell>
        </row>
        <row r="2565">
          <cell r="A2565" t="str">
            <v>210723</v>
          </cell>
          <cell r="B2565" t="str">
            <v>Curva de 22o30` FD BB JE/JE2GS DN200 conforme NBR7675 (4227)</v>
          </cell>
          <cell r="C2565" t="str">
            <v>ud</v>
          </cell>
          <cell r="D2565">
            <v>0</v>
          </cell>
          <cell r="E2565">
            <v>255.97</v>
          </cell>
          <cell r="F2565">
            <v>255.97</v>
          </cell>
        </row>
        <row r="2566">
          <cell r="A2566" t="str">
            <v>210724</v>
          </cell>
          <cell r="B2566" t="str">
            <v>Curva de 22o30` FD BB JE/JE2GS DN250 conforme NBR7675 (58041)</v>
          </cell>
          <cell r="C2566" t="str">
            <v>ud</v>
          </cell>
          <cell r="D2566">
            <v>0</v>
          </cell>
          <cell r="E2566">
            <v>421.43</v>
          </cell>
          <cell r="F2566">
            <v>421.43</v>
          </cell>
        </row>
        <row r="2567">
          <cell r="A2567" t="str">
            <v>210725</v>
          </cell>
          <cell r="B2567" t="str">
            <v>Curva de 22o30` FD BB JE/JE2GS DN300 conforme NBR7675 (69558)</v>
          </cell>
          <cell r="C2567" t="str">
            <v>ud</v>
          </cell>
          <cell r="D2567">
            <v>0</v>
          </cell>
          <cell r="E2567">
            <v>581.21</v>
          </cell>
          <cell r="F2567">
            <v>581.21</v>
          </cell>
        </row>
        <row r="2568">
          <cell r="A2568" t="str">
            <v>210726</v>
          </cell>
          <cell r="B2568" t="str">
            <v>Curva de 22o30` FD BB JE/JE2GS DN350 conforme NBR7675 (144746)</v>
          </cell>
          <cell r="C2568" t="str">
            <v>ud</v>
          </cell>
          <cell r="D2568">
            <v>0</v>
          </cell>
          <cell r="E2568">
            <v>733.44</v>
          </cell>
          <cell r="F2568">
            <v>733.44</v>
          </cell>
        </row>
        <row r="2569">
          <cell r="A2569" t="str">
            <v>210727</v>
          </cell>
          <cell r="B2569" t="str">
            <v>Curva de 22o30` FD BB JE/JE2GS DN400 conforme NBR7675 (90069)</v>
          </cell>
          <cell r="C2569" t="str">
            <v>ud</v>
          </cell>
          <cell r="D2569">
            <v>0</v>
          </cell>
          <cell r="E2569">
            <v>1030.94</v>
          </cell>
          <cell r="F2569">
            <v>1030.94</v>
          </cell>
        </row>
        <row r="2570">
          <cell r="A2570" t="str">
            <v>210728</v>
          </cell>
          <cell r="B2570" t="str">
            <v>Curva de 22o30` FD BB JE/JE2GS DN450 conforme NBR7675</v>
          </cell>
          <cell r="C2570" t="str">
            <v>ud</v>
          </cell>
          <cell r="D2570">
            <v>0</v>
          </cell>
          <cell r="E2570">
            <v>1228.72</v>
          </cell>
          <cell r="F2570">
            <v>1228.72</v>
          </cell>
        </row>
        <row r="2571">
          <cell r="A2571" t="str">
            <v>210729</v>
          </cell>
          <cell r="B2571" t="str">
            <v>Curva de 22o30` FD BB JE/JE2GS DN500 conforme NBR7675 (87262)</v>
          </cell>
          <cell r="C2571" t="str">
            <v>ud</v>
          </cell>
          <cell r="D2571">
            <v>0</v>
          </cell>
          <cell r="E2571">
            <v>1291.47</v>
          </cell>
          <cell r="F2571">
            <v>1291.47</v>
          </cell>
        </row>
        <row r="2572">
          <cell r="A2572" t="str">
            <v>210730</v>
          </cell>
          <cell r="B2572" t="str">
            <v>Curva de 22o30` FD BB JE/JE2GS DN600 conforme NBR7675 (87270)</v>
          </cell>
          <cell r="C2572" t="str">
            <v>ud</v>
          </cell>
          <cell r="D2572">
            <v>0</v>
          </cell>
          <cell r="E2572">
            <v>2646.58</v>
          </cell>
          <cell r="F2572">
            <v>2646.58</v>
          </cell>
        </row>
        <row r="2573">
          <cell r="A2573" t="str">
            <v>210731</v>
          </cell>
          <cell r="B2573" t="str">
            <v>Curva de 22o30` FD BB JE/JE2GS DN700 conforme NBR7675</v>
          </cell>
          <cell r="C2573" t="str">
            <v>ud</v>
          </cell>
          <cell r="D2573">
            <v>0</v>
          </cell>
        </row>
        <row r="2574">
          <cell r="A2574" t="str">
            <v>210732</v>
          </cell>
          <cell r="B2574" t="str">
            <v>Curva de 22o30` FD BB JE/JE2GS DN800 conforme NBR7675 (282662)</v>
          </cell>
          <cell r="C2574" t="str">
            <v>ud</v>
          </cell>
          <cell r="D2574">
            <v>0</v>
          </cell>
          <cell r="E2574">
            <v>4296.6000000000004</v>
          </cell>
          <cell r="F2574">
            <v>4296.6000000000004</v>
          </cell>
        </row>
        <row r="2575">
          <cell r="A2575" t="str">
            <v>210733</v>
          </cell>
          <cell r="B2575" t="str">
            <v>Curva de 22o30` FD BB JE/JE2GS DN900 conforme NBR7675 (4430)</v>
          </cell>
          <cell r="C2575" t="str">
            <v>ud</v>
          </cell>
          <cell r="D2575">
            <v>0</v>
          </cell>
        </row>
        <row r="2576">
          <cell r="A2576" t="str">
            <v>210734</v>
          </cell>
          <cell r="B2576" t="str">
            <v>Curva de 22o30` FD BB JE/JE2GS DN1000 conforme NBR7675</v>
          </cell>
          <cell r="C2576" t="str">
            <v>ud</v>
          </cell>
          <cell r="D2576">
            <v>0</v>
          </cell>
        </row>
        <row r="2577">
          <cell r="A2577" t="str">
            <v>210735</v>
          </cell>
          <cell r="B2577" t="str">
            <v>Curva de 22o30` FD BB JE/JE2GS DN1100 conforme NBR7675</v>
          </cell>
          <cell r="C2577" t="str">
            <v>ud</v>
          </cell>
          <cell r="D2577">
            <v>0</v>
          </cell>
        </row>
        <row r="2578">
          <cell r="A2578" t="str">
            <v>210736</v>
          </cell>
          <cell r="B2578" t="str">
            <v>Curva de 22o30` FD BB JE/JE2GS DN1200 conforme NBR7675</v>
          </cell>
          <cell r="C2578" t="str">
            <v>ud</v>
          </cell>
          <cell r="D2578">
            <v>0</v>
          </cell>
        </row>
        <row r="2579">
          <cell r="A2579" t="str">
            <v>210737</v>
          </cell>
          <cell r="B2579" t="str">
            <v>Curva de 45o FD BB JE/JE2GS DN50 conforme NBR7675 (3263)</v>
          </cell>
          <cell r="C2579" t="str">
            <v>ud</v>
          </cell>
          <cell r="D2579">
            <v>0</v>
          </cell>
          <cell r="E2579">
            <v>76.11</v>
          </cell>
          <cell r="F2579">
            <v>76.11</v>
          </cell>
        </row>
        <row r="2580">
          <cell r="A2580" t="str">
            <v>210738</v>
          </cell>
          <cell r="B2580" t="str">
            <v>Curva de 45o FD BB JE/JE2GS DN75/80 conforme NBR7675 (3360)</v>
          </cell>
          <cell r="C2580" t="str">
            <v>ud</v>
          </cell>
          <cell r="D2580">
            <v>0</v>
          </cell>
          <cell r="E2580">
            <v>96.9</v>
          </cell>
          <cell r="F2580">
            <v>96.9</v>
          </cell>
        </row>
        <row r="2581">
          <cell r="A2581" t="str">
            <v>210739</v>
          </cell>
          <cell r="B2581" t="str">
            <v>Curva de 45o FD BB JE/JE2GS DN100 conforme NBR7675 (3417)</v>
          </cell>
          <cell r="C2581" t="str">
            <v>ud</v>
          </cell>
          <cell r="D2581">
            <v>0</v>
          </cell>
          <cell r="E2581">
            <v>124.55</v>
          </cell>
          <cell r="F2581">
            <v>124.55</v>
          </cell>
        </row>
        <row r="2582">
          <cell r="A2582" t="str">
            <v>210740</v>
          </cell>
          <cell r="B2582" t="str">
            <v>Curva de 45o FD BB JE/JE2GS DN150 conforme NBR7675 (3506)</v>
          </cell>
          <cell r="C2582" t="str">
            <v>ud</v>
          </cell>
          <cell r="D2582">
            <v>0</v>
          </cell>
          <cell r="E2582">
            <v>193.75</v>
          </cell>
          <cell r="F2582">
            <v>193.75</v>
          </cell>
        </row>
        <row r="2583">
          <cell r="A2583" t="str">
            <v>210741</v>
          </cell>
          <cell r="B2583" t="str">
            <v>Curva de 45o FD BB JE/JE2GS DN200 conforme NBR7675 (4502)</v>
          </cell>
          <cell r="C2583" t="str">
            <v>ud</v>
          </cell>
          <cell r="D2583">
            <v>0</v>
          </cell>
          <cell r="E2583">
            <v>353.45</v>
          </cell>
          <cell r="F2583">
            <v>353.45</v>
          </cell>
        </row>
        <row r="2584">
          <cell r="A2584" t="str">
            <v>210742</v>
          </cell>
          <cell r="B2584" t="str">
            <v>Curva de 45o FD BB JE/JE2GS DN250 conforme NBR7675 (4561)</v>
          </cell>
          <cell r="C2584" t="str">
            <v>ud</v>
          </cell>
          <cell r="D2584">
            <v>0</v>
          </cell>
          <cell r="E2584">
            <v>539.70000000000005</v>
          </cell>
          <cell r="F2584">
            <v>539.70000000000005</v>
          </cell>
        </row>
        <row r="2585">
          <cell r="A2585" t="str">
            <v>210743</v>
          </cell>
          <cell r="B2585" t="str">
            <v>Curva de 45o FD BB JE/JE2GS DN300 conforme NBR7675 (84450)</v>
          </cell>
          <cell r="C2585" t="str">
            <v>ud</v>
          </cell>
          <cell r="D2585">
            <v>0</v>
          </cell>
          <cell r="E2585">
            <v>667.71</v>
          </cell>
          <cell r="F2585">
            <v>667.71</v>
          </cell>
        </row>
        <row r="2586">
          <cell r="A2586" t="str">
            <v>210744</v>
          </cell>
          <cell r="B2586" t="str">
            <v>Curva de 45o FD BB JE/JE2GS DN350 conforme NBR7675 (122122)</v>
          </cell>
          <cell r="C2586" t="str">
            <v>ud</v>
          </cell>
          <cell r="D2586">
            <v>0</v>
          </cell>
          <cell r="E2586">
            <v>975.6</v>
          </cell>
          <cell r="F2586">
            <v>975.6</v>
          </cell>
        </row>
        <row r="2587">
          <cell r="A2587" t="str">
            <v>210745</v>
          </cell>
          <cell r="B2587" t="str">
            <v>Curva de 45o FD BB JE/JE2GS DN400 conforme NBR7675 (83364)</v>
          </cell>
          <cell r="C2587" t="str">
            <v>ud</v>
          </cell>
          <cell r="D2587">
            <v>0</v>
          </cell>
          <cell r="E2587">
            <v>1238.53</v>
          </cell>
          <cell r="F2587">
            <v>1238.53</v>
          </cell>
        </row>
        <row r="2588">
          <cell r="A2588" t="str">
            <v>210746</v>
          </cell>
          <cell r="B2588" t="str">
            <v>Curva de 45o FD BB JE/JE2GS DN450 conforme NBR7675</v>
          </cell>
          <cell r="C2588" t="str">
            <v>ud</v>
          </cell>
          <cell r="D2588">
            <v>0</v>
          </cell>
        </row>
        <row r="2589">
          <cell r="A2589" t="str">
            <v>210747</v>
          </cell>
          <cell r="B2589" t="str">
            <v>Curva de 45o FD BB JE/JE2GS DN500 conforme NBR7675 (87246)</v>
          </cell>
          <cell r="C2589" t="str">
            <v>ud</v>
          </cell>
          <cell r="D2589">
            <v>0</v>
          </cell>
          <cell r="E2589">
            <v>2037.71</v>
          </cell>
          <cell r="F2589">
            <v>2037.71</v>
          </cell>
        </row>
        <row r="2590">
          <cell r="A2590" t="str">
            <v>210748</v>
          </cell>
          <cell r="B2590" t="str">
            <v>Curva de 45o FD BB JE/JE2GS DN600 conforme NBR7675 (87254)</v>
          </cell>
          <cell r="C2590" t="str">
            <v>ud</v>
          </cell>
          <cell r="D2590">
            <v>0</v>
          </cell>
          <cell r="E2590">
            <v>2719.25</v>
          </cell>
          <cell r="F2590">
            <v>2719.25</v>
          </cell>
        </row>
        <row r="2591">
          <cell r="A2591" t="str">
            <v>210749</v>
          </cell>
          <cell r="B2591" t="str">
            <v>Curva de 45o FD BB JE/JE2GS DN700 conforme NBR7675 (194824)</v>
          </cell>
          <cell r="C2591" t="str">
            <v>ud</v>
          </cell>
          <cell r="D2591">
            <v>0</v>
          </cell>
          <cell r="E2591">
            <v>5003.53</v>
          </cell>
          <cell r="F2591">
            <v>5003.53</v>
          </cell>
        </row>
        <row r="2592">
          <cell r="A2592" t="str">
            <v>210750</v>
          </cell>
          <cell r="B2592" t="str">
            <v>Curva de 45o FD BB JE/JE2GS DN800 conforme NBR7675 (237388)</v>
          </cell>
          <cell r="C2592" t="str">
            <v>ud</v>
          </cell>
          <cell r="D2592">
            <v>0</v>
          </cell>
          <cell r="E2592">
            <v>7205.09</v>
          </cell>
          <cell r="F2592">
            <v>7205.09</v>
          </cell>
        </row>
        <row r="2593">
          <cell r="A2593" t="str">
            <v>210751</v>
          </cell>
          <cell r="B2593" t="str">
            <v>Curva de 45o FD BB JE/JE2GS DN900 conforme NBR7675 (4804)</v>
          </cell>
          <cell r="C2593" t="str">
            <v>ud</v>
          </cell>
          <cell r="D2593">
            <v>0</v>
          </cell>
        </row>
        <row r="2594">
          <cell r="A2594" t="str">
            <v>210752</v>
          </cell>
          <cell r="B2594" t="str">
            <v>Curva de 45o FD BB JE/JE2GS DN1000 conforme NBR7675 (288172)</v>
          </cell>
          <cell r="C2594" t="str">
            <v>ud</v>
          </cell>
          <cell r="D2594">
            <v>0</v>
          </cell>
        </row>
        <row r="2595">
          <cell r="A2595" t="str">
            <v>210753</v>
          </cell>
          <cell r="B2595" t="str">
            <v>Curva de 45o FD BB JE/JE2GS DN1100 conforme NBR7675</v>
          </cell>
          <cell r="C2595" t="str">
            <v>ud</v>
          </cell>
          <cell r="D2595">
            <v>0</v>
          </cell>
        </row>
        <row r="2596">
          <cell r="A2596" t="str">
            <v>210754</v>
          </cell>
          <cell r="B2596" t="str">
            <v>Curva de 45o FD BB JE/JE2GS DN1200 conforme NBR7675</v>
          </cell>
          <cell r="C2596" t="str">
            <v>ud</v>
          </cell>
          <cell r="D2596">
            <v>0</v>
          </cell>
        </row>
        <row r="2597">
          <cell r="A2597" t="str">
            <v>210755</v>
          </cell>
          <cell r="B2597" t="str">
            <v>Curva de 90o FD BB JE/JE2GS DN50 conforme NBR7675 (3565)</v>
          </cell>
          <cell r="C2597" t="str">
            <v>ud</v>
          </cell>
          <cell r="D2597">
            <v>0</v>
          </cell>
          <cell r="E2597">
            <v>79.58</v>
          </cell>
          <cell r="F2597">
            <v>79.58</v>
          </cell>
        </row>
        <row r="2598">
          <cell r="A2598" t="str">
            <v>210756</v>
          </cell>
          <cell r="B2598" t="str">
            <v>Curva de 90o FD BB JE/JE2GS DN75/80 conforme NBR7675 (3697)</v>
          </cell>
          <cell r="C2598" t="str">
            <v>ud</v>
          </cell>
          <cell r="D2598">
            <v>0</v>
          </cell>
          <cell r="E2598">
            <v>96.9</v>
          </cell>
          <cell r="F2598">
            <v>96.9</v>
          </cell>
        </row>
        <row r="2599">
          <cell r="A2599" t="str">
            <v>210757</v>
          </cell>
          <cell r="B2599" t="str">
            <v>Curva de 90o FD BB JE/JE2GS DN100 conforme NBR7675 (3760)</v>
          </cell>
          <cell r="C2599" t="str">
            <v>ud</v>
          </cell>
          <cell r="D2599">
            <v>0</v>
          </cell>
          <cell r="E2599">
            <v>131.47999999999999</v>
          </cell>
          <cell r="F2599">
            <v>131.47999999999999</v>
          </cell>
        </row>
        <row r="2600">
          <cell r="A2600" t="str">
            <v>210758</v>
          </cell>
          <cell r="B2600" t="str">
            <v>Curva de 90o FD BB JE/JE2GS DN150 conforme NBR7675 (3875)</v>
          </cell>
          <cell r="C2600" t="str">
            <v>ud</v>
          </cell>
          <cell r="D2600">
            <v>0</v>
          </cell>
          <cell r="E2600">
            <v>211.01</v>
          </cell>
          <cell r="F2600">
            <v>211.01</v>
          </cell>
        </row>
        <row r="2601">
          <cell r="A2601" t="str">
            <v>210759</v>
          </cell>
          <cell r="B2601" t="str">
            <v>Curva de 90o FD BB JE/JE2GS DN200 conforme NBR7675 (4898)</v>
          </cell>
          <cell r="C2601" t="str">
            <v>ud</v>
          </cell>
          <cell r="D2601">
            <v>0</v>
          </cell>
          <cell r="E2601">
            <v>373.66</v>
          </cell>
          <cell r="F2601">
            <v>373.66</v>
          </cell>
        </row>
        <row r="2602">
          <cell r="A2602" t="str">
            <v>210760</v>
          </cell>
          <cell r="B2602" t="str">
            <v>Curva de 90o FD BB JE/JE2GS DN250 conforme NBR7675 (58033)</v>
          </cell>
          <cell r="C2602" t="str">
            <v>ud</v>
          </cell>
          <cell r="D2602">
            <v>0</v>
          </cell>
          <cell r="E2602">
            <v>546.62</v>
          </cell>
          <cell r="F2602">
            <v>546.62</v>
          </cell>
        </row>
        <row r="2603">
          <cell r="A2603" t="str">
            <v>210761</v>
          </cell>
          <cell r="B2603" t="str">
            <v>Curva de 90o FD BB JE/JE2GS DN300 conforme NBR7675 (5010)</v>
          </cell>
          <cell r="C2603" t="str">
            <v>ud</v>
          </cell>
          <cell r="D2603">
            <v>0</v>
          </cell>
          <cell r="E2603">
            <v>809.54</v>
          </cell>
          <cell r="F2603">
            <v>809.54</v>
          </cell>
        </row>
        <row r="2604">
          <cell r="A2604" t="str">
            <v>210762</v>
          </cell>
          <cell r="B2604" t="str">
            <v>Curva de 90o FD BB JE/JE2GS DN350 conforme NBR7675 (5088)</v>
          </cell>
          <cell r="C2604" t="str">
            <v>ud</v>
          </cell>
          <cell r="D2604">
            <v>0</v>
          </cell>
          <cell r="E2604">
            <v>1321.55</v>
          </cell>
          <cell r="F2604">
            <v>1321.55</v>
          </cell>
        </row>
        <row r="2605">
          <cell r="A2605" t="str">
            <v>210763</v>
          </cell>
          <cell r="B2605" t="str">
            <v>Curva de 90o FD BB JE/JE2GS DN400 conforme NBR7675 (83356)</v>
          </cell>
          <cell r="C2605" t="str">
            <v>ud</v>
          </cell>
          <cell r="D2605">
            <v>0</v>
          </cell>
          <cell r="E2605">
            <v>1688.31</v>
          </cell>
          <cell r="F2605">
            <v>1688.31</v>
          </cell>
        </row>
        <row r="2606">
          <cell r="A2606" t="str">
            <v>210764</v>
          </cell>
          <cell r="B2606" t="str">
            <v>Curva de 90o FD BB JE/JE2GS DN450 conforme NBR7675</v>
          </cell>
          <cell r="C2606" t="str">
            <v>ud</v>
          </cell>
          <cell r="D2606">
            <v>0</v>
          </cell>
          <cell r="E2606">
            <v>2234.88</v>
          </cell>
          <cell r="F2606">
            <v>2234.88</v>
          </cell>
        </row>
        <row r="2607">
          <cell r="A2607" t="str">
            <v>210765</v>
          </cell>
          <cell r="B2607" t="str">
            <v>Curva de 90o FD BB JE/JE2GS DN500 conforme NBR7675 (83429)</v>
          </cell>
          <cell r="C2607" t="str">
            <v>ud</v>
          </cell>
          <cell r="D2607">
            <v>0</v>
          </cell>
          <cell r="E2607">
            <v>2885.31</v>
          </cell>
          <cell r="F2607">
            <v>2885.31</v>
          </cell>
        </row>
        <row r="2608">
          <cell r="A2608" t="str">
            <v>210766</v>
          </cell>
          <cell r="B2608" t="str">
            <v>Curva de 90o FD BB JE/JE2GS DN600 conforme NBR7675 (87238)</v>
          </cell>
          <cell r="C2608" t="str">
            <v>ud</v>
          </cell>
          <cell r="D2608">
            <v>0</v>
          </cell>
          <cell r="E2608">
            <v>4449.04</v>
          </cell>
          <cell r="F2608">
            <v>4449.04</v>
          </cell>
        </row>
        <row r="2609">
          <cell r="A2609" t="str">
            <v>210767</v>
          </cell>
          <cell r="B2609" t="str">
            <v>Curva de 90o FD BB JE/JE2GS DN700 conforme NBR7675</v>
          </cell>
          <cell r="C2609" t="str">
            <v>ud</v>
          </cell>
          <cell r="D2609">
            <v>0</v>
          </cell>
        </row>
        <row r="2610">
          <cell r="A2610" t="str">
            <v>210768</v>
          </cell>
          <cell r="B2610" t="str">
            <v>Curva de 90o FD BB JE/JE2GS DN800 conforme NBR7675</v>
          </cell>
          <cell r="C2610" t="str">
            <v>ud</v>
          </cell>
          <cell r="D2610">
            <v>0</v>
          </cell>
        </row>
        <row r="2611">
          <cell r="A2611" t="str">
            <v>210769</v>
          </cell>
          <cell r="B2611" t="str">
            <v>Curva de 90o FD BB JE/JE2GS DN900 conforme NBR7675</v>
          </cell>
          <cell r="C2611" t="str">
            <v>ud</v>
          </cell>
          <cell r="D2611">
            <v>0</v>
          </cell>
        </row>
        <row r="2612">
          <cell r="A2612" t="str">
            <v>210770</v>
          </cell>
          <cell r="B2612" t="str">
            <v>Curva de 90o FD BB JE/JE2GS DN1000 conforme NBR7675</v>
          </cell>
          <cell r="C2612" t="str">
            <v>ud</v>
          </cell>
          <cell r="D2612">
            <v>0</v>
          </cell>
        </row>
        <row r="2613">
          <cell r="A2613" t="str">
            <v>210771</v>
          </cell>
          <cell r="B2613" t="str">
            <v>Curva de 90o FD BB JE/JE2GS DN1100 conforme NBR7675</v>
          </cell>
          <cell r="C2613" t="str">
            <v>ud</v>
          </cell>
          <cell r="D2613">
            <v>0</v>
          </cell>
        </row>
        <row r="2614">
          <cell r="A2614" t="str">
            <v>210772</v>
          </cell>
          <cell r="B2614" t="str">
            <v>Curva de 90o FD BB JE/JE2GS DN1200 conforme NBR7675</v>
          </cell>
          <cell r="C2614" t="str">
            <v>ud</v>
          </cell>
          <cell r="D2614">
            <v>0</v>
          </cell>
        </row>
        <row r="2615">
          <cell r="A2615" t="str">
            <v>2108</v>
          </cell>
          <cell r="B2615" t="str">
            <v>CURVA FD 11º 15` COM FLANGES</v>
          </cell>
        </row>
        <row r="2616">
          <cell r="A2616" t="str">
            <v>210801</v>
          </cell>
          <cell r="B2616" t="str">
            <v>Curva de 11o15` FD FF PN-10 DN50 conforme NBR7675</v>
          </cell>
          <cell r="C2616" t="str">
            <v>ud</v>
          </cell>
          <cell r="D2616">
            <v>0</v>
          </cell>
        </row>
        <row r="2617">
          <cell r="A2617" t="str">
            <v>210802</v>
          </cell>
          <cell r="B2617" t="str">
            <v>Curva de 11o15` FD FF PN-10 DN75/80 conforme NBR7675</v>
          </cell>
          <cell r="C2617" t="str">
            <v>ud</v>
          </cell>
          <cell r="D2617">
            <v>0</v>
          </cell>
        </row>
        <row r="2618">
          <cell r="A2618" t="str">
            <v>210803</v>
          </cell>
          <cell r="B2618" t="str">
            <v>Curva de 11o15` FD FF PN-10 DN100 conforme NBR7675 (2917)</v>
          </cell>
          <cell r="C2618" t="str">
            <v>ud</v>
          </cell>
          <cell r="D2618">
            <v>0</v>
          </cell>
        </row>
        <row r="2619">
          <cell r="A2619" t="str">
            <v>210804</v>
          </cell>
          <cell r="B2619" t="str">
            <v>Curva de 11o15` FD FF PN-10 DN150 conforme NBR7675</v>
          </cell>
          <cell r="C2619" t="str">
            <v>ud</v>
          </cell>
          <cell r="D2619">
            <v>0</v>
          </cell>
        </row>
        <row r="2620">
          <cell r="A2620" t="str">
            <v>210805</v>
          </cell>
          <cell r="B2620" t="str">
            <v>Curva de 11o15` FD FF PN-10 DN200 conforme NBR7675</v>
          </cell>
          <cell r="C2620" t="str">
            <v>ud</v>
          </cell>
          <cell r="D2620">
            <v>0</v>
          </cell>
        </row>
        <row r="2621">
          <cell r="A2621" t="str">
            <v>210806</v>
          </cell>
          <cell r="B2621" t="str">
            <v>Curva de 11o15` FD FF PN-10 DN250 conforme NBR7675</v>
          </cell>
          <cell r="C2621" t="str">
            <v>ud</v>
          </cell>
          <cell r="D2621">
            <v>0</v>
          </cell>
        </row>
        <row r="2622">
          <cell r="A2622" t="str">
            <v>210807</v>
          </cell>
          <cell r="B2622" t="str">
            <v>Curva de 11o15` FD FF PN-10 DN300 conforme NBR7675</v>
          </cell>
          <cell r="C2622" t="str">
            <v>ud</v>
          </cell>
          <cell r="D2622">
            <v>0</v>
          </cell>
        </row>
        <row r="2623">
          <cell r="A2623" t="str">
            <v>210808</v>
          </cell>
          <cell r="B2623" t="str">
            <v>Curva de 11o15` FD FF PN-10 DN350 conforme NBR7675</v>
          </cell>
          <cell r="C2623" t="str">
            <v>ud</v>
          </cell>
          <cell r="D2623">
            <v>0</v>
          </cell>
        </row>
        <row r="2624">
          <cell r="A2624" t="str">
            <v>210809</v>
          </cell>
          <cell r="B2624" t="str">
            <v>Curva de 11o15` FD FF PN-10 DN400 conforme NBR7675</v>
          </cell>
          <cell r="C2624" t="str">
            <v>ud</v>
          </cell>
          <cell r="D2624">
            <v>0</v>
          </cell>
        </row>
        <row r="2625">
          <cell r="A2625" t="str">
            <v>210810</v>
          </cell>
          <cell r="B2625" t="str">
            <v>Curva de 11o15` FD FF PN-10 DN450 conforme NBR7675</v>
          </cell>
          <cell r="C2625" t="str">
            <v>ud</v>
          </cell>
          <cell r="D2625">
            <v>0</v>
          </cell>
        </row>
        <row r="2626">
          <cell r="A2626" t="str">
            <v>210811</v>
          </cell>
          <cell r="B2626" t="str">
            <v>Curva de 11o15` FD FF PN-10 DN500 conforme NBR7675</v>
          </cell>
          <cell r="C2626" t="str">
            <v>ud</v>
          </cell>
          <cell r="D2626">
            <v>0</v>
          </cell>
        </row>
        <row r="2627">
          <cell r="A2627" t="str">
            <v>210812</v>
          </cell>
          <cell r="B2627" t="str">
            <v>Curva de 11o15` FD FF PN-10 DN600 conforme NBR7675</v>
          </cell>
          <cell r="C2627" t="str">
            <v>ud</v>
          </cell>
          <cell r="D2627">
            <v>0</v>
          </cell>
        </row>
        <row r="2628">
          <cell r="A2628" t="str">
            <v>210813</v>
          </cell>
          <cell r="B2628" t="str">
            <v>Curva de 11o15` FD FF PN-10 DN700 conforme NBR7675</v>
          </cell>
          <cell r="C2628" t="str">
            <v>ud</v>
          </cell>
          <cell r="D2628">
            <v>0</v>
          </cell>
        </row>
        <row r="2629">
          <cell r="A2629" t="str">
            <v>210814</v>
          </cell>
          <cell r="B2629" t="str">
            <v>Curva de 11o15` FD FF PN-10 DN800 conforme NBR7675 (282709)</v>
          </cell>
          <cell r="C2629" t="str">
            <v>ud</v>
          </cell>
          <cell r="D2629">
            <v>0</v>
          </cell>
        </row>
        <row r="2630">
          <cell r="A2630" t="str">
            <v>210815</v>
          </cell>
          <cell r="B2630" t="str">
            <v>Curva de 11o15` FD FF PN-10 DN900 conforme NBR7675</v>
          </cell>
          <cell r="C2630" t="str">
            <v>ud</v>
          </cell>
          <cell r="D2630">
            <v>0</v>
          </cell>
        </row>
        <row r="2631">
          <cell r="A2631" t="str">
            <v>210816</v>
          </cell>
          <cell r="B2631" t="str">
            <v>Curva de 11o15` FD FF PN-10 DN1000 conforme NBR7675</v>
          </cell>
          <cell r="C2631" t="str">
            <v>ud</v>
          </cell>
          <cell r="D2631">
            <v>0</v>
          </cell>
        </row>
        <row r="2632">
          <cell r="A2632" t="str">
            <v>210817</v>
          </cell>
          <cell r="B2632" t="str">
            <v>Curva de 11o15` FD FF PN-10 DN1100 conforme NBR7675</v>
          </cell>
          <cell r="C2632" t="str">
            <v>ud</v>
          </cell>
          <cell r="D2632">
            <v>0</v>
          </cell>
        </row>
        <row r="2633">
          <cell r="A2633" t="str">
            <v>210818</v>
          </cell>
          <cell r="B2633" t="str">
            <v>Curva de 11o15` FD FF PN-10 DN1200 conforme NBR7675</v>
          </cell>
          <cell r="C2633" t="str">
            <v>ud</v>
          </cell>
          <cell r="D2633">
            <v>0</v>
          </cell>
        </row>
        <row r="2634">
          <cell r="A2634" t="str">
            <v>210819</v>
          </cell>
          <cell r="B2634" t="str">
            <v>Curva de 11o15` FD FF PN-16 DN50 conforme NBR7675</v>
          </cell>
          <cell r="C2634" t="str">
            <v>ud</v>
          </cell>
          <cell r="D2634">
            <v>0</v>
          </cell>
        </row>
        <row r="2635">
          <cell r="A2635" t="str">
            <v>210820</v>
          </cell>
          <cell r="B2635" t="str">
            <v>Curva de 11o15` FD FF PN-16 DN75/80 conforme NBR7675</v>
          </cell>
          <cell r="C2635" t="str">
            <v>ud</v>
          </cell>
          <cell r="D2635">
            <v>0</v>
          </cell>
        </row>
        <row r="2636">
          <cell r="A2636" t="str">
            <v>210821</v>
          </cell>
          <cell r="B2636" t="str">
            <v>Curva de 11o15` FD FF PN-16 DN100 conforme NBR7675 (282702)</v>
          </cell>
          <cell r="C2636" t="str">
            <v>ud</v>
          </cell>
          <cell r="D2636">
            <v>0</v>
          </cell>
        </row>
        <row r="2637">
          <cell r="A2637" t="str">
            <v>210822</v>
          </cell>
          <cell r="B2637" t="str">
            <v>Curva de 11o15` FD FF PN-16 DN150 conforme NBR7675 (284036)</v>
          </cell>
          <cell r="C2637" t="str">
            <v>ud</v>
          </cell>
          <cell r="D2637">
            <v>0</v>
          </cell>
        </row>
        <row r="2638">
          <cell r="A2638" t="str">
            <v>210823</v>
          </cell>
          <cell r="B2638" t="str">
            <v>Curva de 11o15` FD FF PN-16 DN200 conforme NBR7675</v>
          </cell>
          <cell r="C2638" t="str">
            <v>ud</v>
          </cell>
          <cell r="D2638">
            <v>0</v>
          </cell>
        </row>
        <row r="2639">
          <cell r="A2639" t="str">
            <v>210824</v>
          </cell>
          <cell r="B2639" t="str">
            <v>Curva de 11o15` FD FF PN-16 DN250 conforme NBR7675</v>
          </cell>
          <cell r="C2639" t="str">
            <v>ud</v>
          </cell>
          <cell r="D2639">
            <v>0</v>
          </cell>
        </row>
        <row r="2640">
          <cell r="A2640" t="str">
            <v>210825</v>
          </cell>
          <cell r="B2640" t="str">
            <v>Curva de 11o15` FD FF PN-16 DN300 conforme NBR7675</v>
          </cell>
          <cell r="C2640" t="str">
            <v>ud</v>
          </cell>
          <cell r="D2640">
            <v>0</v>
          </cell>
        </row>
        <row r="2641">
          <cell r="A2641" t="str">
            <v>210826</v>
          </cell>
          <cell r="B2641" t="str">
            <v>Curva de 11o15` FD FF PN-16 DN350 conforme NBR7675</v>
          </cell>
          <cell r="C2641" t="str">
            <v>ud</v>
          </cell>
          <cell r="D2641">
            <v>0</v>
          </cell>
        </row>
        <row r="2642">
          <cell r="A2642" t="str">
            <v>210827</v>
          </cell>
          <cell r="B2642" t="str">
            <v>Curva de 11o15` FD FF PN-16 DN400 conforme NBR7675</v>
          </cell>
          <cell r="C2642" t="str">
            <v>ud</v>
          </cell>
          <cell r="D2642">
            <v>0</v>
          </cell>
        </row>
        <row r="2643">
          <cell r="A2643" t="str">
            <v>210828</v>
          </cell>
          <cell r="B2643" t="str">
            <v>Curva de 11o15` FD FF PN-16 DN450 conforme NBR7675</v>
          </cell>
          <cell r="C2643" t="str">
            <v>ud</v>
          </cell>
          <cell r="D2643">
            <v>0</v>
          </cell>
        </row>
        <row r="2644">
          <cell r="A2644" t="str">
            <v>210829</v>
          </cell>
          <cell r="B2644" t="str">
            <v>Curva de 11o15` FD FF PN-16 DN500 conforme NBR7675</v>
          </cell>
          <cell r="C2644" t="str">
            <v>ud</v>
          </cell>
          <cell r="D2644">
            <v>0</v>
          </cell>
        </row>
        <row r="2645">
          <cell r="A2645" t="str">
            <v>210830</v>
          </cell>
          <cell r="B2645" t="str">
            <v>Curva de 11o15` FD FF PN-16 DN600 conforme NBR7675</v>
          </cell>
          <cell r="C2645" t="str">
            <v>ud</v>
          </cell>
          <cell r="D2645">
            <v>0</v>
          </cell>
        </row>
        <row r="2646">
          <cell r="A2646" t="str">
            <v>210831</v>
          </cell>
          <cell r="B2646" t="str">
            <v>Curva de 11o15` FD FF PN-16 DN700 conforme NBR7675</v>
          </cell>
          <cell r="C2646" t="str">
            <v>ud</v>
          </cell>
          <cell r="D2646">
            <v>0</v>
          </cell>
        </row>
        <row r="2647">
          <cell r="A2647" t="str">
            <v>210832</v>
          </cell>
          <cell r="B2647" t="str">
            <v>Curva de 11o15` FD FF PN-16 DN800 conforme NBR7675</v>
          </cell>
          <cell r="C2647" t="str">
            <v>ud</v>
          </cell>
          <cell r="D2647">
            <v>0</v>
          </cell>
        </row>
        <row r="2648">
          <cell r="A2648" t="str">
            <v>210833</v>
          </cell>
          <cell r="B2648" t="str">
            <v>Curva de 11o15` FD FF PN-16 DN900 conforme NBR7675</v>
          </cell>
          <cell r="C2648" t="str">
            <v>ud</v>
          </cell>
          <cell r="D2648">
            <v>0</v>
          </cell>
        </row>
        <row r="2649">
          <cell r="A2649" t="str">
            <v>210834</v>
          </cell>
          <cell r="B2649" t="str">
            <v>Curva de 11o15` FD FF PN-16 DN1000 conforme NBR7675</v>
          </cell>
          <cell r="C2649" t="str">
            <v>ud</v>
          </cell>
          <cell r="D2649">
            <v>0</v>
          </cell>
        </row>
        <row r="2650">
          <cell r="A2650" t="str">
            <v>210835</v>
          </cell>
          <cell r="B2650" t="str">
            <v>Curva de 11o15` FD FF PN-16 DN1100 conforme NBR7675</v>
          </cell>
          <cell r="C2650" t="str">
            <v>ud</v>
          </cell>
          <cell r="D2650">
            <v>0</v>
          </cell>
        </row>
        <row r="2651">
          <cell r="A2651" t="str">
            <v>210836</v>
          </cell>
          <cell r="B2651" t="str">
            <v>Curva de 11o15` FD FF PN-16 DN1200 conforme NBR7675</v>
          </cell>
          <cell r="C2651" t="str">
            <v>ud</v>
          </cell>
          <cell r="D2651">
            <v>0</v>
          </cell>
        </row>
        <row r="2652">
          <cell r="A2652" t="str">
            <v>210837</v>
          </cell>
          <cell r="B2652" t="str">
            <v>Curva de 11o15` FD FF PN-25 DN50 conforme NBR7675</v>
          </cell>
          <cell r="C2652" t="str">
            <v>ud</v>
          </cell>
          <cell r="D2652">
            <v>0</v>
          </cell>
        </row>
        <row r="2653">
          <cell r="A2653" t="str">
            <v>210838</v>
          </cell>
          <cell r="B2653" t="str">
            <v>Curva de 11o15` FD FF PN-25 DN75/80 conforme NBR7675</v>
          </cell>
          <cell r="C2653" t="str">
            <v>ud</v>
          </cell>
          <cell r="D2653">
            <v>0</v>
          </cell>
        </row>
        <row r="2654">
          <cell r="A2654" t="str">
            <v>210839</v>
          </cell>
          <cell r="B2654" t="str">
            <v>Curva de 11o15` FD FF PN-25 DN100 conforme NBR7675</v>
          </cell>
          <cell r="C2654" t="str">
            <v>ud</v>
          </cell>
          <cell r="D2654">
            <v>0</v>
          </cell>
        </row>
        <row r="2655">
          <cell r="A2655" t="str">
            <v>210840</v>
          </cell>
          <cell r="B2655" t="str">
            <v>Curva de 11o15` FD FF PN-25 DN150 conforme NBR7675</v>
          </cell>
          <cell r="C2655" t="str">
            <v>ud</v>
          </cell>
          <cell r="D2655">
            <v>0</v>
          </cell>
        </row>
        <row r="2656">
          <cell r="A2656" t="str">
            <v>210841</v>
          </cell>
          <cell r="B2656" t="str">
            <v>Curva de 11o15` FD FF PN-25 DN200 conforme NBR7675</v>
          </cell>
          <cell r="C2656" t="str">
            <v>ud</v>
          </cell>
          <cell r="D2656">
            <v>0</v>
          </cell>
        </row>
        <row r="2657">
          <cell r="A2657" t="str">
            <v>210842</v>
          </cell>
          <cell r="B2657" t="str">
            <v>Curva de 11o15` FD FF PN-25 DN250 conforme NBR7675</v>
          </cell>
          <cell r="C2657" t="str">
            <v>ud</v>
          </cell>
          <cell r="D2657">
            <v>0</v>
          </cell>
        </row>
        <row r="2658">
          <cell r="A2658" t="str">
            <v>210843</v>
          </cell>
          <cell r="B2658" t="str">
            <v>Curva de 11o15` FD FF PN-25 DN300 conforme NBR7675</v>
          </cell>
          <cell r="C2658" t="str">
            <v>ud</v>
          </cell>
          <cell r="D2658">
            <v>0</v>
          </cell>
        </row>
        <row r="2659">
          <cell r="A2659" t="str">
            <v>210844</v>
          </cell>
          <cell r="B2659" t="str">
            <v>Curva de 11o15` FD FF PN-25 DN350 conforme NBR7675</v>
          </cell>
          <cell r="C2659" t="str">
            <v>ud</v>
          </cell>
          <cell r="D2659">
            <v>0</v>
          </cell>
        </row>
        <row r="2660">
          <cell r="A2660" t="str">
            <v>210845</v>
          </cell>
          <cell r="B2660" t="str">
            <v>Curva de 11o15` FD FF PN-25 DN400 conforme NBR7675</v>
          </cell>
          <cell r="C2660" t="str">
            <v>ud</v>
          </cell>
          <cell r="D2660">
            <v>0</v>
          </cell>
        </row>
        <row r="2661">
          <cell r="A2661" t="str">
            <v>210846</v>
          </cell>
          <cell r="B2661" t="str">
            <v>Curva de 11o15` FD FF PN-25 DN450 conforme NBR7675</v>
          </cell>
          <cell r="C2661" t="str">
            <v>ud</v>
          </cell>
          <cell r="D2661">
            <v>0</v>
          </cell>
        </row>
        <row r="2662">
          <cell r="A2662" t="str">
            <v>210847</v>
          </cell>
          <cell r="B2662" t="str">
            <v>Curva de 11o15` FD FF PN-25 DN500 conforme NBR7675</v>
          </cell>
          <cell r="C2662" t="str">
            <v>ud</v>
          </cell>
          <cell r="D2662">
            <v>0</v>
          </cell>
        </row>
        <row r="2663">
          <cell r="A2663" t="str">
            <v>210848</v>
          </cell>
          <cell r="B2663" t="str">
            <v>Curva de 11o15` FD FF PN-25 DN600 conforme NBR7675</v>
          </cell>
          <cell r="C2663" t="str">
            <v>ud</v>
          </cell>
          <cell r="D2663">
            <v>0</v>
          </cell>
        </row>
        <row r="2664">
          <cell r="A2664" t="str">
            <v>210849</v>
          </cell>
          <cell r="B2664" t="str">
            <v>Curva de 11o15` FD FF PN-25 DN700 conforme NBR7675</v>
          </cell>
          <cell r="C2664" t="str">
            <v>ud</v>
          </cell>
          <cell r="D2664">
            <v>0</v>
          </cell>
        </row>
        <row r="2665">
          <cell r="A2665" t="str">
            <v>210850</v>
          </cell>
          <cell r="B2665" t="str">
            <v>Curva de 11o15` FD FF PN-25 DN800 conforme NBR7675</v>
          </cell>
          <cell r="C2665" t="str">
            <v>ud</v>
          </cell>
          <cell r="D2665">
            <v>0</v>
          </cell>
        </row>
        <row r="2666">
          <cell r="A2666" t="str">
            <v>210851</v>
          </cell>
          <cell r="B2666" t="str">
            <v>Curva de 11o15` FD FF PN-25 DN900 conforme NBR7675</v>
          </cell>
          <cell r="C2666" t="str">
            <v>ud</v>
          </cell>
          <cell r="D2666">
            <v>0</v>
          </cell>
        </row>
        <row r="2667">
          <cell r="A2667" t="str">
            <v>210852</v>
          </cell>
          <cell r="B2667" t="str">
            <v>Curva de 11o15` FD FF PN-25 DN1000 conforme NBR7675</v>
          </cell>
          <cell r="C2667" t="str">
            <v>ud</v>
          </cell>
          <cell r="D2667">
            <v>0</v>
          </cell>
        </row>
        <row r="2668">
          <cell r="A2668" t="str">
            <v>210853</v>
          </cell>
          <cell r="B2668" t="str">
            <v>Curva de 11o15` FD FF PN-25 DN1100 conforme NBR7675</v>
          </cell>
          <cell r="C2668" t="str">
            <v>ud</v>
          </cell>
          <cell r="D2668">
            <v>0</v>
          </cell>
        </row>
        <row r="2669">
          <cell r="A2669" t="str">
            <v>210854</v>
          </cell>
          <cell r="B2669" t="str">
            <v>Curva de 11o15` FD FF PN-25 DN1200 conforme NBR7675</v>
          </cell>
          <cell r="C2669" t="str">
            <v>ud</v>
          </cell>
          <cell r="D2669">
            <v>0</v>
          </cell>
        </row>
        <row r="2670">
          <cell r="A2670" t="str">
            <v>2109</v>
          </cell>
          <cell r="B2670" t="str">
            <v>CURVA FD 22º 30` COM FLANGES</v>
          </cell>
        </row>
        <row r="2671">
          <cell r="A2671" t="str">
            <v>210906</v>
          </cell>
          <cell r="B2671" t="str">
            <v>Curva de 22o30` FD FF PN-10 DN250 conforme NBR7675</v>
          </cell>
          <cell r="C2671" t="str">
            <v>ud</v>
          </cell>
          <cell r="D2671">
            <v>0</v>
          </cell>
        </row>
        <row r="2672">
          <cell r="A2672" t="str">
            <v>210907</v>
          </cell>
          <cell r="B2672" t="str">
            <v>Curva de 22o30` FD FF PN-10 DN300 conforme NBR7675 (4294)</v>
          </cell>
          <cell r="C2672" t="str">
            <v>ud</v>
          </cell>
          <cell r="D2672">
            <v>0</v>
          </cell>
          <cell r="E2672">
            <v>1029.29</v>
          </cell>
          <cell r="F2672">
            <v>1029.29</v>
          </cell>
        </row>
        <row r="2673">
          <cell r="A2673" t="str">
            <v>210908</v>
          </cell>
          <cell r="B2673" t="str">
            <v>Curva de 22o30` FD FF PN-10 DN350 conforme NBR7675</v>
          </cell>
          <cell r="C2673" t="str">
            <v>ud</v>
          </cell>
          <cell r="D2673">
            <v>0</v>
          </cell>
          <cell r="E2673">
            <v>1381.24</v>
          </cell>
          <cell r="F2673">
            <v>1381.24</v>
          </cell>
        </row>
        <row r="2674">
          <cell r="A2674" t="str">
            <v>210909</v>
          </cell>
          <cell r="B2674" t="str">
            <v>Curva de 22o30` FD FF PN-10 DN400 conforme NBR7675</v>
          </cell>
          <cell r="C2674" t="str">
            <v>ud</v>
          </cell>
          <cell r="D2674">
            <v>0</v>
          </cell>
          <cell r="E2674">
            <v>0</v>
          </cell>
          <cell r="F2674">
            <v>0</v>
          </cell>
        </row>
        <row r="2675">
          <cell r="A2675" t="str">
            <v>210910</v>
          </cell>
          <cell r="B2675" t="str">
            <v>Curva de 22o30` FD FF PN-10 DN450 conforme NBR7675</v>
          </cell>
          <cell r="C2675" t="str">
            <v>ud</v>
          </cell>
          <cell r="D2675">
            <v>0</v>
          </cell>
          <cell r="E2675">
            <v>0</v>
          </cell>
          <cell r="F2675">
            <v>0</v>
          </cell>
        </row>
        <row r="2676">
          <cell r="A2676" t="str">
            <v>210911</v>
          </cell>
          <cell r="B2676" t="str">
            <v>Curva de 22o30` FD FF PN-10 DN500 conforme NBR7675</v>
          </cell>
          <cell r="C2676" t="str">
            <v>ud</v>
          </cell>
          <cell r="D2676">
            <v>0</v>
          </cell>
        </row>
        <row r="2677">
          <cell r="A2677" t="str">
            <v>210912</v>
          </cell>
          <cell r="B2677" t="str">
            <v>Curva de 22o30` FD FF PN-10 DN600 conforme NBR7675 (285962)</v>
          </cell>
          <cell r="C2677" t="str">
            <v>ud</v>
          </cell>
          <cell r="D2677">
            <v>0</v>
          </cell>
          <cell r="E2677">
            <v>0</v>
          </cell>
          <cell r="F2677">
            <v>0</v>
          </cell>
        </row>
        <row r="2678">
          <cell r="A2678" t="str">
            <v>210913</v>
          </cell>
          <cell r="B2678" t="str">
            <v>Curva de 22o30` FD FF PN-10 DN700 conforme NBR7675</v>
          </cell>
          <cell r="C2678" t="str">
            <v>ud</v>
          </cell>
          <cell r="D2678">
            <v>0</v>
          </cell>
          <cell r="E2678">
            <v>0</v>
          </cell>
          <cell r="F2678">
            <v>0</v>
          </cell>
        </row>
        <row r="2679">
          <cell r="A2679" t="str">
            <v>210914</v>
          </cell>
          <cell r="B2679" t="str">
            <v>Curva de 22o30` FD FF PN-10 DN800 conforme NBR7675 (282708)</v>
          </cell>
          <cell r="C2679" t="str">
            <v>ud</v>
          </cell>
          <cell r="D2679">
            <v>0</v>
          </cell>
        </row>
        <row r="2680">
          <cell r="A2680" t="str">
            <v>210915</v>
          </cell>
          <cell r="B2680" t="str">
            <v>Curva de 22o30` FD FF PN-10 DN900 conforme NBR7675</v>
          </cell>
          <cell r="C2680" t="str">
            <v>ud</v>
          </cell>
          <cell r="D2680">
            <v>0</v>
          </cell>
        </row>
        <row r="2681">
          <cell r="A2681" t="str">
            <v>210916</v>
          </cell>
          <cell r="B2681" t="str">
            <v>Curva de 22o30` FD FF PN-10 DN1000 conforme NBR7675</v>
          </cell>
          <cell r="C2681" t="str">
            <v>ud</v>
          </cell>
          <cell r="D2681">
            <v>0</v>
          </cell>
        </row>
        <row r="2682">
          <cell r="A2682" t="str">
            <v>210917</v>
          </cell>
          <cell r="B2682" t="str">
            <v>Curva de 22o30` FD FF PN-10 DN1100 conforme NBR7675</v>
          </cell>
          <cell r="C2682" t="str">
            <v>ud</v>
          </cell>
          <cell r="D2682">
            <v>0</v>
          </cell>
        </row>
        <row r="2683">
          <cell r="A2683" t="str">
            <v>210918</v>
          </cell>
          <cell r="B2683" t="str">
            <v>Curva de 22o30` FD FF PN-10 DN1200 conforme NBR7675</v>
          </cell>
          <cell r="C2683" t="str">
            <v>ud</v>
          </cell>
          <cell r="D2683">
            <v>0</v>
          </cell>
        </row>
        <row r="2684">
          <cell r="A2684" t="str">
            <v>210919</v>
          </cell>
          <cell r="B2684" t="str">
            <v>Curva de 22o30` FD FF PN-16 DN50 conforme NBR7675</v>
          </cell>
          <cell r="C2684" t="str">
            <v>ud</v>
          </cell>
          <cell r="D2684">
            <v>0</v>
          </cell>
        </row>
        <row r="2685">
          <cell r="A2685" t="str">
            <v>210920</v>
          </cell>
          <cell r="B2685" t="str">
            <v>Curva de 22o30` FD FF PN-16 DN75/80 conforme NBR7675 (3085)</v>
          </cell>
          <cell r="C2685" t="str">
            <v>ud</v>
          </cell>
          <cell r="D2685">
            <v>0</v>
          </cell>
        </row>
        <row r="2686">
          <cell r="A2686" t="str">
            <v>210921</v>
          </cell>
          <cell r="B2686" t="str">
            <v>Curva de 22o30` FD FF PN-16 DN100 conforme NBR7675 (282707)</v>
          </cell>
          <cell r="C2686" t="str">
            <v>ud</v>
          </cell>
          <cell r="D2686">
            <v>0</v>
          </cell>
        </row>
        <row r="2687">
          <cell r="A2687" t="str">
            <v>210922</v>
          </cell>
          <cell r="B2687" t="str">
            <v>Curva de 22o30` FD FF PN-16 DN150 conforme NBR7675 (3220)</v>
          </cell>
          <cell r="C2687" t="str">
            <v>ud</v>
          </cell>
          <cell r="D2687">
            <v>0</v>
          </cell>
        </row>
        <row r="2688">
          <cell r="A2688" t="str">
            <v>210923</v>
          </cell>
          <cell r="B2688" t="str">
            <v>Curva de 22o30` FD FF PN-16 DN200 conforme NBR7675</v>
          </cell>
          <cell r="C2688" t="str">
            <v>ud</v>
          </cell>
          <cell r="D2688">
            <v>0</v>
          </cell>
          <cell r="E2688">
            <v>456.69</v>
          </cell>
          <cell r="F2688">
            <v>456.69</v>
          </cell>
        </row>
        <row r="2689">
          <cell r="A2689" t="str">
            <v>210924</v>
          </cell>
          <cell r="B2689" t="str">
            <v>Curva de 22o30` FD FF PN-16 DN250 conforme NBR7675</v>
          </cell>
          <cell r="C2689" t="str">
            <v>ud</v>
          </cell>
          <cell r="D2689">
            <v>0</v>
          </cell>
        </row>
        <row r="2690">
          <cell r="A2690" t="str">
            <v>210925</v>
          </cell>
          <cell r="B2690" t="str">
            <v>Curva de 22o30` FD FF PN-16 DN300 conforme NBR7675</v>
          </cell>
          <cell r="C2690" t="str">
            <v>ud</v>
          </cell>
          <cell r="D2690">
            <v>0</v>
          </cell>
          <cell r="E2690">
            <v>1029.29</v>
          </cell>
          <cell r="F2690">
            <v>1029.29</v>
          </cell>
        </row>
        <row r="2691">
          <cell r="A2691" t="str">
            <v>210926</v>
          </cell>
          <cell r="B2691" t="str">
            <v>Curva de 22o30` FD FF PN-16 DN350 conforme NBR7675</v>
          </cell>
          <cell r="C2691" t="str">
            <v>ud</v>
          </cell>
          <cell r="D2691">
            <v>0</v>
          </cell>
          <cell r="E2691">
            <v>1381.24</v>
          </cell>
          <cell r="F2691">
            <v>1381.24</v>
          </cell>
        </row>
        <row r="2692">
          <cell r="A2692" t="str">
            <v>210927</v>
          </cell>
          <cell r="B2692" t="str">
            <v>Curva de 22o30` FD FF PN-16 DN400 conforme NBR7675</v>
          </cell>
          <cell r="C2692" t="str">
            <v>ud</v>
          </cell>
          <cell r="D2692">
            <v>0</v>
          </cell>
        </row>
        <row r="2693">
          <cell r="A2693" t="str">
            <v>210928</v>
          </cell>
          <cell r="B2693" t="str">
            <v>Curva de 22o30` FD FF PN-16 DN450 conforme NBR7675</v>
          </cell>
          <cell r="C2693" t="str">
            <v>ud</v>
          </cell>
          <cell r="D2693">
            <v>0</v>
          </cell>
          <cell r="E2693">
            <v>0</v>
          </cell>
          <cell r="F2693">
            <v>0</v>
          </cell>
        </row>
        <row r="2694">
          <cell r="A2694" t="str">
            <v>210929</v>
          </cell>
          <cell r="B2694" t="str">
            <v>Curva de 22o30` FD FF PN-16 DN500 conforme NBR7675</v>
          </cell>
          <cell r="C2694" t="str">
            <v>ud</v>
          </cell>
          <cell r="D2694">
            <v>0</v>
          </cell>
        </row>
        <row r="2695">
          <cell r="A2695" t="str">
            <v>210930</v>
          </cell>
          <cell r="B2695" t="str">
            <v>Curva de 22o30` FD FF PN-16 DN600 conforme NBR7675</v>
          </cell>
          <cell r="C2695" t="str">
            <v>ud</v>
          </cell>
          <cell r="D2695">
            <v>0</v>
          </cell>
          <cell r="E2695">
            <v>0</v>
          </cell>
          <cell r="F2695">
            <v>0</v>
          </cell>
        </row>
        <row r="2696">
          <cell r="A2696" t="str">
            <v>210931</v>
          </cell>
          <cell r="B2696" t="str">
            <v>Curva de 22o30` FD FF PN-16 DN700 conforme NBR7675</v>
          </cell>
          <cell r="C2696" t="str">
            <v>ud</v>
          </cell>
          <cell r="D2696">
            <v>0</v>
          </cell>
          <cell r="E2696">
            <v>0</v>
          </cell>
          <cell r="F2696">
            <v>0</v>
          </cell>
        </row>
        <row r="2697">
          <cell r="A2697" t="str">
            <v>210932</v>
          </cell>
          <cell r="B2697" t="str">
            <v>Curva de 22o30` FD FF PN-16 DN800 conforme NBR7675 (282710)</v>
          </cell>
          <cell r="C2697" t="str">
            <v>ud</v>
          </cell>
          <cell r="D2697">
            <v>0</v>
          </cell>
        </row>
        <row r="2698">
          <cell r="A2698" t="str">
            <v>210933</v>
          </cell>
          <cell r="B2698" t="str">
            <v>Curva de 22o30` FD FF PN-16 DN900 conforme NBR7675</v>
          </cell>
          <cell r="C2698" t="str">
            <v>ud</v>
          </cell>
          <cell r="D2698">
            <v>0</v>
          </cell>
        </row>
        <row r="2699">
          <cell r="A2699" t="str">
            <v>210934</v>
          </cell>
          <cell r="B2699" t="str">
            <v>Curva de 22o30` FD FF PN-16 DN1000 conforme NBR7675</v>
          </cell>
          <cell r="C2699" t="str">
            <v>ud</v>
          </cell>
          <cell r="D2699">
            <v>0</v>
          </cell>
        </row>
        <row r="2700">
          <cell r="A2700" t="str">
            <v>210935</v>
          </cell>
          <cell r="B2700" t="str">
            <v>Curva de 22o30` FD FF PN-16 DN1100 conforme NBR7675</v>
          </cell>
          <cell r="C2700" t="str">
            <v>ud</v>
          </cell>
          <cell r="D2700">
            <v>0</v>
          </cell>
        </row>
        <row r="2701">
          <cell r="A2701" t="str">
            <v>210936</v>
          </cell>
          <cell r="B2701" t="str">
            <v>Curva de 22o30` FD FF PN-16 DN1200 conforme NBR7675</v>
          </cell>
          <cell r="C2701" t="str">
            <v>ud</v>
          </cell>
          <cell r="D2701">
            <v>0</v>
          </cell>
        </row>
        <row r="2702">
          <cell r="A2702" t="str">
            <v>210937</v>
          </cell>
          <cell r="B2702" t="str">
            <v>Curva de 22o30` FD FF PN-25 DN50 conforme NBR7675</v>
          </cell>
          <cell r="C2702" t="str">
            <v>ud</v>
          </cell>
          <cell r="D2702">
            <v>0</v>
          </cell>
        </row>
        <row r="2703">
          <cell r="A2703" t="str">
            <v>210938</v>
          </cell>
          <cell r="B2703" t="str">
            <v>Curva de 22o30` FD FF PN-25 DN75/80 conforme NBR7675</v>
          </cell>
          <cell r="C2703" t="str">
            <v>ud</v>
          </cell>
          <cell r="D2703">
            <v>0</v>
          </cell>
        </row>
        <row r="2704">
          <cell r="A2704" t="str">
            <v>210939</v>
          </cell>
          <cell r="B2704" t="str">
            <v>Curva de 22o30` FD FF PN-25 DN100 conforme NBR7675</v>
          </cell>
          <cell r="C2704" t="str">
            <v>ud</v>
          </cell>
          <cell r="D2704">
            <v>0</v>
          </cell>
        </row>
        <row r="2705">
          <cell r="A2705" t="str">
            <v>210940</v>
          </cell>
          <cell r="B2705" t="str">
            <v>Curva de 22o30` FD FF PN-25 DN150 conforme NBR7675</v>
          </cell>
          <cell r="C2705" t="str">
            <v>ud</v>
          </cell>
          <cell r="D2705">
            <v>0</v>
          </cell>
        </row>
        <row r="2706">
          <cell r="A2706" t="str">
            <v>210941</v>
          </cell>
          <cell r="B2706" t="str">
            <v>Curva de 22o30` FD FF PN-25 DN200 conforme NBR7675</v>
          </cell>
          <cell r="C2706" t="str">
            <v>ud</v>
          </cell>
          <cell r="D2706">
            <v>0</v>
          </cell>
        </row>
        <row r="2707">
          <cell r="A2707" t="str">
            <v>210942</v>
          </cell>
          <cell r="B2707" t="str">
            <v>Curva de 22o30` FD FF PN-25 DN250 conforme NBR7675 (3689)</v>
          </cell>
          <cell r="C2707" t="str">
            <v>ud</v>
          </cell>
          <cell r="D2707">
            <v>0</v>
          </cell>
        </row>
        <row r="2708">
          <cell r="A2708" t="str">
            <v>210943</v>
          </cell>
          <cell r="B2708" t="str">
            <v>Curva de 22o30` FD FF PN-25 DN300 conforme NBR7675</v>
          </cell>
          <cell r="C2708" t="str">
            <v>ud</v>
          </cell>
          <cell r="D2708">
            <v>0</v>
          </cell>
        </row>
        <row r="2709">
          <cell r="A2709" t="str">
            <v>210944</v>
          </cell>
          <cell r="B2709" t="str">
            <v>Curva de 22o30` FD FF PN-25 DN350 conforme NBR7675</v>
          </cell>
          <cell r="C2709" t="str">
            <v>ud</v>
          </cell>
          <cell r="D2709">
            <v>0</v>
          </cell>
        </row>
        <row r="2710">
          <cell r="A2710" t="str">
            <v>210945</v>
          </cell>
          <cell r="B2710" t="str">
            <v>Curva de 22o30` FD FF PN-25 DN400 conforme NBR7675</v>
          </cell>
          <cell r="C2710" t="str">
            <v>ud</v>
          </cell>
          <cell r="D2710">
            <v>0</v>
          </cell>
        </row>
        <row r="2711">
          <cell r="A2711" t="str">
            <v>210946</v>
          </cell>
          <cell r="B2711" t="str">
            <v>Curva de 22o30` FD FF PN-25 DN450 conforme NBR7675</v>
          </cell>
          <cell r="C2711" t="str">
            <v>ud</v>
          </cell>
          <cell r="D2711">
            <v>0</v>
          </cell>
        </row>
        <row r="2712">
          <cell r="A2712" t="str">
            <v>210947</v>
          </cell>
          <cell r="B2712" t="str">
            <v>Curva de 22o30` FD FF PN-25 DN500 conforme NBR7675</v>
          </cell>
          <cell r="C2712" t="str">
            <v>ud</v>
          </cell>
          <cell r="D2712">
            <v>0</v>
          </cell>
        </row>
        <row r="2713">
          <cell r="A2713" t="str">
            <v>210948</v>
          </cell>
          <cell r="B2713" t="str">
            <v>Curva de 22o30` FD FF PN-25 DN600 conforme NBR7675</v>
          </cell>
          <cell r="C2713" t="str">
            <v>ud</v>
          </cell>
          <cell r="D2713">
            <v>0</v>
          </cell>
        </row>
        <row r="2714">
          <cell r="A2714" t="str">
            <v>210949</v>
          </cell>
          <cell r="B2714" t="str">
            <v>Curva de 22o30` FD FF PN-25 DN700 conforme NBR7675</v>
          </cell>
          <cell r="C2714" t="str">
            <v>ud</v>
          </cell>
          <cell r="D2714">
            <v>0</v>
          </cell>
        </row>
        <row r="2715">
          <cell r="A2715" t="str">
            <v>210950</v>
          </cell>
          <cell r="B2715" t="str">
            <v>Curva de 22o30` FD FF PN-25 DN800 conforme NBR7675</v>
          </cell>
          <cell r="C2715" t="str">
            <v>ud</v>
          </cell>
          <cell r="D2715">
            <v>0</v>
          </cell>
        </row>
        <row r="2716">
          <cell r="A2716" t="str">
            <v>210951</v>
          </cell>
          <cell r="B2716" t="str">
            <v>Curva de 22o30` FD FF PN-25 DN900 conforme NBR7675</v>
          </cell>
          <cell r="C2716" t="str">
            <v>ud</v>
          </cell>
          <cell r="D2716">
            <v>0</v>
          </cell>
        </row>
        <row r="2717">
          <cell r="A2717" t="str">
            <v>210952</v>
          </cell>
          <cell r="B2717" t="str">
            <v>Curva de 22o30` FD FF PN-25 DN1000 conforme NBR7675</v>
          </cell>
          <cell r="C2717" t="str">
            <v>ud</v>
          </cell>
          <cell r="D2717">
            <v>0</v>
          </cell>
        </row>
        <row r="2718">
          <cell r="A2718" t="str">
            <v>210953</v>
          </cell>
          <cell r="B2718" t="str">
            <v>Curva de 22o30` FD FF PN-25 DN1100 conforme NBR7675</v>
          </cell>
          <cell r="C2718" t="str">
            <v>ud</v>
          </cell>
          <cell r="D2718">
            <v>0</v>
          </cell>
        </row>
        <row r="2719">
          <cell r="A2719" t="str">
            <v>210954</v>
          </cell>
          <cell r="B2719" t="str">
            <v>Curva de 22o30` FD FF PN-25 DN1200 conforme NBR7675</v>
          </cell>
          <cell r="C2719" t="str">
            <v>ud</v>
          </cell>
          <cell r="D2719">
            <v>0</v>
          </cell>
        </row>
        <row r="2720">
          <cell r="A2720" t="str">
            <v>210901</v>
          </cell>
          <cell r="B2720" t="str">
            <v>Curva de 22o30` FD FF PN-10 DN50 conforme NBR7675</v>
          </cell>
          <cell r="C2720" t="str">
            <v>ud</v>
          </cell>
          <cell r="D2720">
            <v>0</v>
          </cell>
        </row>
        <row r="2721">
          <cell r="A2721" t="str">
            <v>210902</v>
          </cell>
          <cell r="B2721" t="str">
            <v>Curva de 22o30` FD FF PN-10 DN75/80 conforme NBR7675</v>
          </cell>
          <cell r="C2721" t="str">
            <v>ud</v>
          </cell>
          <cell r="D2721">
            <v>0</v>
          </cell>
        </row>
        <row r="2722">
          <cell r="A2722" t="str">
            <v>210903</v>
          </cell>
          <cell r="B2722" t="str">
            <v>Curva de 22o30` FD FF PN-10 DN100 conforme NBR7675 (3131)</v>
          </cell>
          <cell r="C2722" t="str">
            <v>ud</v>
          </cell>
          <cell r="D2722">
            <v>0</v>
          </cell>
        </row>
        <row r="2723">
          <cell r="A2723" t="str">
            <v>210904</v>
          </cell>
          <cell r="B2723" t="str">
            <v>Curva de 22o30` FD FF PN-10 DN150 conforme NBR7675 (282706)</v>
          </cell>
          <cell r="C2723" t="str">
            <v>ud</v>
          </cell>
          <cell r="D2723">
            <v>0</v>
          </cell>
          <cell r="E2723">
            <v>271.89</v>
          </cell>
          <cell r="F2723">
            <v>271.89</v>
          </cell>
        </row>
        <row r="2724">
          <cell r="A2724" t="str">
            <v>210905</v>
          </cell>
          <cell r="B2724" t="str">
            <v>Curva de 22o30` FD FF PN-10 DN200 conforme NBR7675 (263176)</v>
          </cell>
          <cell r="C2724" t="str">
            <v>ud</v>
          </cell>
          <cell r="D2724">
            <v>0</v>
          </cell>
          <cell r="E2724">
            <v>456.69</v>
          </cell>
          <cell r="F2724">
            <v>456.69</v>
          </cell>
        </row>
        <row r="2725">
          <cell r="A2725" t="str">
            <v>2110</v>
          </cell>
          <cell r="B2725" t="str">
            <v>CURVA FD 45º COM FLANGES</v>
          </cell>
        </row>
        <row r="2726">
          <cell r="A2726" t="str">
            <v>211028</v>
          </cell>
          <cell r="B2726" t="str">
            <v>Curva de 45o FD FF PN-16 DN450 conforme NBR7675</v>
          </cell>
          <cell r="C2726" t="str">
            <v>ud</v>
          </cell>
          <cell r="D2726">
            <v>0</v>
          </cell>
          <cell r="E2726">
            <v>1759.31</v>
          </cell>
          <cell r="F2726">
            <v>1759.31</v>
          </cell>
        </row>
        <row r="2727">
          <cell r="A2727" t="str">
            <v>211029</v>
          </cell>
          <cell r="B2727" t="str">
            <v>Curva de 45o FD FF PN-16 DN500 conforme NBR7675 (136280)</v>
          </cell>
          <cell r="C2727" t="str">
            <v>ud</v>
          </cell>
          <cell r="D2727">
            <v>0</v>
          </cell>
          <cell r="E2727">
            <v>2936.38</v>
          </cell>
          <cell r="F2727">
            <v>2936.38</v>
          </cell>
        </row>
        <row r="2728">
          <cell r="A2728" t="str">
            <v>211030</v>
          </cell>
          <cell r="B2728" t="str">
            <v>Curva de 45o FD FF PN-16 DN600 conforme NBR7675</v>
          </cell>
          <cell r="C2728" t="str">
            <v>ud</v>
          </cell>
          <cell r="D2728">
            <v>0</v>
          </cell>
          <cell r="E2728">
            <v>3752.04</v>
          </cell>
          <cell r="F2728">
            <v>3752.04</v>
          </cell>
        </row>
        <row r="2729">
          <cell r="A2729" t="str">
            <v>211031</v>
          </cell>
          <cell r="B2729" t="str">
            <v>Curva de 45o FD FF PN-16 DN700 conforme NBR7675</v>
          </cell>
          <cell r="C2729" t="str">
            <v>ud</v>
          </cell>
          <cell r="D2729">
            <v>0</v>
          </cell>
          <cell r="E2729">
            <v>0</v>
          </cell>
          <cell r="F2729">
            <v>0</v>
          </cell>
        </row>
        <row r="2730">
          <cell r="A2730" t="str">
            <v>211032</v>
          </cell>
          <cell r="B2730" t="str">
            <v>Curva de 45o FD FF PN-16 DN800 conforme NBR7675 (136328)</v>
          </cell>
          <cell r="C2730" t="str">
            <v>ud</v>
          </cell>
          <cell r="D2730">
            <v>0</v>
          </cell>
          <cell r="E2730">
            <v>0</v>
          </cell>
          <cell r="F2730">
            <v>0</v>
          </cell>
        </row>
        <row r="2731">
          <cell r="A2731" t="str">
            <v>211033</v>
          </cell>
          <cell r="B2731" t="str">
            <v>Curva de 45o FD FF PN-16 DN900 conforme NBR7675</v>
          </cell>
          <cell r="C2731" t="str">
            <v>ud</v>
          </cell>
          <cell r="D2731">
            <v>0</v>
          </cell>
          <cell r="E2731">
            <v>0</v>
          </cell>
          <cell r="F2731">
            <v>0</v>
          </cell>
        </row>
        <row r="2732">
          <cell r="A2732" t="str">
            <v>211034</v>
          </cell>
          <cell r="B2732" t="str">
            <v>Curva de 45o FD FF PN-16 DN1000 conforme NBR7675</v>
          </cell>
          <cell r="C2732" t="str">
            <v>ud</v>
          </cell>
          <cell r="D2732">
            <v>0</v>
          </cell>
          <cell r="E2732">
            <v>0</v>
          </cell>
          <cell r="F2732">
            <v>0</v>
          </cell>
        </row>
        <row r="2733">
          <cell r="A2733" t="str">
            <v>211035</v>
          </cell>
          <cell r="B2733" t="str">
            <v>Curva de 45o FD FF PN-16 DN1100 conforme NBR7675</v>
          </cell>
          <cell r="C2733" t="str">
            <v>ud</v>
          </cell>
          <cell r="D2733">
            <v>0</v>
          </cell>
          <cell r="E2733">
            <v>0</v>
          </cell>
          <cell r="F2733">
            <v>0</v>
          </cell>
        </row>
        <row r="2734">
          <cell r="A2734" t="str">
            <v>211036</v>
          </cell>
          <cell r="B2734" t="str">
            <v>Curva de 45o FD FF PN-16 DN1200 conforme NBR7675</v>
          </cell>
          <cell r="C2734" t="str">
            <v>ud</v>
          </cell>
          <cell r="D2734">
            <v>0</v>
          </cell>
          <cell r="E2734">
            <v>0</v>
          </cell>
          <cell r="F2734">
            <v>0</v>
          </cell>
        </row>
        <row r="2735">
          <cell r="A2735" t="str">
            <v>211037</v>
          </cell>
          <cell r="B2735" t="str">
            <v>Curva de 45o FD FF PN-25 DN50 conforme NBR7675 (3271)</v>
          </cell>
          <cell r="C2735" t="str">
            <v>ud</v>
          </cell>
          <cell r="D2735">
            <v>0</v>
          </cell>
          <cell r="E2735">
            <v>0</v>
          </cell>
          <cell r="F2735">
            <v>0</v>
          </cell>
        </row>
        <row r="2736">
          <cell r="A2736" t="str">
            <v>211038</v>
          </cell>
          <cell r="B2736" t="str">
            <v>Curva de 45o FD FF PN-25 DN75/80 conforme NBR7675 (136174)</v>
          </cell>
          <cell r="C2736" t="str">
            <v>ud</v>
          </cell>
          <cell r="D2736">
            <v>0</v>
          </cell>
        </row>
        <row r="2737">
          <cell r="A2737" t="str">
            <v>211001</v>
          </cell>
          <cell r="B2737" t="str">
            <v>Curva de 45o FD FF PN-10 DN50 conforme NBR7675</v>
          </cell>
          <cell r="C2737" t="str">
            <v>ud</v>
          </cell>
          <cell r="D2737">
            <v>0</v>
          </cell>
          <cell r="E2737">
            <v>138.38999999999999</v>
          </cell>
          <cell r="F2737">
            <v>138.38999999999999</v>
          </cell>
        </row>
        <row r="2738">
          <cell r="A2738" t="str">
            <v>211002</v>
          </cell>
          <cell r="B2738" t="str">
            <v>Curva de 45o FD FF PN-10 DN75/80 conforme NBR7675</v>
          </cell>
          <cell r="C2738" t="str">
            <v>ud</v>
          </cell>
          <cell r="D2738">
            <v>0</v>
          </cell>
          <cell r="E2738">
            <v>155.69</v>
          </cell>
          <cell r="F2738">
            <v>155.69</v>
          </cell>
        </row>
        <row r="2739">
          <cell r="A2739" t="str">
            <v>211003</v>
          </cell>
          <cell r="B2739" t="str">
            <v>Curva de 45o FD FF PN-10 DN100 conforme NBR7675</v>
          </cell>
          <cell r="C2739" t="str">
            <v>ud</v>
          </cell>
          <cell r="D2739">
            <v>0</v>
          </cell>
          <cell r="E2739">
            <v>179.88</v>
          </cell>
          <cell r="F2739">
            <v>179.88</v>
          </cell>
        </row>
        <row r="2740">
          <cell r="A2740" t="str">
            <v>211004</v>
          </cell>
          <cell r="B2740" t="str">
            <v>Curva de 45o FD FF PN-10 DN150 conforme NBR7675</v>
          </cell>
          <cell r="C2740" t="str">
            <v>ud</v>
          </cell>
          <cell r="D2740">
            <v>0</v>
          </cell>
          <cell r="E2740">
            <v>297.52999999999997</v>
          </cell>
          <cell r="F2740">
            <v>297.52999999999997</v>
          </cell>
        </row>
        <row r="2741">
          <cell r="A2741" t="str">
            <v>211005</v>
          </cell>
          <cell r="B2741" t="str">
            <v>Curva de 45o FD FF PN-10 DN200 conforme NBR7675 (4510)</v>
          </cell>
          <cell r="C2741" t="str">
            <v>ud</v>
          </cell>
          <cell r="D2741">
            <v>0</v>
          </cell>
          <cell r="E2741">
            <v>456.69</v>
          </cell>
          <cell r="F2741">
            <v>456.69</v>
          </cell>
        </row>
        <row r="2742">
          <cell r="A2742" t="str">
            <v>211006</v>
          </cell>
          <cell r="B2742" t="str">
            <v>Curva de 45o FD FF PN-10 DN250 conforme NBR7675 (4570)</v>
          </cell>
          <cell r="C2742" t="str">
            <v>ud</v>
          </cell>
          <cell r="D2742">
            <v>0</v>
          </cell>
          <cell r="E2742">
            <v>851.08</v>
          </cell>
          <cell r="F2742">
            <v>851.08</v>
          </cell>
        </row>
        <row r="2743">
          <cell r="A2743" t="str">
            <v>211007</v>
          </cell>
          <cell r="B2743" t="str">
            <v>Curva de 45o FD FF PN-10 DN300 conforme NBR7675 (4618)</v>
          </cell>
          <cell r="C2743" t="str">
            <v>ud</v>
          </cell>
          <cell r="D2743">
            <v>0</v>
          </cell>
          <cell r="E2743">
            <v>1183.1600000000001</v>
          </cell>
          <cell r="F2743">
            <v>1183.1600000000001</v>
          </cell>
        </row>
        <row r="2744">
          <cell r="A2744" t="str">
            <v>211008</v>
          </cell>
          <cell r="B2744" t="str">
            <v>Curva de 45o FD FF PN-10 DN350 conforme NBR7675 (4669)</v>
          </cell>
          <cell r="C2744" t="str">
            <v>ud</v>
          </cell>
          <cell r="D2744">
            <v>0</v>
          </cell>
          <cell r="E2744">
            <v>1303.9100000000001</v>
          </cell>
          <cell r="F2744">
            <v>1303.9100000000001</v>
          </cell>
        </row>
        <row r="2745">
          <cell r="A2745" t="str">
            <v>211009</v>
          </cell>
          <cell r="B2745" t="str">
            <v>Curva de 45o FD FF PN-10 DN400 conforme NBR7675 (4707)</v>
          </cell>
          <cell r="C2745" t="str">
            <v>ud</v>
          </cell>
          <cell r="D2745">
            <v>0</v>
          </cell>
          <cell r="E2745">
            <v>1439.22</v>
          </cell>
          <cell r="F2745">
            <v>1439.22</v>
          </cell>
        </row>
        <row r="2746">
          <cell r="A2746" t="str">
            <v>211010</v>
          </cell>
          <cell r="B2746" t="str">
            <v>Curva de 45o FD FF PN-10 DN450 conforme NBR7675</v>
          </cell>
          <cell r="C2746" t="str">
            <v>ud</v>
          </cell>
          <cell r="D2746">
            <v>0</v>
          </cell>
          <cell r="E2746">
            <v>1759.31</v>
          </cell>
          <cell r="F2746">
            <v>1759.31</v>
          </cell>
        </row>
        <row r="2747">
          <cell r="A2747" t="str">
            <v>211011</v>
          </cell>
          <cell r="B2747" t="str">
            <v>Curva de 45o FD FF PN-10 DN500 conforme NBR7675 (4782)</v>
          </cell>
          <cell r="C2747" t="str">
            <v>ud</v>
          </cell>
          <cell r="D2747">
            <v>0</v>
          </cell>
          <cell r="E2747">
            <v>2936.38</v>
          </cell>
          <cell r="F2747">
            <v>2936.38</v>
          </cell>
        </row>
        <row r="2748">
          <cell r="A2748" t="str">
            <v>211012</v>
          </cell>
          <cell r="B2748" t="str">
            <v>Curva de 45o FD FF PN-10 DN600 conforme NBR7675 (4820)</v>
          </cell>
          <cell r="C2748" t="str">
            <v>ud</v>
          </cell>
          <cell r="D2748">
            <v>0</v>
          </cell>
          <cell r="E2748">
            <v>3752.04</v>
          </cell>
          <cell r="F2748">
            <v>3752.04</v>
          </cell>
        </row>
        <row r="2749">
          <cell r="A2749" t="str">
            <v>211013</v>
          </cell>
          <cell r="B2749" t="str">
            <v xml:space="preserve">Curva de 45o FD FF PN-10 DN700 conforme NBR7675 </v>
          </cell>
          <cell r="C2749" t="str">
            <v>ud</v>
          </cell>
          <cell r="D2749">
            <v>0</v>
          </cell>
        </row>
        <row r="2750">
          <cell r="A2750" t="str">
            <v>211014</v>
          </cell>
          <cell r="B2750" t="str">
            <v>Curva de 45o FD FF PN-10 DN800 conforme NBR7675 (4855)</v>
          </cell>
          <cell r="C2750" t="str">
            <v>ud</v>
          </cell>
          <cell r="D2750">
            <v>0</v>
          </cell>
        </row>
        <row r="2751">
          <cell r="A2751" t="str">
            <v>211015</v>
          </cell>
          <cell r="B2751" t="str">
            <v>Curva de 45o FD FF PN-10 DN900 conforme NBR7675</v>
          </cell>
          <cell r="C2751" t="str">
            <v>ud</v>
          </cell>
          <cell r="D2751">
            <v>0</v>
          </cell>
        </row>
        <row r="2752">
          <cell r="A2752" t="str">
            <v>211016</v>
          </cell>
          <cell r="B2752" t="str">
            <v>Curva de 45o FD FF PN-10 DN1000 conforme NBR7675 (288173)</v>
          </cell>
          <cell r="C2752" t="str">
            <v>ud</v>
          </cell>
          <cell r="D2752">
            <v>0</v>
          </cell>
        </row>
        <row r="2753">
          <cell r="A2753" t="str">
            <v>211017</v>
          </cell>
          <cell r="B2753" t="str">
            <v>Curva de 45o FD FF PN-10 DN1100 conforme NBR7675</v>
          </cell>
          <cell r="C2753" t="str">
            <v>ud</v>
          </cell>
          <cell r="D2753">
            <v>0</v>
          </cell>
        </row>
        <row r="2754">
          <cell r="A2754" t="str">
            <v>211018</v>
          </cell>
          <cell r="B2754" t="str">
            <v>Curva de 45o FD FF PN-10 DN1200 conforme NBR7675</v>
          </cell>
          <cell r="C2754" t="str">
            <v>ud</v>
          </cell>
          <cell r="D2754">
            <v>0</v>
          </cell>
        </row>
        <row r="2755">
          <cell r="A2755" t="str">
            <v>211019</v>
          </cell>
          <cell r="B2755" t="str">
            <v>Curva de 45o FD FF PN-16 DN50 conforme NBR7675</v>
          </cell>
          <cell r="C2755" t="str">
            <v>ud</v>
          </cell>
          <cell r="D2755">
            <v>0</v>
          </cell>
          <cell r="E2755">
            <v>138.38999999999999</v>
          </cell>
          <cell r="F2755">
            <v>138.38999999999999</v>
          </cell>
        </row>
        <row r="2756">
          <cell r="A2756" t="str">
            <v>211020</v>
          </cell>
          <cell r="B2756" t="str">
            <v>Curva de 45o FD FF PN-16 DN75/80 conforme NBR7675 (3379)</v>
          </cell>
          <cell r="C2756" t="str">
            <v>ud</v>
          </cell>
          <cell r="D2756">
            <v>0</v>
          </cell>
          <cell r="E2756">
            <v>155.69</v>
          </cell>
          <cell r="F2756">
            <v>155.69</v>
          </cell>
        </row>
        <row r="2757">
          <cell r="A2757" t="str">
            <v>211021</v>
          </cell>
          <cell r="B2757" t="str">
            <v>Curva de 45o FD FF PN-16 DN100 conforme NBR7675 (3425)</v>
          </cell>
          <cell r="C2757" t="str">
            <v>ud</v>
          </cell>
          <cell r="D2757">
            <v>0</v>
          </cell>
          <cell r="E2757">
            <v>179.88</v>
          </cell>
          <cell r="F2757">
            <v>179.88</v>
          </cell>
        </row>
        <row r="2758">
          <cell r="A2758" t="str">
            <v>211022</v>
          </cell>
          <cell r="B2758" t="str">
            <v>Curva de 45o FD FF PN-16 DN150 conforme NBR7675 (3514)</v>
          </cell>
          <cell r="C2758" t="str">
            <v>ud</v>
          </cell>
          <cell r="D2758">
            <v>0</v>
          </cell>
          <cell r="E2758">
            <v>297.52999999999997</v>
          </cell>
          <cell r="F2758">
            <v>297.52999999999997</v>
          </cell>
        </row>
        <row r="2759">
          <cell r="A2759" t="str">
            <v>211023</v>
          </cell>
          <cell r="B2759" t="str">
            <v>Curva de 45o FD FF PN-16 DN200 conforme NBR7675 (136204)</v>
          </cell>
          <cell r="C2759" t="str">
            <v>ud</v>
          </cell>
          <cell r="D2759">
            <v>0</v>
          </cell>
          <cell r="E2759">
            <v>456.69</v>
          </cell>
          <cell r="F2759">
            <v>456.69</v>
          </cell>
        </row>
        <row r="2760">
          <cell r="A2760" t="str">
            <v>211024</v>
          </cell>
          <cell r="B2760" t="str">
            <v>Curva de 45o FD FF PN-16 DN250 conforme NBR7675 (136220)</v>
          </cell>
          <cell r="C2760" t="str">
            <v>ud</v>
          </cell>
          <cell r="D2760">
            <v>0</v>
          </cell>
          <cell r="E2760">
            <v>851.08</v>
          </cell>
          <cell r="F2760">
            <v>851.08</v>
          </cell>
        </row>
        <row r="2761">
          <cell r="A2761" t="str">
            <v>211025</v>
          </cell>
          <cell r="B2761" t="str">
            <v>Curva de 45o FD FF PN-16 DN300 conforme NBR7675 (136247)</v>
          </cell>
          <cell r="C2761" t="str">
            <v>ud</v>
          </cell>
          <cell r="D2761">
            <v>0</v>
          </cell>
          <cell r="E2761">
            <v>1183.1600000000001</v>
          </cell>
          <cell r="F2761">
            <v>1183.1600000000001</v>
          </cell>
        </row>
        <row r="2762">
          <cell r="A2762" t="str">
            <v>211026</v>
          </cell>
          <cell r="B2762" t="str">
            <v>Curva de 45o FD FF PN-16 DN350 conforme NBR7675</v>
          </cell>
          <cell r="C2762" t="str">
            <v>ud</v>
          </cell>
          <cell r="D2762">
            <v>0</v>
          </cell>
          <cell r="E2762">
            <v>1303.9100000000001</v>
          </cell>
          <cell r="F2762">
            <v>1303.9100000000001</v>
          </cell>
        </row>
        <row r="2763">
          <cell r="A2763" t="str">
            <v>211027</v>
          </cell>
          <cell r="B2763" t="str">
            <v>Curva de 45o FD FF PN-16 DN400 conforme NBR7675 (136263)</v>
          </cell>
          <cell r="C2763" t="str">
            <v>ud</v>
          </cell>
          <cell r="D2763">
            <v>0</v>
          </cell>
          <cell r="E2763">
            <v>1439.22</v>
          </cell>
          <cell r="F2763">
            <v>1439.22</v>
          </cell>
        </row>
        <row r="2764">
          <cell r="A2764" t="str">
            <v>211039</v>
          </cell>
          <cell r="B2764" t="str">
            <v>Curva de 45o FD FF PN-25 DN100 conforme NBR7675 (136182)</v>
          </cell>
          <cell r="C2764" t="str">
            <v>ud</v>
          </cell>
          <cell r="D2764">
            <v>0</v>
          </cell>
          <cell r="E2764">
            <v>0</v>
          </cell>
          <cell r="F2764">
            <v>0</v>
          </cell>
        </row>
        <row r="2765">
          <cell r="A2765" t="str">
            <v>211040</v>
          </cell>
          <cell r="B2765" t="str">
            <v>Curva de 45o FD FF PN-25 DN150 conforme NBR7675</v>
          </cell>
          <cell r="C2765" t="str">
            <v>ud</v>
          </cell>
          <cell r="D2765">
            <v>0</v>
          </cell>
          <cell r="E2765">
            <v>0</v>
          </cell>
          <cell r="F2765">
            <v>0</v>
          </cell>
        </row>
        <row r="2766">
          <cell r="A2766" t="str">
            <v>211041</v>
          </cell>
          <cell r="B2766" t="str">
            <v>Curva de 45o FD FF PN-25 DN200 conforme NBR7675</v>
          </cell>
          <cell r="C2766" t="str">
            <v>ud</v>
          </cell>
          <cell r="D2766">
            <v>0</v>
          </cell>
          <cell r="E2766">
            <v>0</v>
          </cell>
          <cell r="F2766">
            <v>0</v>
          </cell>
        </row>
        <row r="2767">
          <cell r="A2767" t="str">
            <v>211042</v>
          </cell>
          <cell r="B2767" t="str">
            <v>Curva de 45o FD FF PN-25 DN250 conforme NBR7675</v>
          </cell>
          <cell r="C2767" t="str">
            <v>ud</v>
          </cell>
          <cell r="D2767">
            <v>0</v>
          </cell>
          <cell r="E2767">
            <v>0</v>
          </cell>
          <cell r="F2767">
            <v>0</v>
          </cell>
        </row>
        <row r="2768">
          <cell r="A2768" t="str">
            <v>211043</v>
          </cell>
          <cell r="B2768" t="str">
            <v>Curva de 45o FD FF PN-25 DN300 conforme NBR7675</v>
          </cell>
          <cell r="C2768" t="str">
            <v>ud</v>
          </cell>
          <cell r="D2768">
            <v>0</v>
          </cell>
          <cell r="E2768">
            <v>0</v>
          </cell>
          <cell r="F2768">
            <v>0</v>
          </cell>
        </row>
        <row r="2769">
          <cell r="A2769" t="str">
            <v>211044</v>
          </cell>
          <cell r="B2769" t="str">
            <v>Curva de 45o FD FF PN-25 DN350 conforme NBR7675</v>
          </cell>
          <cell r="C2769" t="str">
            <v>ud</v>
          </cell>
          <cell r="D2769">
            <v>0</v>
          </cell>
          <cell r="E2769">
            <v>0</v>
          </cell>
          <cell r="F2769">
            <v>0</v>
          </cell>
        </row>
        <row r="2770">
          <cell r="A2770" t="str">
            <v>211045</v>
          </cell>
          <cell r="B2770" t="str">
            <v>Curva de 45o FD FF PN-25 DN400 conforme NBR7675</v>
          </cell>
          <cell r="C2770" t="str">
            <v>ud</v>
          </cell>
          <cell r="D2770">
            <v>0</v>
          </cell>
          <cell r="E2770">
            <v>0</v>
          </cell>
          <cell r="F2770">
            <v>0</v>
          </cell>
        </row>
        <row r="2771">
          <cell r="A2771" t="str">
            <v>211046</v>
          </cell>
          <cell r="B2771" t="str">
            <v>Curva de 45o FD FF PN-25 DN450 conforme NBR7675</v>
          </cell>
          <cell r="C2771" t="str">
            <v>ud</v>
          </cell>
          <cell r="D2771">
            <v>0</v>
          </cell>
          <cell r="E2771">
            <v>0</v>
          </cell>
          <cell r="F2771">
            <v>0</v>
          </cell>
        </row>
        <row r="2772">
          <cell r="A2772" t="str">
            <v>211047</v>
          </cell>
          <cell r="B2772" t="str">
            <v>Curva de 45o FD FF PN-25 DN500 conforme NBR7675</v>
          </cell>
          <cell r="C2772" t="str">
            <v>ud</v>
          </cell>
          <cell r="D2772">
            <v>0</v>
          </cell>
        </row>
        <row r="2773">
          <cell r="A2773" t="str">
            <v>211048</v>
          </cell>
          <cell r="B2773" t="str">
            <v>Curva de 45o FD FF PN-25 DN600 conforme NBR7675</v>
          </cell>
          <cell r="C2773" t="str">
            <v>ud</v>
          </cell>
          <cell r="D2773">
            <v>0</v>
          </cell>
        </row>
        <row r="2774">
          <cell r="A2774" t="str">
            <v>211049</v>
          </cell>
          <cell r="B2774" t="str">
            <v>Curva de 45o FD FF PN-25 DN700 conforme NBR7675</v>
          </cell>
          <cell r="C2774" t="str">
            <v>ud</v>
          </cell>
          <cell r="D2774">
            <v>0</v>
          </cell>
        </row>
        <row r="2775">
          <cell r="A2775" t="str">
            <v>211050</v>
          </cell>
          <cell r="B2775" t="str">
            <v>Curva de 45o FD FF PN-25 DN800 conforme NBR7675</v>
          </cell>
          <cell r="C2775" t="str">
            <v>ud</v>
          </cell>
          <cell r="D2775">
            <v>0</v>
          </cell>
        </row>
        <row r="2776">
          <cell r="A2776" t="str">
            <v>211051</v>
          </cell>
          <cell r="B2776" t="str">
            <v>Curva de 45o FD FF PN-25 DN900 conforme NBR7675</v>
          </cell>
          <cell r="C2776" t="str">
            <v>ud</v>
          </cell>
          <cell r="D2776">
            <v>0</v>
          </cell>
        </row>
        <row r="2777">
          <cell r="A2777" t="str">
            <v>211052</v>
          </cell>
          <cell r="B2777" t="str">
            <v>Curva de 45o FD FF PN-25 DN1000 conforme NBR7675</v>
          </cell>
          <cell r="C2777" t="str">
            <v>ud</v>
          </cell>
          <cell r="D2777">
            <v>0</v>
          </cell>
        </row>
        <row r="2778">
          <cell r="A2778" t="str">
            <v>211053</v>
          </cell>
          <cell r="B2778" t="str">
            <v>Curva de 45o FD FF PN-25 DN1100 conforme NBR7675</v>
          </cell>
          <cell r="C2778" t="str">
            <v>ud</v>
          </cell>
          <cell r="D2778">
            <v>0</v>
          </cell>
          <cell r="E2778">
            <v>0</v>
          </cell>
          <cell r="F2778">
            <v>0</v>
          </cell>
        </row>
        <row r="2779">
          <cell r="A2779" t="str">
            <v>211054</v>
          </cell>
          <cell r="B2779" t="str">
            <v>Curva de 45o FD FF PN-25 DN1200 conforme NBR7675</v>
          </cell>
          <cell r="C2779" t="str">
            <v>ud</v>
          </cell>
          <cell r="D2779">
            <v>0</v>
          </cell>
          <cell r="E2779">
            <v>0</v>
          </cell>
          <cell r="F2779">
            <v>0</v>
          </cell>
        </row>
        <row r="2780">
          <cell r="A2780" t="str">
            <v>2111</v>
          </cell>
          <cell r="B2780" t="str">
            <v>CURVA FD 90º COM FLANGES</v>
          </cell>
        </row>
        <row r="2781">
          <cell r="A2781" t="str">
            <v>211134</v>
          </cell>
          <cell r="B2781" t="str">
            <v>Curva de 90o FD FF PN-16 DN1000 conforme NBR7675</v>
          </cell>
          <cell r="C2781" t="str">
            <v>ud</v>
          </cell>
          <cell r="D2781">
            <v>0</v>
          </cell>
          <cell r="E2781">
            <v>0</v>
          </cell>
          <cell r="F2781">
            <v>0</v>
          </cell>
        </row>
        <row r="2782">
          <cell r="A2782" t="str">
            <v>211135</v>
          </cell>
          <cell r="B2782" t="str">
            <v>Curva de 90o FD FF PN-16 DN1100 conforme NBR7675</v>
          </cell>
          <cell r="C2782" t="str">
            <v>ud</v>
          </cell>
          <cell r="D2782">
            <v>0</v>
          </cell>
          <cell r="E2782">
            <v>0</v>
          </cell>
          <cell r="F2782">
            <v>0</v>
          </cell>
        </row>
        <row r="2783">
          <cell r="A2783" t="str">
            <v>211136</v>
          </cell>
          <cell r="B2783" t="str">
            <v>Curva de 90o FD FF PN-16 DN1200 conforme NBR7675</v>
          </cell>
          <cell r="C2783" t="str">
            <v>ud</v>
          </cell>
          <cell r="D2783">
            <v>0</v>
          </cell>
          <cell r="E2783">
            <v>0</v>
          </cell>
          <cell r="F2783">
            <v>0</v>
          </cell>
        </row>
        <row r="2784">
          <cell r="A2784" t="str">
            <v>211137</v>
          </cell>
          <cell r="B2784" t="str">
            <v>Curva de 90o FD FF PN-25 DN50 conforme NBR7675 (3581)</v>
          </cell>
          <cell r="C2784" t="str">
            <v>ud</v>
          </cell>
          <cell r="D2784">
            <v>0</v>
          </cell>
          <cell r="E2784">
            <v>0</v>
          </cell>
          <cell r="F2784">
            <v>0</v>
          </cell>
        </row>
        <row r="2785">
          <cell r="A2785" t="str">
            <v>211138</v>
          </cell>
          <cell r="B2785" t="str">
            <v>Curva de 90o FD FF PN-25 DN75/80 conforme NBR7675 (136344)</v>
          </cell>
          <cell r="C2785" t="str">
            <v>ud</v>
          </cell>
          <cell r="D2785">
            <v>0</v>
          </cell>
          <cell r="E2785">
            <v>0</v>
          </cell>
          <cell r="F2785">
            <v>0</v>
          </cell>
        </row>
        <row r="2786">
          <cell r="A2786" t="str">
            <v>211139</v>
          </cell>
          <cell r="B2786" t="str">
            <v xml:space="preserve">Curva de 90o FD FF PN-25 DN100 conforme NBR7675 (136352) </v>
          </cell>
          <cell r="C2786" t="str">
            <v>ud</v>
          </cell>
          <cell r="D2786">
            <v>0</v>
          </cell>
          <cell r="E2786">
            <v>0</v>
          </cell>
          <cell r="F2786">
            <v>0</v>
          </cell>
        </row>
        <row r="2787">
          <cell r="A2787" t="str">
            <v>211140</v>
          </cell>
          <cell r="B2787" t="str">
            <v>Curva de 90o FD FF PN-25 DN150 conforme NBR7675 (136360)</v>
          </cell>
          <cell r="C2787" t="str">
            <v>ud</v>
          </cell>
          <cell r="D2787">
            <v>0</v>
          </cell>
          <cell r="E2787">
            <v>0</v>
          </cell>
          <cell r="F2787">
            <v>0</v>
          </cell>
        </row>
        <row r="2788">
          <cell r="A2788" t="str">
            <v>211141</v>
          </cell>
          <cell r="B2788" t="str">
            <v>Curva de 90o FD FF PN-25 DN200 conforme NBR7675 (136387)</v>
          </cell>
          <cell r="C2788" t="str">
            <v>ud</v>
          </cell>
          <cell r="D2788">
            <v>0</v>
          </cell>
          <cell r="E2788">
            <v>0</v>
          </cell>
          <cell r="F2788">
            <v>0</v>
          </cell>
        </row>
        <row r="2789">
          <cell r="A2789" t="str">
            <v>211142</v>
          </cell>
          <cell r="B2789" t="str">
            <v>Curva de 90o FD FF PN-25 DN250 conforme NBR7675 (136409)</v>
          </cell>
          <cell r="C2789" t="str">
            <v>ud</v>
          </cell>
          <cell r="D2789">
            <v>0</v>
          </cell>
          <cell r="E2789">
            <v>0</v>
          </cell>
          <cell r="F2789">
            <v>0</v>
          </cell>
        </row>
        <row r="2790">
          <cell r="A2790" t="str">
            <v>211143</v>
          </cell>
          <cell r="B2790" t="str">
            <v>Curva de 90o FD FF PN-25 DN300 conforme NBR7675 (136425)</v>
          </cell>
          <cell r="C2790" t="str">
            <v>ud</v>
          </cell>
          <cell r="D2790">
            <v>0</v>
          </cell>
          <cell r="E2790">
            <v>0</v>
          </cell>
          <cell r="F2790">
            <v>0</v>
          </cell>
        </row>
        <row r="2791">
          <cell r="A2791" t="str">
            <v>211144</v>
          </cell>
          <cell r="B2791" t="str">
            <v>Curva de 90o FD FF PN-25 DN350 conforme NBR7675</v>
          </cell>
          <cell r="C2791" t="str">
            <v>ud</v>
          </cell>
          <cell r="D2791">
            <v>0</v>
          </cell>
          <cell r="E2791">
            <v>0</v>
          </cell>
          <cell r="F2791">
            <v>0</v>
          </cell>
        </row>
        <row r="2792">
          <cell r="A2792" t="str">
            <v>211145</v>
          </cell>
          <cell r="B2792" t="str">
            <v>Curva de 90o FD FF PN-25 DN400 conforme NBR7675 (136441)</v>
          </cell>
          <cell r="C2792" t="str">
            <v>ud</v>
          </cell>
          <cell r="D2792">
            <v>0</v>
          </cell>
          <cell r="E2792">
            <v>0</v>
          </cell>
          <cell r="F2792">
            <v>0</v>
          </cell>
        </row>
        <row r="2793">
          <cell r="A2793" t="str">
            <v>211146</v>
          </cell>
          <cell r="B2793" t="str">
            <v>Curva de 90o FD FF PN-25 DN450 conforme NBR7675</v>
          </cell>
          <cell r="C2793" t="str">
            <v>ud</v>
          </cell>
          <cell r="D2793">
            <v>0</v>
          </cell>
          <cell r="E2793">
            <v>0</v>
          </cell>
          <cell r="F2793">
            <v>0</v>
          </cell>
        </row>
        <row r="2794">
          <cell r="A2794" t="str">
            <v>211147</v>
          </cell>
          <cell r="B2794" t="str">
            <v>Curva de 90o FD FF PN-25 DN500 conforme NBR7675</v>
          </cell>
          <cell r="C2794" t="str">
            <v>ud</v>
          </cell>
          <cell r="D2794">
            <v>0</v>
          </cell>
        </row>
        <row r="2795">
          <cell r="A2795" t="str">
            <v>211148</v>
          </cell>
          <cell r="B2795" t="str">
            <v>Curva de 90o FD FF PN-25 DN600 conforme NBR7675</v>
          </cell>
          <cell r="C2795" t="str">
            <v>ud</v>
          </cell>
          <cell r="D2795">
            <v>0</v>
          </cell>
        </row>
        <row r="2796">
          <cell r="A2796" t="str">
            <v>211149</v>
          </cell>
          <cell r="B2796" t="str">
            <v>Curva de 90o FD FF PN-25 DN700 conforme NBR7675</v>
          </cell>
          <cell r="C2796" t="str">
            <v>ud</v>
          </cell>
          <cell r="D2796">
            <v>0</v>
          </cell>
        </row>
        <row r="2797">
          <cell r="A2797" t="str">
            <v>211150</v>
          </cell>
          <cell r="B2797" t="str">
            <v>Curva de 90o FD FF PN-25 DN800 conforme NBR7675</v>
          </cell>
          <cell r="C2797" t="str">
            <v>ud</v>
          </cell>
          <cell r="D2797">
            <v>0</v>
          </cell>
        </row>
        <row r="2798">
          <cell r="A2798" t="str">
            <v>211151</v>
          </cell>
          <cell r="B2798" t="str">
            <v>Curva de 90o FD FF PN-25 DN900 conforme NBR7675</v>
          </cell>
          <cell r="C2798" t="str">
            <v>ud</v>
          </cell>
          <cell r="D2798">
            <v>0</v>
          </cell>
        </row>
        <row r="2799">
          <cell r="A2799" t="str">
            <v>211152</v>
          </cell>
          <cell r="B2799" t="str">
            <v>Curva de 90o FD FF PN-25 DN1000 conforme NBR7675</v>
          </cell>
          <cell r="C2799" t="str">
            <v>ud</v>
          </cell>
          <cell r="D2799">
            <v>0</v>
          </cell>
          <cell r="E2799">
            <v>0</v>
          </cell>
          <cell r="F2799">
            <v>0</v>
          </cell>
        </row>
        <row r="2800">
          <cell r="A2800" t="str">
            <v>211153</v>
          </cell>
          <cell r="B2800" t="str">
            <v>Curva de 90o FD FF PN-25 DN1100 conforme NBR7675</v>
          </cell>
          <cell r="C2800" t="str">
            <v>ud</v>
          </cell>
          <cell r="D2800">
            <v>0</v>
          </cell>
          <cell r="E2800">
            <v>0</v>
          </cell>
          <cell r="F2800">
            <v>0</v>
          </cell>
        </row>
        <row r="2801">
          <cell r="A2801" t="str">
            <v>211154</v>
          </cell>
          <cell r="B2801" t="str">
            <v>Curva de 90o FD FF PN-25 DN1200 conforme NBR7675</v>
          </cell>
          <cell r="C2801" t="str">
            <v>ud</v>
          </cell>
          <cell r="D2801">
            <v>0</v>
          </cell>
          <cell r="E2801">
            <v>0</v>
          </cell>
          <cell r="F2801">
            <v>0</v>
          </cell>
        </row>
        <row r="2802">
          <cell r="A2802" t="str">
            <v>211101</v>
          </cell>
          <cell r="B2802" t="str">
            <v>Curva de 90o FD FF PN-10 DN50 conforme NBR7675</v>
          </cell>
          <cell r="C2802" t="str">
            <v>ud</v>
          </cell>
          <cell r="D2802">
            <v>0</v>
          </cell>
          <cell r="E2802">
            <v>145.30000000000001</v>
          </cell>
          <cell r="F2802">
            <v>145.30000000000001</v>
          </cell>
        </row>
        <row r="2803">
          <cell r="A2803" t="str">
            <v>211102</v>
          </cell>
          <cell r="B2803" t="str">
            <v>Curva de 90o FD FF PN-10 DN75/80 conforme NBR7675 (57762)</v>
          </cell>
          <cell r="C2803" t="str">
            <v>ud</v>
          </cell>
          <cell r="D2803">
            <v>0</v>
          </cell>
          <cell r="E2803">
            <v>166.1</v>
          </cell>
          <cell r="F2803">
            <v>166.1</v>
          </cell>
        </row>
        <row r="2804">
          <cell r="A2804" t="str">
            <v>211103</v>
          </cell>
          <cell r="B2804" t="str">
            <v>Curva de 90o FD FF PN-10 DN100 conforme NBR7675 (282712)</v>
          </cell>
          <cell r="C2804" t="str">
            <v>ud</v>
          </cell>
          <cell r="D2804">
            <v>0</v>
          </cell>
          <cell r="E2804">
            <v>179.88</v>
          </cell>
          <cell r="F2804">
            <v>179.88</v>
          </cell>
        </row>
        <row r="2805">
          <cell r="A2805" t="str">
            <v>211104</v>
          </cell>
          <cell r="B2805" t="str">
            <v>Curva de 90o FD FF PN-10 DN150 conforme NBR7675</v>
          </cell>
          <cell r="C2805" t="str">
            <v>ud</v>
          </cell>
          <cell r="D2805">
            <v>0</v>
          </cell>
          <cell r="E2805">
            <v>297.52</v>
          </cell>
          <cell r="F2805">
            <v>297.52</v>
          </cell>
        </row>
        <row r="2806">
          <cell r="A2806" t="str">
            <v>211105</v>
          </cell>
          <cell r="B2806" t="str">
            <v>Curva de 90o FD FF PN-10 DN200 conforme NBR7675 (4901)</v>
          </cell>
          <cell r="C2806" t="str">
            <v>ud</v>
          </cell>
          <cell r="D2806">
            <v>0</v>
          </cell>
          <cell r="E2806">
            <v>501.65</v>
          </cell>
          <cell r="F2806">
            <v>501.65</v>
          </cell>
        </row>
        <row r="2807">
          <cell r="A2807" t="str">
            <v>211106</v>
          </cell>
          <cell r="B2807" t="str">
            <v>Curva de 90o FD FF PN-10 DN250 conforme NBR7675 (4952)</v>
          </cell>
          <cell r="C2807" t="str">
            <v>ud</v>
          </cell>
          <cell r="D2807">
            <v>0</v>
          </cell>
          <cell r="E2807">
            <v>1030.94</v>
          </cell>
          <cell r="F2807">
            <v>1030.94</v>
          </cell>
        </row>
        <row r="2808">
          <cell r="A2808" t="str">
            <v>211107</v>
          </cell>
          <cell r="B2808" t="str">
            <v>Curva de 90o FD FF PN-10 DN300 conforme NBR7675 (5037)</v>
          </cell>
          <cell r="C2808" t="str">
            <v>ud</v>
          </cell>
          <cell r="D2808">
            <v>0</v>
          </cell>
          <cell r="E2808">
            <v>1418.43</v>
          </cell>
          <cell r="F2808">
            <v>1418.43</v>
          </cell>
        </row>
        <row r="2809">
          <cell r="A2809" t="str">
            <v>211108</v>
          </cell>
          <cell r="B2809" t="str">
            <v>Curva de 90o FD FF PN-10 DN350 conforme NBR7675 (5096)</v>
          </cell>
          <cell r="C2809" t="str">
            <v>ud</v>
          </cell>
          <cell r="D2809">
            <v>0</v>
          </cell>
          <cell r="E2809">
            <v>1885.47</v>
          </cell>
          <cell r="F2809">
            <v>1885.47</v>
          </cell>
        </row>
        <row r="2810">
          <cell r="A2810" t="str">
            <v>211109</v>
          </cell>
          <cell r="B2810" t="str">
            <v>Curva de 90o FD FF PN-10 DN400 conforme NBR7675 (5150)</v>
          </cell>
          <cell r="C2810" t="str">
            <v>ud</v>
          </cell>
          <cell r="D2810">
            <v>0</v>
          </cell>
          <cell r="E2810">
            <v>2050.61</v>
          </cell>
          <cell r="F2810">
            <v>2050.61</v>
          </cell>
        </row>
        <row r="2811">
          <cell r="A2811" t="str">
            <v>211110</v>
          </cell>
          <cell r="B2811" t="str">
            <v>Curva de 90o FD FF PN-10 DN450 conforme NBR7675 (5193)</v>
          </cell>
          <cell r="C2811" t="str">
            <v>ud</v>
          </cell>
          <cell r="D2811">
            <v>0</v>
          </cell>
          <cell r="E2811">
            <v>2087.98</v>
          </cell>
          <cell r="F2811">
            <v>2087.98</v>
          </cell>
        </row>
        <row r="2812">
          <cell r="A2812" t="str">
            <v>211111</v>
          </cell>
          <cell r="B2812" t="str">
            <v>Curva de 90o FD FF PN-10 DN500 conforme NBR7675 (5215)</v>
          </cell>
          <cell r="C2812" t="str">
            <v>ud</v>
          </cell>
          <cell r="D2812">
            <v>0</v>
          </cell>
          <cell r="E2812">
            <v>3355.79</v>
          </cell>
          <cell r="F2812">
            <v>3355.79</v>
          </cell>
        </row>
        <row r="2813">
          <cell r="A2813" t="str">
            <v>211112</v>
          </cell>
          <cell r="B2813" t="str">
            <v>Curva de 90o FD FF PN-10 DN600 conforme NBR7675 (5240)</v>
          </cell>
          <cell r="C2813" t="str">
            <v>ud</v>
          </cell>
          <cell r="D2813">
            <v>0</v>
          </cell>
          <cell r="E2813">
            <v>5050.1499999999996</v>
          </cell>
          <cell r="F2813">
            <v>5050.1499999999996</v>
          </cell>
        </row>
        <row r="2814">
          <cell r="A2814" t="str">
            <v>211113</v>
          </cell>
          <cell r="B2814" t="str">
            <v>Curva de 90o FD FF PN-10 DN700 conforme NBR7675</v>
          </cell>
          <cell r="C2814" t="str">
            <v>ud</v>
          </cell>
          <cell r="D2814">
            <v>0</v>
          </cell>
          <cell r="E2814">
            <v>7862.7</v>
          </cell>
          <cell r="F2814">
            <v>7862.7</v>
          </cell>
        </row>
        <row r="2815">
          <cell r="A2815" t="str">
            <v>211114</v>
          </cell>
          <cell r="B2815" t="str">
            <v>Curva de 90o FD FF PN-10 DN800 conforme NBR7675 (91022)</v>
          </cell>
          <cell r="C2815" t="str">
            <v>ud</v>
          </cell>
          <cell r="D2815">
            <v>0</v>
          </cell>
        </row>
        <row r="2816">
          <cell r="A2816" t="str">
            <v>211115</v>
          </cell>
          <cell r="B2816" t="str">
            <v>Curva de 90o FD FF PN-10 DN900 conforme NBR7675</v>
          </cell>
          <cell r="C2816" t="str">
            <v>ud</v>
          </cell>
          <cell r="D2816">
            <v>0</v>
          </cell>
        </row>
        <row r="2817">
          <cell r="A2817" t="str">
            <v>211116</v>
          </cell>
          <cell r="B2817" t="str">
            <v>Curva de 90o FD FF PN-10 DN1000 conforme NBR7675 (112968)</v>
          </cell>
          <cell r="C2817" t="str">
            <v>ud</v>
          </cell>
          <cell r="D2817">
            <v>0</v>
          </cell>
        </row>
        <row r="2818">
          <cell r="A2818" t="str">
            <v>211117</v>
          </cell>
          <cell r="B2818" t="str">
            <v>Curva de 90o FD FF PN-10 DN1100 conforme NBR7675</v>
          </cell>
          <cell r="C2818" t="str">
            <v>ud</v>
          </cell>
          <cell r="D2818">
            <v>0</v>
          </cell>
        </row>
        <row r="2819">
          <cell r="A2819" t="str">
            <v>211118</v>
          </cell>
          <cell r="B2819" t="str">
            <v>Curva de 90o FD FF PN-10 DN1200 conforme NBR7675</v>
          </cell>
          <cell r="C2819" t="str">
            <v>ud</v>
          </cell>
          <cell r="D2819">
            <v>0</v>
          </cell>
        </row>
        <row r="2820">
          <cell r="A2820" t="str">
            <v>211119</v>
          </cell>
          <cell r="B2820" t="str">
            <v>Curva de 90o FD FF PN-16 DN50 conforme NBR7675</v>
          </cell>
          <cell r="C2820" t="str">
            <v>ud</v>
          </cell>
          <cell r="D2820">
            <v>0</v>
          </cell>
          <cell r="E2820">
            <v>145.30000000000001</v>
          </cell>
          <cell r="F2820">
            <v>145.30000000000001</v>
          </cell>
        </row>
        <row r="2821">
          <cell r="A2821" t="str">
            <v>211120</v>
          </cell>
          <cell r="B2821" t="str">
            <v>Curva de 90o FD FF PN-16 DN75/80 conforme NBR7675 (3719)</v>
          </cell>
          <cell r="C2821" t="str">
            <v>ud</v>
          </cell>
          <cell r="D2821">
            <v>0</v>
          </cell>
          <cell r="E2821">
            <v>166.1</v>
          </cell>
          <cell r="F2821">
            <v>166.1</v>
          </cell>
        </row>
        <row r="2822">
          <cell r="A2822" t="str">
            <v>211121</v>
          </cell>
          <cell r="B2822" t="str">
            <v>Curva de 90o FD FF PN-16 DN100 conforme NBR7675 (3778)</v>
          </cell>
          <cell r="C2822" t="str">
            <v>ud</v>
          </cell>
          <cell r="D2822">
            <v>0</v>
          </cell>
          <cell r="E2822">
            <v>179.88</v>
          </cell>
          <cell r="F2822">
            <v>179.88</v>
          </cell>
        </row>
        <row r="2823">
          <cell r="A2823" t="str">
            <v>211122</v>
          </cell>
          <cell r="B2823" t="str">
            <v>Curva de 90o FD FF PN-16 DN150 conforme NBR7675 (3883)</v>
          </cell>
          <cell r="C2823" t="str">
            <v>ud</v>
          </cell>
          <cell r="D2823">
            <v>0</v>
          </cell>
          <cell r="E2823">
            <v>297.52</v>
          </cell>
          <cell r="F2823">
            <v>297.52</v>
          </cell>
        </row>
        <row r="2824">
          <cell r="A2824" t="str">
            <v>211123</v>
          </cell>
          <cell r="B2824" t="str">
            <v>Curva de 90o FD FF PN-16 DN200 conforme NBR7675 (136379)</v>
          </cell>
          <cell r="C2824" t="str">
            <v>ud</v>
          </cell>
          <cell r="D2824">
            <v>0</v>
          </cell>
          <cell r="E2824">
            <v>501.65</v>
          </cell>
          <cell r="F2824">
            <v>501.65</v>
          </cell>
        </row>
        <row r="2825">
          <cell r="A2825" t="str">
            <v>211124</v>
          </cell>
          <cell r="B2825" t="str">
            <v>Curva de 90o FD FF PN-16 DN250 conforme NBR7675 (292853)</v>
          </cell>
          <cell r="C2825" t="str">
            <v>ud</v>
          </cell>
          <cell r="D2825">
            <v>0</v>
          </cell>
          <cell r="E2825">
            <v>1030.94</v>
          </cell>
          <cell r="F2825">
            <v>1030.94</v>
          </cell>
        </row>
        <row r="2826">
          <cell r="A2826" t="str">
            <v>211125</v>
          </cell>
          <cell r="B2826" t="str">
            <v>Curva de 90o FD FF PN-16 DN300 conforme NBR7675 (136417)</v>
          </cell>
          <cell r="C2826" t="str">
            <v>ud</v>
          </cell>
          <cell r="D2826">
            <v>0</v>
          </cell>
          <cell r="E2826">
            <v>1418.43</v>
          </cell>
          <cell r="F2826">
            <v>1418.43</v>
          </cell>
        </row>
        <row r="2827">
          <cell r="A2827" t="str">
            <v>211126</v>
          </cell>
          <cell r="B2827" t="str">
            <v>Curva de 90o FD FF PN-16 DN350 conforme NBR7675 (278742)</v>
          </cell>
          <cell r="C2827" t="str">
            <v>ud</v>
          </cell>
          <cell r="D2827">
            <v>0</v>
          </cell>
          <cell r="E2827">
            <v>1885.47</v>
          </cell>
          <cell r="F2827">
            <v>1885.47</v>
          </cell>
        </row>
        <row r="2828">
          <cell r="A2828" t="str">
            <v>211127</v>
          </cell>
          <cell r="B2828" t="str">
            <v>Curva de 90o FD FF PN-16 DN400 conforme NBR7675 (136433)</v>
          </cell>
          <cell r="C2828" t="str">
            <v>ud</v>
          </cell>
          <cell r="D2828">
            <v>0</v>
          </cell>
          <cell r="E2828">
            <v>2050.61</v>
          </cell>
          <cell r="F2828">
            <v>2050.61</v>
          </cell>
        </row>
        <row r="2829">
          <cell r="A2829" t="str">
            <v>211128</v>
          </cell>
          <cell r="B2829" t="str">
            <v>Curva de 90o FD FF PN-16 DN450 conforme NBR7675</v>
          </cell>
          <cell r="C2829" t="str">
            <v>ud</v>
          </cell>
          <cell r="D2829">
            <v>0</v>
          </cell>
          <cell r="E2829">
            <v>2087.98</v>
          </cell>
          <cell r="F2829">
            <v>2087.98</v>
          </cell>
        </row>
        <row r="2830">
          <cell r="A2830" t="str">
            <v>211129</v>
          </cell>
          <cell r="B2830" t="str">
            <v>Curva de 90o FD FF PN-16 DN500 conforme NBR7675 (136450)</v>
          </cell>
          <cell r="C2830" t="str">
            <v>ud</v>
          </cell>
          <cell r="D2830">
            <v>0</v>
          </cell>
          <cell r="E2830">
            <v>3355.79</v>
          </cell>
          <cell r="F2830">
            <v>3355.79</v>
          </cell>
        </row>
        <row r="2831">
          <cell r="A2831" t="str">
            <v>211130</v>
          </cell>
          <cell r="B2831" t="str">
            <v>Curva de 90o FD FF PN-16 DN600 conforme NBR7675 (136476)</v>
          </cell>
          <cell r="C2831" t="str">
            <v>ud</v>
          </cell>
          <cell r="D2831">
            <v>0</v>
          </cell>
          <cell r="E2831">
            <v>5050.1499999999996</v>
          </cell>
          <cell r="F2831">
            <v>5050.1499999999996</v>
          </cell>
        </row>
        <row r="2832">
          <cell r="A2832" t="str">
            <v>211131</v>
          </cell>
          <cell r="B2832" t="str">
            <v>Curva de 90o FD FF PN-16 DN700 conforme NBR7675</v>
          </cell>
          <cell r="C2832" t="str">
            <v>ud</v>
          </cell>
          <cell r="D2832">
            <v>0</v>
          </cell>
          <cell r="E2832">
            <v>7862.7</v>
          </cell>
          <cell r="F2832">
            <v>7862.7</v>
          </cell>
        </row>
        <row r="2833">
          <cell r="A2833" t="str">
            <v>211132</v>
          </cell>
          <cell r="B2833" t="str">
            <v>Curva de 90o FD FF PN-16 DN800 conforme NBR7675 (136514)</v>
          </cell>
          <cell r="C2833" t="str">
            <v>ud</v>
          </cell>
          <cell r="D2833">
            <v>0</v>
          </cell>
        </row>
        <row r="2834">
          <cell r="A2834" t="str">
            <v>211133</v>
          </cell>
          <cell r="B2834" t="str">
            <v>Curva de 90o FD FF PN-16 DN900 conforme NBR7675</v>
          </cell>
          <cell r="C2834" t="str">
            <v>ud</v>
          </cell>
          <cell r="D2834">
            <v>0</v>
          </cell>
        </row>
        <row r="2835">
          <cell r="A2835" t="str">
            <v>2112</v>
          </cell>
          <cell r="B2835" t="str">
            <v>CURVA FD 90º COM FLANGES E PÉ</v>
          </cell>
        </row>
        <row r="2836">
          <cell r="A2836" t="str">
            <v>211201</v>
          </cell>
          <cell r="B2836" t="str">
            <v>Curva com pe 90o FD FF PN-10 DN50 conforme NBR7675</v>
          </cell>
          <cell r="C2836" t="str">
            <v>ud</v>
          </cell>
          <cell r="D2836">
            <v>0</v>
          </cell>
          <cell r="E2836">
            <v>193.75</v>
          </cell>
          <cell r="F2836">
            <v>193.75</v>
          </cell>
        </row>
        <row r="2837">
          <cell r="A2837" t="str">
            <v>211202</v>
          </cell>
          <cell r="B2837" t="str">
            <v>Curva com pe 90o FD FF PN-10 DN75/80 conforme NBR7675 (136042)</v>
          </cell>
          <cell r="C2837" t="str">
            <v>ud</v>
          </cell>
          <cell r="D2837">
            <v>0</v>
          </cell>
          <cell r="E2837">
            <v>235.27</v>
          </cell>
          <cell r="F2837">
            <v>235.27</v>
          </cell>
        </row>
        <row r="2838">
          <cell r="A2838" t="str">
            <v>211203</v>
          </cell>
          <cell r="B2838" t="str">
            <v>Curva com pe 90o FD FF PN-10 DN100 conforme NBR7675</v>
          </cell>
          <cell r="C2838" t="str">
            <v>ud</v>
          </cell>
          <cell r="D2838">
            <v>0</v>
          </cell>
          <cell r="E2838">
            <v>269.87</v>
          </cell>
          <cell r="F2838">
            <v>269.87</v>
          </cell>
        </row>
        <row r="2839">
          <cell r="A2839" t="str">
            <v>211204</v>
          </cell>
          <cell r="B2839" t="str">
            <v>Curva com pe 90o FD FF PN-10 DN150 conforme NBR7675</v>
          </cell>
          <cell r="C2839" t="str">
            <v>ud</v>
          </cell>
          <cell r="D2839">
            <v>0</v>
          </cell>
          <cell r="E2839">
            <v>587.28</v>
          </cell>
          <cell r="F2839">
            <v>587.28</v>
          </cell>
        </row>
        <row r="2840">
          <cell r="A2840" t="str">
            <v>211205</v>
          </cell>
          <cell r="B2840" t="str">
            <v>Curva com pe 90o FD FF PN-10 DN200 conforme NBR7675</v>
          </cell>
          <cell r="C2840" t="str">
            <v>ud</v>
          </cell>
          <cell r="D2840">
            <v>0</v>
          </cell>
          <cell r="E2840">
            <v>907.01</v>
          </cell>
          <cell r="F2840">
            <v>907.01</v>
          </cell>
        </row>
        <row r="2841">
          <cell r="A2841" t="str">
            <v>211206</v>
          </cell>
          <cell r="B2841" t="str">
            <v>Curva com pe 90o FD FF PN-10 DN250 conforme NBR7675</v>
          </cell>
          <cell r="C2841" t="str">
            <v>ud</v>
          </cell>
          <cell r="D2841">
            <v>0</v>
          </cell>
          <cell r="E2841">
            <v>1386.62</v>
          </cell>
          <cell r="F2841">
            <v>1386.62</v>
          </cell>
        </row>
        <row r="2842">
          <cell r="A2842" t="str">
            <v>211207</v>
          </cell>
          <cell r="B2842" t="str">
            <v>Curva com pe 90o FD FF PN-10 DN300 conforme NBR7675</v>
          </cell>
          <cell r="C2842" t="str">
            <v>ud</v>
          </cell>
          <cell r="D2842">
            <v>0</v>
          </cell>
          <cell r="E2842">
            <v>1990.21</v>
          </cell>
          <cell r="F2842">
            <v>1990.21</v>
          </cell>
        </row>
        <row r="2843">
          <cell r="A2843" t="str">
            <v>211208</v>
          </cell>
          <cell r="B2843" t="str">
            <v>Curva com pe 90o FD FF PN-10 DN350 conforme NBR7675</v>
          </cell>
          <cell r="C2843" t="str">
            <v>ud</v>
          </cell>
          <cell r="D2843">
            <v>0</v>
          </cell>
          <cell r="E2843">
            <v>2144.9299999999998</v>
          </cell>
          <cell r="F2843">
            <v>2144.9299999999998</v>
          </cell>
        </row>
        <row r="2844">
          <cell r="A2844" t="str">
            <v>211209</v>
          </cell>
          <cell r="B2844" t="str">
            <v>Curva com pe 90o FD FF PN-10 DN400 conforme NBR7675</v>
          </cell>
          <cell r="C2844" t="str">
            <v>ud</v>
          </cell>
          <cell r="D2844">
            <v>0</v>
          </cell>
          <cell r="E2844">
            <v>2740.63</v>
          </cell>
          <cell r="F2844">
            <v>2740.63</v>
          </cell>
        </row>
        <row r="2845">
          <cell r="A2845" t="str">
            <v>211210</v>
          </cell>
          <cell r="B2845" t="str">
            <v>Curva com pe 90o FD FF PN-10 DN450 conforme NBR7675</v>
          </cell>
          <cell r="C2845" t="str">
            <v>ud</v>
          </cell>
          <cell r="D2845">
            <v>0</v>
          </cell>
        </row>
        <row r="2846">
          <cell r="A2846" t="str">
            <v>211211</v>
          </cell>
          <cell r="B2846" t="str">
            <v>Curva com pe 90o FD FF PN-10 DN500 conforme NBR7675</v>
          </cell>
          <cell r="C2846" t="str">
            <v>ud</v>
          </cell>
          <cell r="D2846">
            <v>0</v>
          </cell>
          <cell r="E2846">
            <v>4428.3</v>
          </cell>
          <cell r="F2846">
            <v>4428.3</v>
          </cell>
        </row>
        <row r="2847">
          <cell r="A2847" t="str">
            <v>211212</v>
          </cell>
          <cell r="B2847" t="str">
            <v>Curva com pe 90o FD FF PN-10 DN600 conforme NBR7675</v>
          </cell>
          <cell r="C2847" t="str">
            <v>ud</v>
          </cell>
          <cell r="D2847">
            <v>0</v>
          </cell>
          <cell r="E2847">
            <v>5500.74</v>
          </cell>
          <cell r="F2847">
            <v>5500.74</v>
          </cell>
        </row>
        <row r="2848">
          <cell r="A2848" t="str">
            <v>211213</v>
          </cell>
          <cell r="B2848" t="str">
            <v>Curva com pe 90o FD FF PN-16 DN50 conforme NBR7675</v>
          </cell>
          <cell r="C2848" t="str">
            <v>ud</v>
          </cell>
          <cell r="D2848">
            <v>0</v>
          </cell>
          <cell r="E2848">
            <v>193.75</v>
          </cell>
          <cell r="F2848">
            <v>193.75</v>
          </cell>
        </row>
        <row r="2849">
          <cell r="A2849" t="str">
            <v>211214</v>
          </cell>
          <cell r="B2849" t="str">
            <v>Curva com pe 90o FD FF PN-16 DN75/80 conforme NBR7675</v>
          </cell>
          <cell r="C2849" t="str">
            <v>ud</v>
          </cell>
          <cell r="D2849">
            <v>0</v>
          </cell>
          <cell r="E2849">
            <v>235.27</v>
          </cell>
          <cell r="F2849">
            <v>235.27</v>
          </cell>
        </row>
        <row r="2850">
          <cell r="A2850" t="str">
            <v>211215</v>
          </cell>
          <cell r="B2850" t="str">
            <v>Curva com pe 90o FD FF PN-16 DN100 conforme NBR7675</v>
          </cell>
          <cell r="C2850" t="str">
            <v>ud</v>
          </cell>
          <cell r="D2850">
            <v>0</v>
          </cell>
          <cell r="E2850">
            <v>269.87</v>
          </cell>
          <cell r="F2850">
            <v>269.87</v>
          </cell>
        </row>
        <row r="2851">
          <cell r="A2851" t="str">
            <v>211216</v>
          </cell>
          <cell r="B2851" t="str">
            <v>Curva com pe 90o FD FF PN-16 DN150 conforme NBR7675</v>
          </cell>
          <cell r="C2851" t="str">
            <v>ud</v>
          </cell>
          <cell r="D2851">
            <v>0</v>
          </cell>
          <cell r="E2851">
            <v>587.28</v>
          </cell>
          <cell r="F2851">
            <v>587.28</v>
          </cell>
        </row>
        <row r="2852">
          <cell r="A2852" t="str">
            <v>211217</v>
          </cell>
          <cell r="B2852" t="str">
            <v>Curva com pe 90o FD FF PN-16 DN200 conforme NBR7675</v>
          </cell>
          <cell r="C2852" t="str">
            <v>ud</v>
          </cell>
          <cell r="D2852">
            <v>0</v>
          </cell>
          <cell r="E2852">
            <v>907.01</v>
          </cell>
          <cell r="F2852">
            <v>907.01</v>
          </cell>
        </row>
        <row r="2853">
          <cell r="A2853" t="str">
            <v>211218</v>
          </cell>
          <cell r="B2853" t="str">
            <v>Curva com pe 90o FD FF PN-16 DN250 conforme NBR7675</v>
          </cell>
          <cell r="C2853" t="str">
            <v>ud</v>
          </cell>
          <cell r="D2853">
            <v>0</v>
          </cell>
          <cell r="E2853">
            <v>1386.62</v>
          </cell>
          <cell r="F2853">
            <v>1386.62</v>
          </cell>
        </row>
        <row r="2854">
          <cell r="A2854" t="str">
            <v>211219</v>
          </cell>
          <cell r="B2854" t="str">
            <v>Curva com pe 90o FD FF PN-16 DN300 conforme NBR7675</v>
          </cell>
          <cell r="C2854" t="str">
            <v>ud</v>
          </cell>
          <cell r="D2854">
            <v>0</v>
          </cell>
          <cell r="E2854">
            <v>1990.21</v>
          </cell>
          <cell r="F2854">
            <v>1990.21</v>
          </cell>
        </row>
        <row r="2855">
          <cell r="A2855" t="str">
            <v>211220</v>
          </cell>
          <cell r="B2855" t="str">
            <v>Curva com pe 90o FD FF PN-16 DN350 conforme NBR7675</v>
          </cell>
          <cell r="C2855" t="str">
            <v>ud</v>
          </cell>
          <cell r="D2855">
            <v>0</v>
          </cell>
          <cell r="E2855">
            <v>2144.9299999999998</v>
          </cell>
          <cell r="F2855">
            <v>2144.9299999999998</v>
          </cell>
        </row>
        <row r="2856">
          <cell r="A2856" t="str">
            <v>211221</v>
          </cell>
          <cell r="B2856" t="str">
            <v>Curva com pe 90o FD FF PN-16 DN400 conforme NBR7675</v>
          </cell>
          <cell r="C2856" t="str">
            <v>ud</v>
          </cell>
          <cell r="D2856">
            <v>0</v>
          </cell>
          <cell r="E2856">
            <v>2740.63</v>
          </cell>
          <cell r="F2856">
            <v>2740.63</v>
          </cell>
        </row>
        <row r="2857">
          <cell r="A2857" t="str">
            <v>211222</v>
          </cell>
          <cell r="B2857" t="str">
            <v>Curva com pe 90o FD FF PN-16 DN450 conforme NBR7675</v>
          </cell>
          <cell r="C2857" t="str">
            <v>ud</v>
          </cell>
          <cell r="D2857">
            <v>0</v>
          </cell>
        </row>
        <row r="2858">
          <cell r="A2858" t="str">
            <v>211223</v>
          </cell>
          <cell r="B2858" t="str">
            <v>Curva com pe 90o FD FF PN-16 DN500 conforme NBR7675</v>
          </cell>
          <cell r="C2858" t="str">
            <v>ud</v>
          </cell>
          <cell r="D2858">
            <v>0</v>
          </cell>
          <cell r="E2858">
            <v>4428.3</v>
          </cell>
          <cell r="F2858">
            <v>4428.3</v>
          </cell>
        </row>
        <row r="2859">
          <cell r="A2859" t="str">
            <v>211224</v>
          </cell>
          <cell r="B2859" t="str">
            <v>Curva com pe 90o FD FF PN-16 DN600 conforme NBR7675</v>
          </cell>
          <cell r="C2859" t="str">
            <v>ud</v>
          </cell>
          <cell r="D2859">
            <v>0</v>
          </cell>
          <cell r="E2859">
            <v>5500.74</v>
          </cell>
          <cell r="F2859">
            <v>5500.74</v>
          </cell>
        </row>
        <row r="2860">
          <cell r="A2860" t="str">
            <v>211225</v>
          </cell>
          <cell r="B2860" t="str">
            <v>Curva com pe 90o FD FF PN-25 DN50 conforme NBR7675</v>
          </cell>
          <cell r="C2860" t="str">
            <v>ud</v>
          </cell>
          <cell r="D2860">
            <v>0</v>
          </cell>
        </row>
        <row r="2861">
          <cell r="A2861" t="str">
            <v>211226</v>
          </cell>
          <cell r="B2861" t="str">
            <v>Curva com pe 90o FD FF PN-25 DN75/80 conforme NBR7675</v>
          </cell>
          <cell r="C2861" t="str">
            <v>ud</v>
          </cell>
          <cell r="D2861">
            <v>0</v>
          </cell>
        </row>
        <row r="2862">
          <cell r="A2862" t="str">
            <v>211227</v>
          </cell>
          <cell r="B2862" t="str">
            <v>Curva com pe 90o FD FF PN-25 DN100 conforme NBR7675</v>
          </cell>
          <cell r="C2862" t="str">
            <v>ud</v>
          </cell>
          <cell r="D2862">
            <v>0</v>
          </cell>
        </row>
        <row r="2863">
          <cell r="A2863" t="str">
            <v>211228</v>
          </cell>
          <cell r="B2863" t="str">
            <v>Curva com pe 90o FD FF PN-25 DN150 conforme NBR7675 (136042)</v>
          </cell>
          <cell r="C2863" t="str">
            <v>ud</v>
          </cell>
          <cell r="D2863">
            <v>0</v>
          </cell>
        </row>
        <row r="2864">
          <cell r="A2864" t="str">
            <v>211229</v>
          </cell>
          <cell r="B2864" t="str">
            <v>Curva com pe 90o FD FF PN-25 DN200 conforme NBR7675</v>
          </cell>
          <cell r="C2864" t="str">
            <v>ud</v>
          </cell>
          <cell r="D2864">
            <v>0</v>
          </cell>
        </row>
        <row r="2865">
          <cell r="A2865" t="str">
            <v>211230</v>
          </cell>
          <cell r="B2865" t="str">
            <v>Curva com pe 90o FD FF PN-25 DN250 conforme NBR7675</v>
          </cell>
          <cell r="C2865" t="str">
            <v>ud</v>
          </cell>
          <cell r="D2865">
            <v>0</v>
          </cell>
        </row>
        <row r="2866">
          <cell r="A2866" t="str">
            <v>211231</v>
          </cell>
          <cell r="B2866" t="str">
            <v>Curva com pe 90o FD FF PN-25 DN300 conforme NBR7675</v>
          </cell>
          <cell r="C2866" t="str">
            <v>ud</v>
          </cell>
          <cell r="D2866">
            <v>0</v>
          </cell>
        </row>
        <row r="2867">
          <cell r="A2867" t="str">
            <v>211232</v>
          </cell>
          <cell r="B2867" t="str">
            <v>Curva com pe 90o FD FF PN-25 DN350 conforme NBR7675</v>
          </cell>
          <cell r="C2867" t="str">
            <v>ud</v>
          </cell>
          <cell r="D2867">
            <v>0</v>
          </cell>
        </row>
        <row r="2868">
          <cell r="A2868" t="str">
            <v>211233</v>
          </cell>
          <cell r="B2868" t="str">
            <v>Curva com pe 90o FD FF PN-25 DN400 conforme NBR7675</v>
          </cell>
          <cell r="C2868" t="str">
            <v>ud</v>
          </cell>
          <cell r="D2868">
            <v>0</v>
          </cell>
        </row>
        <row r="2869">
          <cell r="A2869" t="str">
            <v>211234</v>
          </cell>
          <cell r="B2869" t="str">
            <v>Curva com pe 90o FD FF PN-25 DN450 conforme NBR7675</v>
          </cell>
          <cell r="C2869" t="str">
            <v>ud</v>
          </cell>
          <cell r="D2869">
            <v>0</v>
          </cell>
        </row>
        <row r="2870">
          <cell r="A2870" t="str">
            <v>211235</v>
          </cell>
          <cell r="B2870" t="str">
            <v>Curva com pe 90o FD FF PN-25 DN500 conforme NBR7675</v>
          </cell>
          <cell r="C2870" t="str">
            <v>ud</v>
          </cell>
          <cell r="D2870">
            <v>0</v>
          </cell>
        </row>
        <row r="2871">
          <cell r="A2871" t="str">
            <v>211236</v>
          </cell>
          <cell r="B2871" t="str">
            <v>Curva com pe 90o FD FF PN-25 DN600 conforme NBR7675</v>
          </cell>
          <cell r="C2871" t="str">
            <v>ud</v>
          </cell>
          <cell r="D2871">
            <v>0</v>
          </cell>
        </row>
        <row r="2872">
          <cell r="A2872" t="str">
            <v>2113</v>
          </cell>
          <cell r="B2872" t="str">
            <v>CURVA FD JUNTA MECÂNICA</v>
          </cell>
        </row>
        <row r="2873">
          <cell r="A2873" t="str">
            <v>211301</v>
          </cell>
          <cell r="B2873" t="str">
            <v xml:space="preserve">Curva FD JM 11º 15'  DN   50 </v>
          </cell>
          <cell r="C2873" t="str">
            <v>ud</v>
          </cell>
          <cell r="D2873">
            <v>0</v>
          </cell>
        </row>
        <row r="2874">
          <cell r="A2874" t="str">
            <v>211302</v>
          </cell>
          <cell r="B2874" t="str">
            <v>Curva FD JM 11º 15'  DN   75/80</v>
          </cell>
          <cell r="C2874" t="str">
            <v>ud</v>
          </cell>
          <cell r="D2874">
            <v>0</v>
          </cell>
        </row>
        <row r="2875">
          <cell r="A2875" t="str">
            <v>211303</v>
          </cell>
          <cell r="B2875" t="str">
            <v xml:space="preserve">Curva FD JM 11º 15'  DN  100 </v>
          </cell>
          <cell r="C2875" t="str">
            <v>ud</v>
          </cell>
          <cell r="D2875">
            <v>0</v>
          </cell>
        </row>
        <row r="2876">
          <cell r="A2876" t="str">
            <v>211304</v>
          </cell>
          <cell r="B2876" t="str">
            <v xml:space="preserve">Curva FD JM 11º 15'  DN  150 </v>
          </cell>
          <cell r="C2876" t="str">
            <v>ud</v>
          </cell>
          <cell r="D2876">
            <v>0</v>
          </cell>
        </row>
        <row r="2877">
          <cell r="A2877" t="str">
            <v>211305</v>
          </cell>
          <cell r="B2877" t="str">
            <v xml:space="preserve">Curva FD JM 11º 15'  DN  200 </v>
          </cell>
          <cell r="C2877" t="str">
            <v>ud</v>
          </cell>
          <cell r="D2877">
            <v>0</v>
          </cell>
        </row>
        <row r="2878">
          <cell r="A2878" t="str">
            <v>211306</v>
          </cell>
          <cell r="B2878" t="str">
            <v xml:space="preserve">Curva FD JM 11º 15'  DN  250 </v>
          </cell>
          <cell r="C2878" t="str">
            <v>ud</v>
          </cell>
          <cell r="D2878">
            <v>0</v>
          </cell>
        </row>
        <row r="2879">
          <cell r="A2879" t="str">
            <v>211307</v>
          </cell>
          <cell r="B2879" t="str">
            <v xml:space="preserve">Curva FD JM 11º 15'  DN  300 </v>
          </cell>
          <cell r="C2879" t="str">
            <v>ud</v>
          </cell>
          <cell r="D2879">
            <v>0</v>
          </cell>
          <cell r="E2879">
            <v>1335.43</v>
          </cell>
          <cell r="F2879">
            <v>1335.43</v>
          </cell>
        </row>
        <row r="2880">
          <cell r="A2880" t="str">
            <v>211308</v>
          </cell>
          <cell r="B2880" t="str">
            <v>Curva FD JM 11º 15'  DN  350 (4030)</v>
          </cell>
          <cell r="C2880" t="str">
            <v>ud</v>
          </cell>
          <cell r="D2880">
            <v>0</v>
          </cell>
        </row>
        <row r="2881">
          <cell r="A2881" t="str">
            <v>211309</v>
          </cell>
          <cell r="B2881" t="str">
            <v>Curva FD JM 11º 15'  DN  400 (4073)</v>
          </cell>
          <cell r="C2881" t="str">
            <v>ud</v>
          </cell>
          <cell r="D2881">
            <v>0</v>
          </cell>
        </row>
        <row r="2882">
          <cell r="A2882" t="str">
            <v>211310</v>
          </cell>
          <cell r="B2882" t="str">
            <v>Curva FD JM 11º 15'  DN  450 (4111)</v>
          </cell>
          <cell r="C2882" t="str">
            <v>ud</v>
          </cell>
          <cell r="D2882">
            <v>0</v>
          </cell>
        </row>
        <row r="2883">
          <cell r="A2883" t="str">
            <v>211311</v>
          </cell>
          <cell r="B2883" t="str">
            <v xml:space="preserve">Curva FD JM 11º 15'  DN  500 </v>
          </cell>
          <cell r="C2883" t="str">
            <v>ud</v>
          </cell>
          <cell r="D2883">
            <v>0</v>
          </cell>
          <cell r="E2883">
            <v>3037.53</v>
          </cell>
          <cell r="F2883">
            <v>3037.53</v>
          </cell>
        </row>
        <row r="2884">
          <cell r="A2884" t="str">
            <v>211312</v>
          </cell>
          <cell r="B2884" t="str">
            <v xml:space="preserve">Curva FD JM 11º 15'  DN  600 </v>
          </cell>
          <cell r="C2884" t="str">
            <v>ud</v>
          </cell>
          <cell r="D2884">
            <v>0</v>
          </cell>
        </row>
        <row r="2885">
          <cell r="A2885" t="str">
            <v>211313</v>
          </cell>
          <cell r="B2885" t="str">
            <v>Curva FD JM 11º 15'  DN  700 (4189)</v>
          </cell>
          <cell r="C2885" t="str">
            <v>ud</v>
          </cell>
          <cell r="D2885">
            <v>0</v>
          </cell>
        </row>
        <row r="2886">
          <cell r="A2886" t="str">
            <v>211314</v>
          </cell>
          <cell r="B2886" t="str">
            <v>Curva FD JM 11º 15'  DN  800 (59552)</v>
          </cell>
          <cell r="C2886" t="str">
            <v>ud</v>
          </cell>
          <cell r="D2886">
            <v>0</v>
          </cell>
        </row>
        <row r="2887">
          <cell r="A2887" t="str">
            <v>211315</v>
          </cell>
          <cell r="B2887" t="str">
            <v>Curva FD JM 11º 15'  DN  900 (133124)</v>
          </cell>
          <cell r="C2887" t="str">
            <v>ud</v>
          </cell>
          <cell r="D2887">
            <v>0</v>
          </cell>
        </row>
        <row r="2888">
          <cell r="A2888" t="str">
            <v>211316</v>
          </cell>
          <cell r="B2888" t="str">
            <v xml:space="preserve">Curva FD JM 11º 15'  DN 1000 </v>
          </cell>
          <cell r="C2888" t="str">
            <v>ud</v>
          </cell>
          <cell r="D2888">
            <v>0</v>
          </cell>
        </row>
        <row r="2889">
          <cell r="A2889" t="str">
            <v>211317</v>
          </cell>
          <cell r="B2889" t="str">
            <v xml:space="preserve">Curva FD JM 11º 15'  DN 1100 </v>
          </cell>
          <cell r="C2889" t="str">
            <v>ud</v>
          </cell>
          <cell r="D2889">
            <v>0</v>
          </cell>
        </row>
        <row r="2890">
          <cell r="A2890" t="str">
            <v>211318</v>
          </cell>
          <cell r="B2890" t="str">
            <v xml:space="preserve">Curva FD JM 11º 15'  DN 1200 </v>
          </cell>
          <cell r="C2890" t="str">
            <v>ud</v>
          </cell>
          <cell r="D2890">
            <v>0</v>
          </cell>
        </row>
        <row r="2891">
          <cell r="A2891" t="str">
            <v>211319</v>
          </cell>
          <cell r="B2891" t="str">
            <v xml:space="preserve">Curva FD JM 22º 30'  DN   50 </v>
          </cell>
          <cell r="C2891" t="str">
            <v>ud</v>
          </cell>
          <cell r="D2891">
            <v>0</v>
          </cell>
        </row>
        <row r="2892">
          <cell r="A2892" t="str">
            <v>211320</v>
          </cell>
          <cell r="B2892" t="str">
            <v>Curva FD JM 22º 30'  DN   75/80</v>
          </cell>
          <cell r="C2892" t="str">
            <v>ud</v>
          </cell>
          <cell r="D2892">
            <v>0</v>
          </cell>
        </row>
        <row r="2893">
          <cell r="A2893" t="str">
            <v>211321</v>
          </cell>
          <cell r="B2893" t="str">
            <v xml:space="preserve">Curva FD JM 22º 30'  DN  100 </v>
          </cell>
          <cell r="C2893" t="str">
            <v>ud</v>
          </cell>
          <cell r="D2893">
            <v>0</v>
          </cell>
        </row>
        <row r="2894">
          <cell r="A2894" t="str">
            <v>211322</v>
          </cell>
          <cell r="B2894" t="str">
            <v xml:space="preserve">Curva FD JM 22º 30'  DN  150 </v>
          </cell>
          <cell r="C2894" t="str">
            <v>ud</v>
          </cell>
          <cell r="D2894">
            <v>0</v>
          </cell>
        </row>
        <row r="2895">
          <cell r="A2895" t="str">
            <v>211323</v>
          </cell>
          <cell r="B2895" t="str">
            <v xml:space="preserve">Curva FD JM 22º 30'  DN  200 </v>
          </cell>
          <cell r="C2895" t="str">
            <v>ud</v>
          </cell>
          <cell r="D2895">
            <v>0</v>
          </cell>
        </row>
        <row r="2896">
          <cell r="A2896" t="str">
            <v>211324</v>
          </cell>
          <cell r="B2896" t="str">
            <v xml:space="preserve">Curva FD JM 22º 30'  DN  250 </v>
          </cell>
          <cell r="C2896" t="str">
            <v>ud</v>
          </cell>
          <cell r="D2896">
            <v>0</v>
          </cell>
        </row>
        <row r="2897">
          <cell r="A2897" t="str">
            <v>211325</v>
          </cell>
          <cell r="B2897" t="str">
            <v xml:space="preserve">Curva FD JM 22º 30'  DN  300 </v>
          </cell>
          <cell r="C2897" t="str">
            <v>ud</v>
          </cell>
          <cell r="D2897">
            <v>0</v>
          </cell>
        </row>
        <row r="2898">
          <cell r="A2898" t="str">
            <v>211326</v>
          </cell>
          <cell r="B2898" t="str">
            <v xml:space="preserve">Curva FD JM 22º 30'  DN  350 </v>
          </cell>
          <cell r="C2898" t="str">
            <v>ud</v>
          </cell>
          <cell r="D2898">
            <v>0</v>
          </cell>
        </row>
        <row r="2899">
          <cell r="A2899" t="str">
            <v>211327</v>
          </cell>
          <cell r="B2899" t="str">
            <v>Curva FD JM 22º 30'  DN  400 (4367)</v>
          </cell>
          <cell r="C2899" t="str">
            <v>ud</v>
          </cell>
          <cell r="D2899">
            <v>0</v>
          </cell>
        </row>
        <row r="2900">
          <cell r="A2900" t="str">
            <v>211328</v>
          </cell>
          <cell r="B2900" t="str">
            <v xml:space="preserve">Curva FD JM 22º 30'  DN  450 </v>
          </cell>
          <cell r="C2900" t="str">
            <v>ud</v>
          </cell>
          <cell r="D2900">
            <v>0</v>
          </cell>
        </row>
        <row r="2901">
          <cell r="A2901" t="str">
            <v>211329</v>
          </cell>
          <cell r="B2901" t="str">
            <v>Curva FD JM 22º 30'  DN  500 (4448)</v>
          </cell>
          <cell r="C2901" t="str">
            <v>ud</v>
          </cell>
          <cell r="D2901">
            <v>0</v>
          </cell>
        </row>
        <row r="2902">
          <cell r="A2902" t="str">
            <v>211330</v>
          </cell>
          <cell r="B2902" t="str">
            <v xml:space="preserve">Curva FD JM 22º 30'  DN  600 </v>
          </cell>
          <cell r="C2902" t="str">
            <v>ud</v>
          </cell>
          <cell r="D2902">
            <v>0</v>
          </cell>
        </row>
        <row r="2903">
          <cell r="A2903" t="str">
            <v>211331</v>
          </cell>
          <cell r="B2903" t="str">
            <v>Curva FD JM 22º 30'  DN  700 (4464)</v>
          </cell>
          <cell r="C2903" t="str">
            <v>ud</v>
          </cell>
          <cell r="D2903">
            <v>0</v>
          </cell>
        </row>
        <row r="2904">
          <cell r="A2904" t="str">
            <v>211332</v>
          </cell>
          <cell r="B2904" t="str">
            <v>Curva FD JM 22º 30'  DN  800 (38695)</v>
          </cell>
          <cell r="C2904" t="str">
            <v>ud</v>
          </cell>
          <cell r="D2904">
            <v>0</v>
          </cell>
        </row>
        <row r="2905">
          <cell r="A2905" t="str">
            <v>211333</v>
          </cell>
          <cell r="B2905" t="str">
            <v>Curva FD JM 22º 30'  DN  900 (133116)</v>
          </cell>
          <cell r="C2905" t="str">
            <v>ud</v>
          </cell>
          <cell r="D2905">
            <v>0</v>
          </cell>
        </row>
        <row r="2906">
          <cell r="A2906" t="str">
            <v>211334</v>
          </cell>
          <cell r="B2906" t="str">
            <v xml:space="preserve">Curva FD JM 22º 30'  DN 1000 </v>
          </cell>
          <cell r="C2906" t="str">
            <v>ud</v>
          </cell>
          <cell r="D2906">
            <v>0</v>
          </cell>
        </row>
        <row r="2907">
          <cell r="A2907" t="str">
            <v>211335</v>
          </cell>
          <cell r="B2907" t="str">
            <v xml:space="preserve">Curva FD JM 22º 30'  DN 1100 </v>
          </cell>
          <cell r="C2907" t="str">
            <v>ud</v>
          </cell>
          <cell r="D2907">
            <v>0</v>
          </cell>
        </row>
        <row r="2908">
          <cell r="A2908" t="str">
            <v>211336</v>
          </cell>
          <cell r="B2908" t="str">
            <v xml:space="preserve">Curva FD JM 22º 30'  DN 1200 </v>
          </cell>
          <cell r="C2908" t="str">
            <v>ud</v>
          </cell>
          <cell r="D2908">
            <v>0</v>
          </cell>
        </row>
        <row r="2909">
          <cell r="A2909" t="str">
            <v>211337</v>
          </cell>
          <cell r="B2909" t="str">
            <v xml:space="preserve">Curva FD JM 45º  DN   50 </v>
          </cell>
          <cell r="C2909" t="str">
            <v>ud</v>
          </cell>
          <cell r="D2909">
            <v>0</v>
          </cell>
        </row>
        <row r="2910">
          <cell r="A2910" t="str">
            <v>211338</v>
          </cell>
          <cell r="B2910" t="str">
            <v>Curva FD JM 45º  DN   75/80</v>
          </cell>
          <cell r="C2910" t="str">
            <v>ud</v>
          </cell>
          <cell r="D2910">
            <v>0</v>
          </cell>
        </row>
        <row r="2911">
          <cell r="A2911" t="str">
            <v>211339</v>
          </cell>
          <cell r="B2911" t="str">
            <v xml:space="preserve">Curva FD JM 45º  DN  100 </v>
          </cell>
          <cell r="C2911" t="str">
            <v>ud</v>
          </cell>
          <cell r="D2911">
            <v>0</v>
          </cell>
        </row>
        <row r="2912">
          <cell r="A2912" t="str">
            <v>211340</v>
          </cell>
          <cell r="B2912" t="str">
            <v xml:space="preserve">Curva FD JM 45º  DN  150 </v>
          </cell>
          <cell r="C2912" t="str">
            <v>ud</v>
          </cell>
          <cell r="D2912">
            <v>0</v>
          </cell>
        </row>
        <row r="2913">
          <cell r="A2913" t="str">
            <v>211341</v>
          </cell>
          <cell r="B2913" t="str">
            <v xml:space="preserve">Curva FD JM 45º  DN  200 </v>
          </cell>
          <cell r="C2913" t="str">
            <v>ud</v>
          </cell>
          <cell r="D2913">
            <v>0</v>
          </cell>
        </row>
        <row r="2914">
          <cell r="A2914" t="str">
            <v>211342</v>
          </cell>
          <cell r="B2914" t="str">
            <v xml:space="preserve">Curva FD JM 45º  DN  250 </v>
          </cell>
          <cell r="C2914" t="str">
            <v>ud</v>
          </cell>
          <cell r="D2914">
            <v>0</v>
          </cell>
        </row>
        <row r="2915">
          <cell r="A2915" t="str">
            <v>211343</v>
          </cell>
          <cell r="B2915" t="str">
            <v xml:space="preserve">Curva FD JM 45º  DN  300 </v>
          </cell>
          <cell r="C2915" t="str">
            <v>ud</v>
          </cell>
          <cell r="D2915">
            <v>0</v>
          </cell>
          <cell r="E2915">
            <v>1556.82</v>
          </cell>
          <cell r="F2915">
            <v>1556.82</v>
          </cell>
        </row>
        <row r="2916">
          <cell r="A2916" t="str">
            <v>211344</v>
          </cell>
          <cell r="B2916" t="str">
            <v xml:space="preserve">Curva FD JM 45º  DN  350 </v>
          </cell>
          <cell r="C2916" t="str">
            <v>ud</v>
          </cell>
          <cell r="D2916">
            <v>0</v>
          </cell>
        </row>
        <row r="2917">
          <cell r="A2917" t="str">
            <v>211345</v>
          </cell>
          <cell r="B2917" t="str">
            <v xml:space="preserve">Curva FD JM 45º  DN  400 </v>
          </cell>
          <cell r="C2917" t="str">
            <v>ud</v>
          </cell>
          <cell r="D2917">
            <v>0</v>
          </cell>
          <cell r="E2917">
            <v>3019.3</v>
          </cell>
          <cell r="F2917">
            <v>3019.3</v>
          </cell>
        </row>
        <row r="2918">
          <cell r="A2918" t="str">
            <v>211346</v>
          </cell>
          <cell r="B2918" t="str">
            <v xml:space="preserve">Curva FD JM 45º  DN  450 </v>
          </cell>
          <cell r="C2918" t="str">
            <v>ud</v>
          </cell>
          <cell r="D2918">
            <v>0</v>
          </cell>
        </row>
        <row r="2919">
          <cell r="A2919" t="str">
            <v>211347</v>
          </cell>
          <cell r="B2919" t="str">
            <v>Curva FD JM 45º  DN  500 (4774)</v>
          </cell>
          <cell r="C2919" t="str">
            <v>ud</v>
          </cell>
          <cell r="D2919">
            <v>0</v>
          </cell>
        </row>
        <row r="2920">
          <cell r="A2920" t="str">
            <v>211348</v>
          </cell>
          <cell r="B2920" t="str">
            <v>Curva FD JM 45º  DN  600 (4812)</v>
          </cell>
          <cell r="C2920" t="str">
            <v>ud</v>
          </cell>
          <cell r="D2920">
            <v>0</v>
          </cell>
        </row>
        <row r="2921">
          <cell r="A2921" t="str">
            <v>211349</v>
          </cell>
          <cell r="B2921" t="str">
            <v>Curva FD JM 45º  DN  700 (4839)</v>
          </cell>
          <cell r="C2921" t="str">
            <v>ud</v>
          </cell>
          <cell r="D2921">
            <v>0</v>
          </cell>
        </row>
        <row r="2922">
          <cell r="A2922" t="str">
            <v>211350</v>
          </cell>
          <cell r="B2922" t="str">
            <v>Curva FD JM 45º  DN  800 (4839)</v>
          </cell>
          <cell r="C2922" t="str">
            <v>ud</v>
          </cell>
          <cell r="D2922">
            <v>0</v>
          </cell>
        </row>
        <row r="2923">
          <cell r="A2923" t="str">
            <v>211351</v>
          </cell>
          <cell r="B2923" t="str">
            <v xml:space="preserve">Curva FD JM 45º  DN  900 </v>
          </cell>
          <cell r="C2923" t="str">
            <v>ud</v>
          </cell>
          <cell r="D2923">
            <v>0</v>
          </cell>
        </row>
        <row r="2924">
          <cell r="A2924" t="str">
            <v>211352</v>
          </cell>
          <cell r="B2924" t="str">
            <v>Curva FD JM 45º  DN 1000 (94935)</v>
          </cell>
          <cell r="C2924" t="str">
            <v>ud</v>
          </cell>
          <cell r="D2924">
            <v>0</v>
          </cell>
        </row>
        <row r="2925">
          <cell r="A2925" t="str">
            <v>211353</v>
          </cell>
          <cell r="B2925" t="str">
            <v xml:space="preserve">Curva FD JM 45º  DN 1100 </v>
          </cell>
          <cell r="C2925" t="str">
            <v>ud</v>
          </cell>
          <cell r="D2925">
            <v>0</v>
          </cell>
        </row>
        <row r="2926">
          <cell r="A2926" t="str">
            <v>211354</v>
          </cell>
          <cell r="B2926" t="str">
            <v>Curva FD JM 45º  DN 1200 (133108)</v>
          </cell>
          <cell r="C2926" t="str">
            <v>ud</v>
          </cell>
          <cell r="D2926">
            <v>0</v>
          </cell>
        </row>
        <row r="2927">
          <cell r="A2927" t="str">
            <v>211355</v>
          </cell>
          <cell r="B2927" t="str">
            <v xml:space="preserve">Curva FD JM 90º  DN   50 </v>
          </cell>
          <cell r="C2927" t="str">
            <v>ud</v>
          </cell>
          <cell r="D2927">
            <v>0</v>
          </cell>
        </row>
        <row r="2928">
          <cell r="A2928" t="str">
            <v>211356</v>
          </cell>
          <cell r="B2928" t="str">
            <v>Curva FD JM 90º  DN   75/80</v>
          </cell>
          <cell r="C2928" t="str">
            <v>ud</v>
          </cell>
          <cell r="D2928">
            <v>0</v>
          </cell>
        </row>
        <row r="2929">
          <cell r="A2929" t="str">
            <v>211357</v>
          </cell>
          <cell r="B2929" t="str">
            <v xml:space="preserve">Curva FD JM 90º  DN  100 </v>
          </cell>
          <cell r="C2929" t="str">
            <v>ud</v>
          </cell>
          <cell r="D2929">
            <v>0</v>
          </cell>
        </row>
        <row r="2930">
          <cell r="A2930" t="str">
            <v>211358</v>
          </cell>
          <cell r="B2930" t="str">
            <v xml:space="preserve">Curva FD JM 90º  DN  150 </v>
          </cell>
          <cell r="C2930" t="str">
            <v>ud</v>
          </cell>
          <cell r="D2930">
            <v>0</v>
          </cell>
        </row>
        <row r="2931">
          <cell r="A2931" t="str">
            <v>211359</v>
          </cell>
          <cell r="B2931" t="str">
            <v xml:space="preserve">Curva FD JM 90º  DN  200 </v>
          </cell>
          <cell r="C2931" t="str">
            <v>ud</v>
          </cell>
          <cell r="D2931">
            <v>0</v>
          </cell>
        </row>
        <row r="2932">
          <cell r="A2932" t="str">
            <v>211360</v>
          </cell>
          <cell r="B2932" t="str">
            <v xml:space="preserve">Curva FD JM 90º  DN  250 </v>
          </cell>
          <cell r="C2932" t="str">
            <v>ud</v>
          </cell>
          <cell r="D2932">
            <v>0</v>
          </cell>
        </row>
        <row r="2933">
          <cell r="A2933" t="str">
            <v>211361</v>
          </cell>
          <cell r="B2933" t="str">
            <v>Curva FD JM 90º  DN  300 (50290</v>
          </cell>
          <cell r="C2933" t="str">
            <v>ud</v>
          </cell>
          <cell r="D2933">
            <v>0</v>
          </cell>
          <cell r="E2933">
            <v>1619.08</v>
          </cell>
          <cell r="F2933">
            <v>1619.08</v>
          </cell>
        </row>
        <row r="2934">
          <cell r="A2934" t="str">
            <v>211362</v>
          </cell>
          <cell r="B2934" t="str">
            <v xml:space="preserve">Curva FD JM 90º  DN  350 </v>
          </cell>
          <cell r="C2934" t="str">
            <v>ud</v>
          </cell>
          <cell r="D2934">
            <v>0</v>
          </cell>
        </row>
        <row r="2935">
          <cell r="A2935" t="str">
            <v>211363</v>
          </cell>
          <cell r="B2935" t="str">
            <v>Curva FD JM 90º  DN  400 (5142)</v>
          </cell>
          <cell r="C2935" t="str">
            <v>ud</v>
          </cell>
          <cell r="D2935">
            <v>0</v>
          </cell>
          <cell r="E2935">
            <v>3629.12</v>
          </cell>
          <cell r="F2935">
            <v>3629.12</v>
          </cell>
        </row>
        <row r="2936">
          <cell r="A2936" t="str">
            <v>211364</v>
          </cell>
          <cell r="B2936" t="str">
            <v xml:space="preserve">Curva FD JM 90º  DN  450 </v>
          </cell>
          <cell r="C2936" t="str">
            <v>ud</v>
          </cell>
          <cell r="D2936">
            <v>0</v>
          </cell>
        </row>
        <row r="2937">
          <cell r="A2937" t="str">
            <v>211365</v>
          </cell>
          <cell r="B2937" t="str">
            <v>Curva FD JM 90º  DN  500 (61034)</v>
          </cell>
          <cell r="C2937" t="str">
            <v>ud</v>
          </cell>
          <cell r="D2937">
            <v>0</v>
          </cell>
        </row>
        <row r="2938">
          <cell r="A2938" t="str">
            <v>211366</v>
          </cell>
          <cell r="B2938" t="str">
            <v>Curva FD JM 90º  DN  600 (174726)</v>
          </cell>
          <cell r="C2938" t="str">
            <v>ud</v>
          </cell>
          <cell r="D2938">
            <v>0</v>
          </cell>
        </row>
        <row r="2939">
          <cell r="A2939" t="str">
            <v>211367</v>
          </cell>
          <cell r="B2939" t="str">
            <v xml:space="preserve">Curva FD JM 90º  DN  700 </v>
          </cell>
          <cell r="C2939" t="str">
            <v>ud</v>
          </cell>
          <cell r="D2939">
            <v>0</v>
          </cell>
        </row>
        <row r="2940">
          <cell r="A2940" t="str">
            <v>211368</v>
          </cell>
          <cell r="B2940" t="str">
            <v>Curva FD JM 90º  DN  800 (173916)</v>
          </cell>
          <cell r="C2940" t="str">
            <v>ud</v>
          </cell>
          <cell r="D2940">
            <v>0</v>
          </cell>
        </row>
        <row r="2941">
          <cell r="A2941" t="str">
            <v>211369</v>
          </cell>
          <cell r="B2941" t="str">
            <v xml:space="preserve">Curva FD JM 90º  DN  900 </v>
          </cell>
          <cell r="C2941" t="str">
            <v>ud</v>
          </cell>
          <cell r="D2941">
            <v>0</v>
          </cell>
        </row>
        <row r="2942">
          <cell r="A2942" t="str">
            <v>211370</v>
          </cell>
          <cell r="B2942" t="str">
            <v xml:space="preserve">Curva FD JM 90º  DN 1000 </v>
          </cell>
          <cell r="C2942" t="str">
            <v>ud</v>
          </cell>
          <cell r="D2942">
            <v>0</v>
          </cell>
        </row>
        <row r="2943">
          <cell r="A2943" t="str">
            <v>211371</v>
          </cell>
          <cell r="B2943" t="str">
            <v xml:space="preserve">Curva FD JM 90º  DN 1100 </v>
          </cell>
          <cell r="C2943" t="str">
            <v>ud</v>
          </cell>
          <cell r="D2943">
            <v>0</v>
          </cell>
        </row>
        <row r="2944">
          <cell r="A2944" t="str">
            <v>211372</v>
          </cell>
          <cell r="B2944" t="str">
            <v xml:space="preserve">Curva FD JM 90º  DN 1200 </v>
          </cell>
          <cell r="C2944" t="str">
            <v>ud</v>
          </cell>
          <cell r="D2944">
            <v>0</v>
          </cell>
        </row>
        <row r="2945">
          <cell r="A2945" t="str">
            <v>2114</v>
          </cell>
          <cell r="B2945" t="str">
            <v>EXTREMIDADE FD FLANGE / BOLSA</v>
          </cell>
        </row>
        <row r="2946">
          <cell r="A2946" t="str">
            <v>211401</v>
          </cell>
          <cell r="B2946" t="str">
            <v>Extremidade FD FB JE/JE2GS PN-10 DN50 conforme NBR7675</v>
          </cell>
          <cell r="C2946" t="str">
            <v>ud</v>
          </cell>
          <cell r="D2946">
            <v>0</v>
          </cell>
          <cell r="E2946">
            <v>110.72</v>
          </cell>
          <cell r="F2946">
            <v>110.72</v>
          </cell>
        </row>
        <row r="2947">
          <cell r="A2947" t="str">
            <v>211402</v>
          </cell>
          <cell r="B2947" t="str">
            <v>Extremidade FD FB JE/JE2GS PN-10 DN75/80 conforme NBR7675</v>
          </cell>
          <cell r="C2947" t="str">
            <v>ud</v>
          </cell>
          <cell r="D2947">
            <v>0</v>
          </cell>
          <cell r="E2947">
            <v>148.76</v>
          </cell>
          <cell r="F2947">
            <v>148.76</v>
          </cell>
        </row>
        <row r="2948">
          <cell r="A2948" t="str">
            <v>211403</v>
          </cell>
          <cell r="B2948" t="str">
            <v>Extremidade FD FB JE/JE2GS PN-10 DN100 conforme NBR7675</v>
          </cell>
          <cell r="C2948" t="str">
            <v>ud</v>
          </cell>
          <cell r="D2948">
            <v>0</v>
          </cell>
          <cell r="E2948">
            <v>176.46</v>
          </cell>
          <cell r="F2948">
            <v>176.46</v>
          </cell>
        </row>
        <row r="2949">
          <cell r="A2949" t="str">
            <v>211404</v>
          </cell>
          <cell r="B2949" t="str">
            <v>Extremidade FD FB JE/JE2GS PN-10 DN150 conforme NBR7675</v>
          </cell>
          <cell r="C2949" t="str">
            <v>ud</v>
          </cell>
          <cell r="D2949">
            <v>0</v>
          </cell>
          <cell r="E2949">
            <v>231.11</v>
          </cell>
          <cell r="F2949">
            <v>231.11</v>
          </cell>
        </row>
        <row r="2950">
          <cell r="A2950" t="str">
            <v>211405</v>
          </cell>
          <cell r="B2950" t="str">
            <v>Extremidade FD FB JE/JE2GS PN-10 DN200 conforme NBR7675 (16624)</v>
          </cell>
          <cell r="C2950" t="str">
            <v>ud</v>
          </cell>
          <cell r="D2950">
            <v>0</v>
          </cell>
          <cell r="E2950">
            <v>312.67</v>
          </cell>
          <cell r="F2950">
            <v>312.67</v>
          </cell>
        </row>
        <row r="2951">
          <cell r="A2951" t="str">
            <v>211406</v>
          </cell>
          <cell r="B2951" t="str">
            <v>Extremidade FD FB JE/JE2GS PN-10 DN250 conforme NBR7675 (16640)</v>
          </cell>
          <cell r="C2951" t="str">
            <v>ud</v>
          </cell>
          <cell r="D2951">
            <v>0</v>
          </cell>
          <cell r="E2951">
            <v>505.11</v>
          </cell>
          <cell r="F2951">
            <v>505.11</v>
          </cell>
        </row>
        <row r="2952">
          <cell r="A2952" t="str">
            <v>211407</v>
          </cell>
          <cell r="B2952" t="str">
            <v>Extremidade FD FB JE/JE2GS PN-10 DN300 conforme NBR7675 (16683)</v>
          </cell>
          <cell r="C2952" t="str">
            <v>ud</v>
          </cell>
          <cell r="D2952">
            <v>0</v>
          </cell>
          <cell r="E2952">
            <v>650.42999999999995</v>
          </cell>
          <cell r="F2952">
            <v>650.42999999999995</v>
          </cell>
        </row>
        <row r="2953">
          <cell r="A2953" t="str">
            <v>211408</v>
          </cell>
          <cell r="B2953" t="str">
            <v>Extremidade FD FB JE/JE2GS PN-10 DN350 conforme NBR7675 (16721)</v>
          </cell>
          <cell r="C2953" t="str">
            <v>ud</v>
          </cell>
          <cell r="D2953">
            <v>0</v>
          </cell>
          <cell r="E2953">
            <v>754.79</v>
          </cell>
          <cell r="F2953">
            <v>754.79</v>
          </cell>
        </row>
        <row r="2954">
          <cell r="A2954" t="str">
            <v>211409</v>
          </cell>
          <cell r="B2954" t="str">
            <v>Extremidade FD FB JE/JE2GS PN-10 DN400 conforme NBR7675 (68098)</v>
          </cell>
          <cell r="C2954" t="str">
            <v>ud</v>
          </cell>
          <cell r="D2954">
            <v>0</v>
          </cell>
          <cell r="E2954">
            <v>802.65</v>
          </cell>
          <cell r="F2954">
            <v>802.65</v>
          </cell>
        </row>
        <row r="2955">
          <cell r="A2955" t="str">
            <v>211410</v>
          </cell>
          <cell r="B2955" t="str">
            <v>Extremidade FD FB JE/JE2GS PN-10 DN450 conforme NBR7675</v>
          </cell>
          <cell r="C2955" t="str">
            <v>ud</v>
          </cell>
          <cell r="D2955">
            <v>0</v>
          </cell>
        </row>
        <row r="2956">
          <cell r="A2956" t="str">
            <v>211411</v>
          </cell>
          <cell r="B2956" t="str">
            <v>Extremidade FD FB JE/JE2GS PN-10 DN500 conforme NBR7675 (16802)</v>
          </cell>
          <cell r="C2956" t="str">
            <v>ud</v>
          </cell>
          <cell r="D2956">
            <v>0</v>
          </cell>
          <cell r="E2956">
            <v>1238.55</v>
          </cell>
          <cell r="F2956">
            <v>1238.55</v>
          </cell>
        </row>
        <row r="2957">
          <cell r="A2957" t="str">
            <v>211412</v>
          </cell>
          <cell r="B2957" t="str">
            <v>Extremidade FD FB JE/JE2GS PN-10 DN600 conforme NBR7675</v>
          </cell>
          <cell r="C2957" t="str">
            <v>ud</v>
          </cell>
          <cell r="D2957">
            <v>0</v>
          </cell>
          <cell r="E2957">
            <v>1909.69</v>
          </cell>
          <cell r="F2957">
            <v>1909.69</v>
          </cell>
        </row>
        <row r="2958">
          <cell r="A2958" t="str">
            <v>211413</v>
          </cell>
          <cell r="B2958" t="str">
            <v>Extremidade FD FB JE/JE2GS PN-10 DN700 conforme NBR7675</v>
          </cell>
          <cell r="C2958" t="str">
            <v>ud</v>
          </cell>
          <cell r="D2958">
            <v>0</v>
          </cell>
          <cell r="E2958">
            <v>3087.89</v>
          </cell>
          <cell r="F2958">
            <v>3087.89</v>
          </cell>
        </row>
        <row r="2959">
          <cell r="A2959" t="str">
            <v>211414</v>
          </cell>
          <cell r="B2959" t="str">
            <v>Extremidade FD FB JE/JE2GS PN-10 DN800 conforme NBR7675</v>
          </cell>
          <cell r="C2959" t="str">
            <v>ud</v>
          </cell>
          <cell r="D2959">
            <v>0</v>
          </cell>
          <cell r="E2959">
            <v>3610.66</v>
          </cell>
          <cell r="F2959">
            <v>3610.66</v>
          </cell>
        </row>
        <row r="2960">
          <cell r="A2960" t="str">
            <v>211415</v>
          </cell>
          <cell r="B2960" t="str">
            <v>Extremidade FD FB JE/JE2GS PN-10 DN900 conforme NBR7675</v>
          </cell>
          <cell r="C2960" t="str">
            <v>ud</v>
          </cell>
          <cell r="D2960">
            <v>0</v>
          </cell>
        </row>
        <row r="2961">
          <cell r="A2961" t="str">
            <v>211416</v>
          </cell>
          <cell r="B2961" t="str">
            <v>Extremidade FD FB JE/JE2GS PN-10 DN1000 conforme NBR7675</v>
          </cell>
          <cell r="C2961" t="str">
            <v>ud</v>
          </cell>
          <cell r="D2961">
            <v>0</v>
          </cell>
        </row>
        <row r="2962">
          <cell r="A2962" t="str">
            <v>211417</v>
          </cell>
          <cell r="B2962" t="str">
            <v>Extremidade FD FB JE/JE2GS PN-10 DN1100 conforme NBR7675</v>
          </cell>
          <cell r="C2962" t="str">
            <v>ud</v>
          </cell>
          <cell r="D2962">
            <v>0</v>
          </cell>
        </row>
        <row r="2963">
          <cell r="A2963" t="str">
            <v>211418</v>
          </cell>
          <cell r="B2963" t="str">
            <v>Extremidade FD FB JE/JE2GS PN-10 DN1200 conforme NBR7675</v>
          </cell>
          <cell r="C2963" t="str">
            <v>ud</v>
          </cell>
          <cell r="D2963">
            <v>0</v>
          </cell>
        </row>
        <row r="2964">
          <cell r="A2964" t="str">
            <v>211419</v>
          </cell>
          <cell r="B2964" t="str">
            <v>Extremidade FD FB JE/JE2GS PN-16 DN50 conforme NBR7675</v>
          </cell>
          <cell r="C2964" t="str">
            <v>ud</v>
          </cell>
          <cell r="D2964">
            <v>0</v>
          </cell>
          <cell r="E2964">
            <v>110.72</v>
          </cell>
          <cell r="F2964">
            <v>110.72</v>
          </cell>
        </row>
        <row r="2965">
          <cell r="A2965" t="str">
            <v>211420</v>
          </cell>
          <cell r="B2965" t="str">
            <v>Extremidade FD FB JE/JE2GS PN-16 DN75/80 conforme  (16500)</v>
          </cell>
          <cell r="C2965" t="str">
            <v>ud</v>
          </cell>
          <cell r="D2965">
            <v>0</v>
          </cell>
          <cell r="E2965">
            <v>148.76</v>
          </cell>
          <cell r="F2965">
            <v>148.76</v>
          </cell>
        </row>
        <row r="2966">
          <cell r="A2966" t="str">
            <v>211421</v>
          </cell>
          <cell r="B2966" t="str">
            <v>Extremidade FD FB JE/JE2GS PN-16 DN100 conforme NBR7675 (16535)</v>
          </cell>
          <cell r="C2966" t="str">
            <v>ud</v>
          </cell>
          <cell r="D2966">
            <v>0</v>
          </cell>
          <cell r="E2966">
            <v>176.46</v>
          </cell>
          <cell r="F2966">
            <v>176.46</v>
          </cell>
        </row>
        <row r="2967">
          <cell r="A2967" t="str">
            <v>211422</v>
          </cell>
          <cell r="B2967" t="str">
            <v>Extremidade FD FB JE/JE2GS PN-16 DN150 conforme NBR7675 (16586)</v>
          </cell>
          <cell r="C2967" t="str">
            <v>ud</v>
          </cell>
          <cell r="D2967">
            <v>0</v>
          </cell>
          <cell r="E2967">
            <v>231.11</v>
          </cell>
          <cell r="F2967">
            <v>231.11</v>
          </cell>
        </row>
        <row r="2968">
          <cell r="A2968" t="str">
            <v>211423</v>
          </cell>
          <cell r="B2968" t="str">
            <v>Extremidade FD FB JE/JE2GS PN-16 DN200 conforme NBR7675 (136581)</v>
          </cell>
          <cell r="C2968" t="str">
            <v>ud</v>
          </cell>
          <cell r="D2968">
            <v>0</v>
          </cell>
          <cell r="E2968">
            <v>312.67</v>
          </cell>
          <cell r="F2968">
            <v>312.67</v>
          </cell>
        </row>
        <row r="2969">
          <cell r="A2969" t="str">
            <v>211424</v>
          </cell>
          <cell r="B2969" t="str">
            <v>Extremidade FD FB JE/JE2GS PN-16 DN250 conforme NBR7675 (136603)</v>
          </cell>
          <cell r="C2969" t="str">
            <v>ud</v>
          </cell>
          <cell r="D2969">
            <v>0</v>
          </cell>
          <cell r="E2969">
            <v>505.11</v>
          </cell>
          <cell r="F2969">
            <v>505.11</v>
          </cell>
        </row>
        <row r="2970">
          <cell r="A2970" t="str">
            <v>211425</v>
          </cell>
          <cell r="B2970" t="str">
            <v>Extremidade FD FB JE/JE2GS PN-16 DN300 conforme NBR7675 (136620)</v>
          </cell>
          <cell r="C2970" t="str">
            <v>ud</v>
          </cell>
          <cell r="D2970">
            <v>0</v>
          </cell>
          <cell r="E2970">
            <v>650.42999999999995</v>
          </cell>
          <cell r="F2970">
            <v>650.42999999999995</v>
          </cell>
        </row>
        <row r="2971">
          <cell r="A2971" t="str">
            <v>211426</v>
          </cell>
          <cell r="B2971" t="str">
            <v>Extremidade FD FB JE/JE2GS PN-16 DN350 conforme NBR7675</v>
          </cell>
          <cell r="C2971" t="str">
            <v>ud</v>
          </cell>
          <cell r="D2971">
            <v>0</v>
          </cell>
          <cell r="E2971">
            <v>754.79</v>
          </cell>
          <cell r="F2971">
            <v>754.79</v>
          </cell>
        </row>
        <row r="2972">
          <cell r="A2972" t="str">
            <v>211427</v>
          </cell>
          <cell r="B2972" t="str">
            <v>Extremidade FD FB JE/JE2GS PN-16 DN400 conforme NBR7675 (136638)</v>
          </cell>
          <cell r="C2972" t="str">
            <v>ud</v>
          </cell>
          <cell r="D2972">
            <v>0</v>
          </cell>
          <cell r="E2972">
            <v>802.65</v>
          </cell>
          <cell r="F2972">
            <v>802.65</v>
          </cell>
        </row>
        <row r="2973">
          <cell r="A2973" t="str">
            <v>211428</v>
          </cell>
          <cell r="B2973" t="str">
            <v>Extremidade FD FB JE/JE2GS PN-16 DN450 conforme NBR7675</v>
          </cell>
          <cell r="C2973" t="str">
            <v>ud</v>
          </cell>
          <cell r="D2973">
            <v>0</v>
          </cell>
        </row>
        <row r="2974">
          <cell r="A2974" t="str">
            <v>211429</v>
          </cell>
          <cell r="B2974" t="str">
            <v>Extremidade FD FB JE/JE2GS PN-16 DN500 conforme NBR7675 (136654)</v>
          </cell>
          <cell r="C2974" t="str">
            <v>ud</v>
          </cell>
          <cell r="D2974">
            <v>0</v>
          </cell>
          <cell r="E2974">
            <v>1238.55</v>
          </cell>
          <cell r="F2974">
            <v>1238.55</v>
          </cell>
        </row>
        <row r="2975">
          <cell r="A2975" t="str">
            <v>211430</v>
          </cell>
          <cell r="B2975" t="str">
            <v>Extremidade FD FB JE/JE2GS PN-16 DN600 conforme NBR7675</v>
          </cell>
          <cell r="C2975" t="str">
            <v>ud</v>
          </cell>
          <cell r="D2975">
            <v>0</v>
          </cell>
          <cell r="E2975">
            <v>1909.69</v>
          </cell>
          <cell r="F2975">
            <v>1909.69</v>
          </cell>
        </row>
        <row r="2976">
          <cell r="A2976" t="str">
            <v>211431</v>
          </cell>
          <cell r="B2976" t="str">
            <v>Extremidade FD FB JE/JE2GS PN-16 DN700 conforme NBR7675</v>
          </cell>
          <cell r="C2976" t="str">
            <v>ud</v>
          </cell>
          <cell r="D2976">
            <v>0</v>
          </cell>
          <cell r="E2976">
            <v>3087.89</v>
          </cell>
          <cell r="F2976">
            <v>3087.89</v>
          </cell>
        </row>
        <row r="2977">
          <cell r="A2977" t="str">
            <v>211432</v>
          </cell>
          <cell r="B2977" t="str">
            <v>Extremidade FD FB JE/JE2GS PN-16 DN800 conforme NBR7675</v>
          </cell>
          <cell r="C2977" t="str">
            <v>ud</v>
          </cell>
          <cell r="D2977">
            <v>0</v>
          </cell>
          <cell r="E2977">
            <v>3610.66</v>
          </cell>
          <cell r="F2977">
            <v>3610.66</v>
          </cell>
        </row>
        <row r="2978">
          <cell r="A2978" t="str">
            <v>211433</v>
          </cell>
          <cell r="B2978" t="str">
            <v>Extremidade FD FB JE/JE2GS PN-16 DN900 conforme NBR7675</v>
          </cell>
          <cell r="C2978" t="str">
            <v>ud</v>
          </cell>
          <cell r="D2978">
            <v>0</v>
          </cell>
        </row>
        <row r="2979">
          <cell r="A2979" t="str">
            <v>211434</v>
          </cell>
          <cell r="B2979" t="str">
            <v>Extremidade FD FB JE/JE2GS PN-16 DN1000 conforme NBR7675</v>
          </cell>
          <cell r="C2979" t="str">
            <v>ud</v>
          </cell>
          <cell r="D2979">
            <v>0</v>
          </cell>
        </row>
        <row r="2980">
          <cell r="A2980" t="str">
            <v>211435</v>
          </cell>
          <cell r="B2980" t="str">
            <v>Extremidade FD FB JE/JE2GS PN-16 DN1100 conforme NBR7675</v>
          </cell>
          <cell r="C2980" t="str">
            <v>ud</v>
          </cell>
          <cell r="D2980">
            <v>0</v>
          </cell>
        </row>
        <row r="2981">
          <cell r="A2981" t="str">
            <v>211436</v>
          </cell>
          <cell r="B2981" t="str">
            <v>Extremidade FD FB JE/JE2GS PN-16 DN1200 conforme NBR7675</v>
          </cell>
          <cell r="C2981" t="str">
            <v>ud</v>
          </cell>
          <cell r="D2981">
            <v>0</v>
          </cell>
        </row>
        <row r="2982">
          <cell r="A2982" t="str">
            <v>211437</v>
          </cell>
          <cell r="B2982" t="str">
            <v>Extremidade FD FB JE/JE2GS PN-25 DN50 conforme NBR7675 (16462)</v>
          </cell>
          <cell r="C2982" t="str">
            <v>ud</v>
          </cell>
          <cell r="D2982">
            <v>0</v>
          </cell>
        </row>
        <row r="2983">
          <cell r="A2983" t="str">
            <v>211438</v>
          </cell>
          <cell r="B2983" t="str">
            <v>Extremidade FD FB JE/JE2GS PN-25 DN75/80 conforme NBR7675 (136557)</v>
          </cell>
          <cell r="C2983" t="str">
            <v>ud</v>
          </cell>
          <cell r="D2983">
            <v>0</v>
          </cell>
        </row>
        <row r="2984">
          <cell r="A2984" t="str">
            <v>211439</v>
          </cell>
          <cell r="B2984" t="str">
            <v>Extremidade FD FB JE/JE2GS PN-25 DN100 conforme NBR7675 (136565)</v>
          </cell>
          <cell r="C2984" t="str">
            <v>ud</v>
          </cell>
          <cell r="D2984">
            <v>0</v>
          </cell>
        </row>
        <row r="2985">
          <cell r="A2985" t="str">
            <v>211440</v>
          </cell>
          <cell r="B2985" t="str">
            <v>Extremidade FD FB JE/JE2GS PN-25 DN150 conforme NBR7675</v>
          </cell>
          <cell r="C2985" t="str">
            <v>ud</v>
          </cell>
          <cell r="D2985">
            <v>0</v>
          </cell>
        </row>
        <row r="2986">
          <cell r="A2986" t="str">
            <v>211441</v>
          </cell>
          <cell r="B2986" t="str">
            <v>Extremidade FD FB JE/JE2GS PN-25DN200 conforme NBR7675 (136590)</v>
          </cell>
          <cell r="C2986" t="str">
            <v>ud</v>
          </cell>
          <cell r="D2986">
            <v>0</v>
          </cell>
        </row>
        <row r="2987">
          <cell r="A2987" t="str">
            <v>211442</v>
          </cell>
          <cell r="B2987" t="str">
            <v>Extremidade FD FB JE/JE2GS PN-25 DN250 conforme NBR7675</v>
          </cell>
          <cell r="C2987" t="str">
            <v>ud</v>
          </cell>
          <cell r="D2987">
            <v>0</v>
          </cell>
        </row>
        <row r="2988">
          <cell r="A2988" t="str">
            <v>211443</v>
          </cell>
          <cell r="B2988" t="str">
            <v>Extremidade FD FB JE/JE2GS PN-25 DN300 conforme NBR7675 (137120)</v>
          </cell>
          <cell r="C2988" t="str">
            <v>ud</v>
          </cell>
          <cell r="D2988">
            <v>0</v>
          </cell>
        </row>
        <row r="2989">
          <cell r="A2989" t="str">
            <v>211444</v>
          </cell>
          <cell r="B2989" t="str">
            <v>Extremidade FD FB JE/JE2GS PN-25 DN350 conforme NBR7675</v>
          </cell>
          <cell r="C2989" t="str">
            <v>ud</v>
          </cell>
          <cell r="D2989">
            <v>0</v>
          </cell>
        </row>
        <row r="2990">
          <cell r="A2990" t="str">
            <v>211445</v>
          </cell>
          <cell r="B2990" t="str">
            <v>Extremidade FD FB JE/JE2GS PN-25 DN400 conforme NBR7675 (136646)</v>
          </cell>
          <cell r="C2990" t="str">
            <v>ud</v>
          </cell>
          <cell r="D2990">
            <v>0</v>
          </cell>
        </row>
        <row r="2991">
          <cell r="A2991" t="str">
            <v>211446</v>
          </cell>
          <cell r="B2991" t="str">
            <v>Extremidade FD FB JE/JE2GS PN-25 DN450 conforme NBR7675</v>
          </cell>
          <cell r="C2991" t="str">
            <v>ud</v>
          </cell>
          <cell r="D2991">
            <v>0</v>
          </cell>
        </row>
        <row r="2992">
          <cell r="A2992" t="str">
            <v>211447</v>
          </cell>
          <cell r="B2992" t="str">
            <v>Extremidade FD FB JE/JE2GS PN-25 DN500 conforme NBR7675</v>
          </cell>
          <cell r="C2992" t="str">
            <v>ud</v>
          </cell>
          <cell r="D2992">
            <v>0</v>
          </cell>
        </row>
        <row r="2993">
          <cell r="A2993" t="str">
            <v>211448</v>
          </cell>
          <cell r="B2993" t="str">
            <v>Extremidade FD FB JE/JE2GS PN-25 DN600 conforme NBR7675</v>
          </cell>
          <cell r="C2993" t="str">
            <v>ud</v>
          </cell>
          <cell r="D2993">
            <v>0</v>
          </cell>
        </row>
        <row r="2994">
          <cell r="A2994" t="str">
            <v>211449</v>
          </cell>
          <cell r="B2994" t="str">
            <v>Extremidade FD FB JE/JE2GS PN-25 DN700 conforme NBR7675</v>
          </cell>
          <cell r="C2994" t="str">
            <v>ud</v>
          </cell>
          <cell r="D2994">
            <v>0</v>
          </cell>
        </row>
        <row r="2995">
          <cell r="A2995" t="str">
            <v>211450</v>
          </cell>
          <cell r="B2995" t="str">
            <v>Extremidade FD FB JE/JE2GS PN-25 DN800 conforme NBR7675</v>
          </cell>
          <cell r="C2995" t="str">
            <v>ud</v>
          </cell>
          <cell r="D2995">
            <v>0</v>
          </cell>
        </row>
        <row r="2996">
          <cell r="A2996" t="str">
            <v>211451</v>
          </cell>
          <cell r="B2996" t="str">
            <v>Extremidade FD FB JE/JE2GS PN-25 DN900 conforme NBR7675</v>
          </cell>
          <cell r="C2996" t="str">
            <v>ud</v>
          </cell>
          <cell r="D2996">
            <v>0</v>
          </cell>
        </row>
        <row r="2997">
          <cell r="A2997" t="str">
            <v>211452</v>
          </cell>
          <cell r="B2997" t="str">
            <v>Extremidade FD FB JE/JE2GS PN-25 DN1000 conforme NBR7675</v>
          </cell>
          <cell r="C2997" t="str">
            <v>ud</v>
          </cell>
          <cell r="D2997">
            <v>0</v>
          </cell>
        </row>
        <row r="2998">
          <cell r="A2998" t="str">
            <v>211453</v>
          </cell>
          <cell r="B2998" t="str">
            <v>Extremidade FD FB JE/JE2GS PN-25 DN1100 conforme NBR7675</v>
          </cell>
          <cell r="C2998" t="str">
            <v>ud</v>
          </cell>
          <cell r="D2998">
            <v>0</v>
          </cell>
        </row>
        <row r="2999">
          <cell r="A2999" t="str">
            <v>211454</v>
          </cell>
          <cell r="B2999" t="str">
            <v>Extremidade FD FB JE/JE2GS PN-25 DN1200 conforme NBR7675</v>
          </cell>
          <cell r="C2999" t="str">
            <v>ud</v>
          </cell>
          <cell r="D2999">
            <v>0</v>
          </cell>
        </row>
        <row r="3000">
          <cell r="A3000" t="str">
            <v>2115</v>
          </cell>
          <cell r="B3000" t="str">
            <v>EXTREMIDADE FD FLANGE / JUNTA MECÂNICA</v>
          </cell>
        </row>
        <row r="3001">
          <cell r="A3001" t="str">
            <v>211501</v>
          </cell>
          <cell r="B3001" t="str">
            <v xml:space="preserve">Extremidade FD F/JM PN-10 DN   50 </v>
          </cell>
          <cell r="C3001" t="str">
            <v>ud</v>
          </cell>
          <cell r="D3001">
            <v>0</v>
          </cell>
        </row>
        <row r="3002">
          <cell r="A3002" t="str">
            <v>211502</v>
          </cell>
          <cell r="B3002" t="str">
            <v>Extremidade FD F/JM PN-10 DN   75/80</v>
          </cell>
          <cell r="C3002" t="str">
            <v>ud</v>
          </cell>
          <cell r="D3002">
            <v>0</v>
          </cell>
        </row>
        <row r="3003">
          <cell r="A3003" t="str">
            <v>211503</v>
          </cell>
          <cell r="B3003" t="str">
            <v xml:space="preserve">Extremidade FD F/JM PN-10 DN  100 </v>
          </cell>
          <cell r="C3003" t="str">
            <v>ud</v>
          </cell>
          <cell r="D3003">
            <v>0</v>
          </cell>
          <cell r="E3003">
            <v>269.87</v>
          </cell>
          <cell r="F3003">
            <v>269.87</v>
          </cell>
        </row>
        <row r="3004">
          <cell r="A3004" t="str">
            <v>211504</v>
          </cell>
          <cell r="B3004" t="str">
            <v>Extremidade FD F/JM PN-10 DN  150 (96393)</v>
          </cell>
          <cell r="C3004" t="str">
            <v>ud</v>
          </cell>
          <cell r="D3004">
            <v>0</v>
          </cell>
          <cell r="E3004">
            <v>366.72</v>
          </cell>
          <cell r="F3004">
            <v>366.72</v>
          </cell>
        </row>
        <row r="3005">
          <cell r="A3005" t="str">
            <v>211505</v>
          </cell>
          <cell r="B3005" t="str">
            <v>Extremidade FD F/JM PN-10 DN  200 (129739)</v>
          </cell>
          <cell r="C3005" t="str">
            <v>ud</v>
          </cell>
          <cell r="D3005">
            <v>0</v>
          </cell>
          <cell r="E3005">
            <v>512.03</v>
          </cell>
          <cell r="F3005">
            <v>512.03</v>
          </cell>
        </row>
        <row r="3006">
          <cell r="A3006" t="str">
            <v>211506</v>
          </cell>
          <cell r="B3006" t="str">
            <v>Extremidade FD F/JM PN-10 DN  250 (174203)</v>
          </cell>
          <cell r="C3006" t="str">
            <v>ud</v>
          </cell>
          <cell r="D3006">
            <v>0</v>
          </cell>
          <cell r="E3006">
            <v>726.52</v>
          </cell>
          <cell r="F3006">
            <v>726.52</v>
          </cell>
        </row>
        <row r="3007">
          <cell r="A3007" t="str">
            <v>211507</v>
          </cell>
          <cell r="B3007" t="str">
            <v>Extremidade FD F/JM PN-10 DN  300 (16675)</v>
          </cell>
          <cell r="C3007" t="str">
            <v>ud</v>
          </cell>
          <cell r="D3007">
            <v>0</v>
          </cell>
          <cell r="E3007">
            <v>885.66</v>
          </cell>
          <cell r="F3007">
            <v>885.66</v>
          </cell>
        </row>
        <row r="3008">
          <cell r="A3008" t="str">
            <v>211508</v>
          </cell>
          <cell r="B3008" t="str">
            <v xml:space="preserve">Extremidade FD F/JM PN-10 DN  350 </v>
          </cell>
          <cell r="C3008" t="str">
            <v>ud</v>
          </cell>
          <cell r="D3008">
            <v>0</v>
          </cell>
          <cell r="E3008">
            <v>1217.76</v>
          </cell>
          <cell r="F3008">
            <v>1217.76</v>
          </cell>
        </row>
        <row r="3009">
          <cell r="A3009" t="str">
            <v>211509</v>
          </cell>
          <cell r="B3009" t="str">
            <v>Extremidade FD F/JM PN-10 DN  400 (16764)</v>
          </cell>
          <cell r="C3009" t="str">
            <v>ud</v>
          </cell>
          <cell r="D3009">
            <v>0</v>
          </cell>
          <cell r="E3009">
            <v>1585.32</v>
          </cell>
          <cell r="F3009">
            <v>1585.32</v>
          </cell>
        </row>
        <row r="3010">
          <cell r="A3010" t="str">
            <v>211510</v>
          </cell>
          <cell r="B3010" t="str">
            <v xml:space="preserve">Extremidade FD F/JM PN-10 DN  450 </v>
          </cell>
          <cell r="C3010" t="str">
            <v>ud</v>
          </cell>
          <cell r="D3010">
            <v>0</v>
          </cell>
        </row>
        <row r="3011">
          <cell r="A3011" t="str">
            <v>211511</v>
          </cell>
          <cell r="B3011" t="str">
            <v>Extremidade FD F/JM PN-10 DN  500 (16799)</v>
          </cell>
          <cell r="C3011" t="str">
            <v>ud</v>
          </cell>
          <cell r="D3011">
            <v>0</v>
          </cell>
          <cell r="E3011">
            <v>1954.67</v>
          </cell>
          <cell r="F3011">
            <v>1954.67</v>
          </cell>
        </row>
        <row r="3012">
          <cell r="A3012" t="str">
            <v>211512</v>
          </cell>
          <cell r="B3012" t="str">
            <v>Extremidade FD F/JM PN-10 DN  600 (174211)</v>
          </cell>
          <cell r="C3012" t="str">
            <v>ud</v>
          </cell>
          <cell r="D3012">
            <v>0</v>
          </cell>
          <cell r="E3012">
            <v>2656.94</v>
          </cell>
          <cell r="F3012">
            <v>2656.94</v>
          </cell>
        </row>
        <row r="3013">
          <cell r="A3013" t="str">
            <v>211513</v>
          </cell>
          <cell r="B3013" t="str">
            <v xml:space="preserve">Extremidade FD F/JM PN-10 DN  700 </v>
          </cell>
          <cell r="C3013" t="str">
            <v>ud</v>
          </cell>
          <cell r="D3013">
            <v>0</v>
          </cell>
          <cell r="E3013">
            <v>3400.77</v>
          </cell>
          <cell r="F3013">
            <v>3400.77</v>
          </cell>
        </row>
        <row r="3014">
          <cell r="A3014" t="str">
            <v>211514</v>
          </cell>
          <cell r="B3014" t="str">
            <v>Extremidade FD F/JM PN-10 DN  800 (16845)</v>
          </cell>
          <cell r="C3014" t="str">
            <v>ud</v>
          </cell>
          <cell r="D3014">
            <v>0</v>
          </cell>
          <cell r="E3014">
            <v>4994.42</v>
          </cell>
          <cell r="F3014">
            <v>4994.42</v>
          </cell>
        </row>
        <row r="3015">
          <cell r="A3015" t="str">
            <v>211515</v>
          </cell>
          <cell r="B3015" t="str">
            <v xml:space="preserve">Extremidade FD F/JM PN-10 DN  900 </v>
          </cell>
          <cell r="C3015" t="str">
            <v>ud</v>
          </cell>
          <cell r="D3015">
            <v>0</v>
          </cell>
        </row>
        <row r="3016">
          <cell r="A3016" t="str">
            <v>211516</v>
          </cell>
          <cell r="B3016" t="str">
            <v xml:space="preserve">Extremidade FD F/JM PN-10 DN 1000 </v>
          </cell>
          <cell r="C3016" t="str">
            <v>ud</v>
          </cell>
          <cell r="D3016">
            <v>0</v>
          </cell>
        </row>
        <row r="3017">
          <cell r="A3017" t="str">
            <v>211517</v>
          </cell>
          <cell r="B3017" t="str">
            <v xml:space="preserve">Extremidade FD F/JM PN-10 DN 1100 </v>
          </cell>
          <cell r="C3017" t="str">
            <v>ud</v>
          </cell>
          <cell r="D3017">
            <v>0</v>
          </cell>
        </row>
        <row r="3018">
          <cell r="A3018" t="str">
            <v>211518</v>
          </cell>
          <cell r="B3018" t="str">
            <v xml:space="preserve">Extremidade FD F/JM PN-10 DN 1200 </v>
          </cell>
          <cell r="C3018" t="str">
            <v>ud</v>
          </cell>
          <cell r="D3018">
            <v>0</v>
          </cell>
        </row>
        <row r="3019">
          <cell r="A3019" t="str">
            <v>211519</v>
          </cell>
          <cell r="B3019" t="str">
            <v xml:space="preserve">Extremidade FD F/JM PN-16 DN   50 </v>
          </cell>
          <cell r="C3019" t="str">
            <v>ud</v>
          </cell>
          <cell r="D3019">
            <v>0</v>
          </cell>
        </row>
        <row r="3020">
          <cell r="A3020" t="str">
            <v>211520</v>
          </cell>
          <cell r="B3020" t="str">
            <v>Extremidade FD F/JM PN-16 DN   75/80</v>
          </cell>
          <cell r="C3020" t="str">
            <v>ud</v>
          </cell>
          <cell r="D3020">
            <v>0</v>
          </cell>
        </row>
        <row r="3021">
          <cell r="A3021" t="str">
            <v>211521</v>
          </cell>
          <cell r="B3021" t="str">
            <v>Extremidade FD F/JM PN-16 DN  100 (71013)</v>
          </cell>
          <cell r="C3021" t="str">
            <v>ud</v>
          </cell>
          <cell r="D3021">
            <v>0</v>
          </cell>
          <cell r="E3021">
            <v>269.87</v>
          </cell>
          <cell r="F3021">
            <v>269.87</v>
          </cell>
        </row>
        <row r="3022">
          <cell r="A3022" t="str">
            <v>211522</v>
          </cell>
          <cell r="B3022" t="str">
            <v>Extremidade FD F/JM PN-16 DN  150 (153109)</v>
          </cell>
          <cell r="C3022" t="str">
            <v>ud</v>
          </cell>
          <cell r="D3022">
            <v>0</v>
          </cell>
          <cell r="E3022">
            <v>366.72</v>
          </cell>
          <cell r="F3022">
            <v>366.72</v>
          </cell>
        </row>
        <row r="3023">
          <cell r="A3023" t="str">
            <v>211523</v>
          </cell>
          <cell r="B3023" t="str">
            <v>Extremidade FD F/JM PN-16 DN  200 (196967)</v>
          </cell>
          <cell r="C3023" t="str">
            <v>ud</v>
          </cell>
          <cell r="D3023">
            <v>0</v>
          </cell>
          <cell r="E3023">
            <v>512.03</v>
          </cell>
          <cell r="F3023">
            <v>512.03</v>
          </cell>
        </row>
        <row r="3024">
          <cell r="A3024" t="str">
            <v>211524</v>
          </cell>
          <cell r="B3024" t="str">
            <v xml:space="preserve">Extremidade FD F/JM PN-16 DN  250 </v>
          </cell>
          <cell r="C3024" t="str">
            <v>ud</v>
          </cell>
          <cell r="D3024">
            <v>0</v>
          </cell>
          <cell r="E3024">
            <v>726.52</v>
          </cell>
          <cell r="F3024">
            <v>726.52</v>
          </cell>
        </row>
        <row r="3025">
          <cell r="A3025" t="str">
            <v>211525</v>
          </cell>
          <cell r="B3025" t="str">
            <v xml:space="preserve">Extremidade FD F/JM PN-16 DN  300 </v>
          </cell>
          <cell r="C3025" t="str">
            <v>ud</v>
          </cell>
          <cell r="D3025">
            <v>0</v>
          </cell>
          <cell r="E3025">
            <v>885.66</v>
          </cell>
          <cell r="F3025">
            <v>885.66</v>
          </cell>
        </row>
        <row r="3026">
          <cell r="A3026" t="str">
            <v>211526</v>
          </cell>
          <cell r="B3026" t="str">
            <v xml:space="preserve">Extremidade FD F/JM PN-16 DN  350 </v>
          </cell>
          <cell r="C3026" t="str">
            <v>ud</v>
          </cell>
          <cell r="D3026">
            <v>0</v>
          </cell>
          <cell r="E3026">
            <v>1217.76</v>
          </cell>
          <cell r="F3026">
            <v>1217.76</v>
          </cell>
        </row>
        <row r="3027">
          <cell r="A3027" t="str">
            <v>211527</v>
          </cell>
          <cell r="B3027" t="str">
            <v xml:space="preserve">Extremidade FD F/JM PN-16 DN  400 </v>
          </cell>
          <cell r="C3027" t="str">
            <v>ud</v>
          </cell>
          <cell r="D3027">
            <v>0</v>
          </cell>
          <cell r="E3027">
            <v>1585.32</v>
          </cell>
          <cell r="F3027">
            <v>1585.32</v>
          </cell>
        </row>
        <row r="3028">
          <cell r="A3028" t="str">
            <v>211528</v>
          </cell>
          <cell r="B3028" t="str">
            <v xml:space="preserve">Extremidade FD F/JM PN-16 DN  450 </v>
          </cell>
          <cell r="C3028" t="str">
            <v>ud</v>
          </cell>
          <cell r="D3028">
            <v>0</v>
          </cell>
        </row>
        <row r="3029">
          <cell r="A3029" t="str">
            <v>211529</v>
          </cell>
          <cell r="B3029" t="str">
            <v>Extremidade FD F/JM PN-16 DN  500 (140040)</v>
          </cell>
          <cell r="C3029" t="str">
            <v>ud</v>
          </cell>
          <cell r="D3029">
            <v>0</v>
          </cell>
          <cell r="E3029">
            <v>1954.67</v>
          </cell>
          <cell r="F3029">
            <v>1954.67</v>
          </cell>
        </row>
        <row r="3030">
          <cell r="A3030" t="str">
            <v>211530</v>
          </cell>
          <cell r="B3030" t="str">
            <v xml:space="preserve">Extremidade FD F/JM PN-16 DN  600 </v>
          </cell>
          <cell r="C3030" t="str">
            <v>ud</v>
          </cell>
          <cell r="D3030">
            <v>0</v>
          </cell>
          <cell r="E3030">
            <v>2656.94</v>
          </cell>
          <cell r="F3030">
            <v>2656.94</v>
          </cell>
        </row>
        <row r="3031">
          <cell r="A3031" t="str">
            <v>211531</v>
          </cell>
          <cell r="B3031" t="str">
            <v xml:space="preserve">Extremidade FD F/JM PN-16 DN  700 </v>
          </cell>
          <cell r="C3031" t="str">
            <v>ud</v>
          </cell>
          <cell r="D3031">
            <v>0</v>
          </cell>
          <cell r="E3031">
            <v>3400.77</v>
          </cell>
          <cell r="F3031">
            <v>3400.77</v>
          </cell>
        </row>
        <row r="3032">
          <cell r="A3032" t="str">
            <v>211532</v>
          </cell>
          <cell r="B3032" t="str">
            <v xml:space="preserve">Extremidade FD F/JM PN-16 DN  800 </v>
          </cell>
          <cell r="C3032" t="str">
            <v>ud</v>
          </cell>
          <cell r="D3032">
            <v>0</v>
          </cell>
          <cell r="E3032">
            <v>4994.42</v>
          </cell>
          <cell r="F3032">
            <v>4994.42</v>
          </cell>
        </row>
        <row r="3033">
          <cell r="A3033" t="str">
            <v>211533</v>
          </cell>
          <cell r="B3033" t="str">
            <v xml:space="preserve">Extremidade FD F/JM PN-16 DN  900 </v>
          </cell>
          <cell r="C3033" t="str">
            <v>ud</v>
          </cell>
          <cell r="D3033">
            <v>0</v>
          </cell>
        </row>
        <row r="3034">
          <cell r="A3034" t="str">
            <v>211534</v>
          </cell>
          <cell r="B3034" t="str">
            <v xml:space="preserve">Extremidade FD F/JM PN-16 DN 1000 </v>
          </cell>
          <cell r="C3034" t="str">
            <v>ud</v>
          </cell>
          <cell r="D3034">
            <v>0</v>
          </cell>
        </row>
        <row r="3035">
          <cell r="A3035" t="str">
            <v>211535</v>
          </cell>
          <cell r="B3035" t="str">
            <v xml:space="preserve">Extremidade FD F/JM PN-16 DN 1100 </v>
          </cell>
          <cell r="C3035" t="str">
            <v>ud</v>
          </cell>
          <cell r="D3035">
            <v>0</v>
          </cell>
        </row>
        <row r="3036">
          <cell r="A3036" t="str">
            <v>211536</v>
          </cell>
          <cell r="B3036" t="str">
            <v xml:space="preserve">Extremidade FD F/JM PN-16 DN 1200 </v>
          </cell>
          <cell r="C3036" t="str">
            <v>ud</v>
          </cell>
          <cell r="D3036">
            <v>0</v>
          </cell>
        </row>
        <row r="3037">
          <cell r="A3037" t="str">
            <v>211537</v>
          </cell>
          <cell r="B3037" t="str">
            <v>Extremidade FD F/JM PN-25 DN   50 (221929)</v>
          </cell>
          <cell r="C3037" t="str">
            <v>ud</v>
          </cell>
          <cell r="D3037">
            <v>0</v>
          </cell>
        </row>
        <row r="3038">
          <cell r="A3038" t="str">
            <v>211538</v>
          </cell>
          <cell r="B3038" t="str">
            <v>Extremidade FD F/JM PN-25 DN   75/80</v>
          </cell>
          <cell r="C3038" t="str">
            <v>ud</v>
          </cell>
          <cell r="D3038">
            <v>0</v>
          </cell>
        </row>
        <row r="3039">
          <cell r="A3039" t="str">
            <v>211539</v>
          </cell>
          <cell r="B3039" t="str">
            <v xml:space="preserve">Extremidade FD F/JM PN-25 DN  100 </v>
          </cell>
          <cell r="C3039" t="str">
            <v>ud</v>
          </cell>
          <cell r="D3039">
            <v>0</v>
          </cell>
        </row>
        <row r="3040">
          <cell r="A3040" t="str">
            <v>211540</v>
          </cell>
          <cell r="B3040" t="str">
            <v xml:space="preserve">Extremidade FD F/JM PN-25 DN  150 </v>
          </cell>
          <cell r="C3040" t="str">
            <v>ud</v>
          </cell>
          <cell r="D3040">
            <v>0</v>
          </cell>
        </row>
        <row r="3041">
          <cell r="A3041" t="str">
            <v>211541</v>
          </cell>
          <cell r="B3041" t="str">
            <v xml:space="preserve">Extremidade FD F/JM PN-25 DN  200 </v>
          </cell>
          <cell r="C3041" t="str">
            <v>ud</v>
          </cell>
          <cell r="D3041">
            <v>0</v>
          </cell>
        </row>
        <row r="3042">
          <cell r="A3042" t="str">
            <v>211542</v>
          </cell>
          <cell r="B3042" t="str">
            <v>Extremidade FD F/JM PN-25 DN  250 (16659)</v>
          </cell>
          <cell r="C3042" t="str">
            <v>ud</v>
          </cell>
          <cell r="D3042">
            <v>0</v>
          </cell>
        </row>
        <row r="3043">
          <cell r="A3043" t="str">
            <v>211543</v>
          </cell>
          <cell r="B3043" t="str">
            <v>Extremidade FD F/JM PN-25 DN  300 (237183)</v>
          </cell>
          <cell r="C3043" t="str">
            <v>ud</v>
          </cell>
          <cell r="D3043">
            <v>0</v>
          </cell>
        </row>
        <row r="3044">
          <cell r="A3044" t="str">
            <v>211544</v>
          </cell>
          <cell r="B3044" t="str">
            <v xml:space="preserve">Extremidade FD F/JM PN-25 DN  350 </v>
          </cell>
          <cell r="C3044" t="str">
            <v>ud</v>
          </cell>
          <cell r="D3044">
            <v>0</v>
          </cell>
        </row>
        <row r="3045">
          <cell r="A3045" t="str">
            <v>211545</v>
          </cell>
          <cell r="B3045" t="str">
            <v xml:space="preserve">Extremidade FD F/JM PN-25 DN  400 </v>
          </cell>
          <cell r="C3045" t="str">
            <v>ud</v>
          </cell>
          <cell r="D3045">
            <v>0</v>
          </cell>
        </row>
        <row r="3046">
          <cell r="A3046" t="str">
            <v>211546</v>
          </cell>
          <cell r="B3046" t="str">
            <v xml:space="preserve">Extremidade FD F/JM PN-25 DN  450 </v>
          </cell>
          <cell r="C3046" t="str">
            <v>ud</v>
          </cell>
          <cell r="D3046">
            <v>0</v>
          </cell>
        </row>
        <row r="3047">
          <cell r="A3047" t="str">
            <v>211547</v>
          </cell>
          <cell r="B3047" t="str">
            <v xml:space="preserve">Extremidade FD F/JM PN-25 DN  500 </v>
          </cell>
          <cell r="C3047" t="str">
            <v>ud</v>
          </cell>
          <cell r="D3047">
            <v>0</v>
          </cell>
        </row>
        <row r="3048">
          <cell r="A3048" t="str">
            <v>211548</v>
          </cell>
          <cell r="B3048" t="str">
            <v xml:space="preserve">Extremidade FD F/JM PN-25 DN  600 </v>
          </cell>
          <cell r="C3048" t="str">
            <v>ud</v>
          </cell>
          <cell r="D3048">
            <v>0</v>
          </cell>
        </row>
        <row r="3049">
          <cell r="A3049" t="str">
            <v>211549</v>
          </cell>
          <cell r="B3049" t="str">
            <v xml:space="preserve">Extremidade FD F/JM PN-25 DN  700 </v>
          </cell>
          <cell r="C3049" t="str">
            <v>ud</v>
          </cell>
          <cell r="D3049">
            <v>0</v>
          </cell>
        </row>
        <row r="3050">
          <cell r="A3050" t="str">
            <v>211550</v>
          </cell>
          <cell r="B3050" t="str">
            <v xml:space="preserve">Extremidade FD F/JM PN-25 DN  800 </v>
          </cell>
          <cell r="C3050" t="str">
            <v>ud</v>
          </cell>
          <cell r="D3050">
            <v>0</v>
          </cell>
        </row>
        <row r="3051">
          <cell r="A3051" t="str">
            <v>211551</v>
          </cell>
          <cell r="B3051" t="str">
            <v xml:space="preserve">Extremidade FD F/JM PN-25 DN  900 </v>
          </cell>
          <cell r="C3051" t="str">
            <v>ud</v>
          </cell>
          <cell r="D3051">
            <v>0</v>
          </cell>
        </row>
        <row r="3052">
          <cell r="A3052" t="str">
            <v>211552</v>
          </cell>
          <cell r="B3052" t="str">
            <v xml:space="preserve">Extremidade FD F/JM PN-25 DN 1000 </v>
          </cell>
          <cell r="C3052" t="str">
            <v>ud</v>
          </cell>
          <cell r="D3052">
            <v>0</v>
          </cell>
        </row>
        <row r="3053">
          <cell r="A3053" t="str">
            <v>211553</v>
          </cell>
          <cell r="B3053" t="str">
            <v xml:space="preserve">Extremidade FD F/JM PN-25 DN 1100 </v>
          </cell>
          <cell r="C3053" t="str">
            <v>ud</v>
          </cell>
          <cell r="D3053">
            <v>0</v>
          </cell>
        </row>
        <row r="3054">
          <cell r="A3054" t="str">
            <v>211554</v>
          </cell>
          <cell r="B3054" t="str">
            <v xml:space="preserve">Extremidade FD F/JM PN-25 DN 1200 </v>
          </cell>
          <cell r="C3054" t="str">
            <v>ud</v>
          </cell>
          <cell r="D3054">
            <v>0</v>
          </cell>
        </row>
        <row r="3055">
          <cell r="A3055" t="str">
            <v>2116</v>
          </cell>
          <cell r="B3055" t="str">
            <v>EXTREMIDADE FD FLANGE / PONTA</v>
          </cell>
        </row>
        <row r="3056">
          <cell r="A3056" t="str">
            <v>211601</v>
          </cell>
          <cell r="B3056" t="str">
            <v>Extremidade FD FP PN-10 DN50 conforme NBR7675</v>
          </cell>
          <cell r="C3056" t="str">
            <v>ud</v>
          </cell>
          <cell r="D3056">
            <v>0</v>
          </cell>
          <cell r="E3056">
            <v>117.66</v>
          </cell>
          <cell r="F3056">
            <v>117.66</v>
          </cell>
        </row>
        <row r="3057">
          <cell r="A3057" t="str">
            <v>211602</v>
          </cell>
          <cell r="B3057" t="str">
            <v>Extremidade FD FP PN-10 DN75/80 conforme NBR7675</v>
          </cell>
          <cell r="C3057" t="str">
            <v>ud</v>
          </cell>
          <cell r="D3057">
            <v>0</v>
          </cell>
          <cell r="E3057">
            <v>152.21</v>
          </cell>
          <cell r="F3057">
            <v>152.21</v>
          </cell>
        </row>
        <row r="3058">
          <cell r="A3058" t="str">
            <v>211603</v>
          </cell>
          <cell r="B3058" t="str">
            <v>Extremidade FD FP PN-10 DN100 conforme NBR7675</v>
          </cell>
          <cell r="C3058" t="str">
            <v>ud</v>
          </cell>
          <cell r="D3058">
            <v>0</v>
          </cell>
          <cell r="E3058">
            <v>186.83</v>
          </cell>
          <cell r="F3058">
            <v>186.83</v>
          </cell>
        </row>
        <row r="3059">
          <cell r="A3059" t="str">
            <v>211604</v>
          </cell>
          <cell r="B3059" t="str">
            <v>Extremidade FD FP PN-10 DN150 conforme NBR7675</v>
          </cell>
          <cell r="C3059" t="str">
            <v>ud</v>
          </cell>
          <cell r="D3059">
            <v>0</v>
          </cell>
          <cell r="E3059">
            <v>249.08</v>
          </cell>
          <cell r="F3059">
            <v>249.08</v>
          </cell>
        </row>
        <row r="3060">
          <cell r="A3060" t="str">
            <v>211605</v>
          </cell>
          <cell r="B3060" t="str">
            <v>Extremidade FD FP PN-10 DN200 conforme NBR7675</v>
          </cell>
          <cell r="C3060" t="str">
            <v>ud</v>
          </cell>
          <cell r="D3060">
            <v>0</v>
          </cell>
          <cell r="E3060">
            <v>372.49</v>
          </cell>
          <cell r="F3060">
            <v>372.49</v>
          </cell>
        </row>
        <row r="3061">
          <cell r="A3061" t="str">
            <v>211606</v>
          </cell>
          <cell r="B3061" t="str">
            <v>Extremidade FD FP PN-10 DN250 conforme NBR7675</v>
          </cell>
          <cell r="C3061" t="str">
            <v>ud</v>
          </cell>
          <cell r="D3061">
            <v>0</v>
          </cell>
          <cell r="E3061">
            <v>512.03</v>
          </cell>
          <cell r="F3061">
            <v>512.03</v>
          </cell>
        </row>
        <row r="3062">
          <cell r="A3062" t="str">
            <v>211607</v>
          </cell>
          <cell r="B3062" t="str">
            <v>Extremidade FD FP PN-10 DN300 conforme NBR7675 (289537)</v>
          </cell>
          <cell r="C3062" t="str">
            <v>ud</v>
          </cell>
          <cell r="D3062">
            <v>0</v>
          </cell>
          <cell r="E3062">
            <v>733.44</v>
          </cell>
          <cell r="F3062">
            <v>733.44</v>
          </cell>
        </row>
        <row r="3063">
          <cell r="A3063" t="str">
            <v>211608</v>
          </cell>
          <cell r="B3063" t="str">
            <v>Extremidade FD FP PN-10 DN350 conforme NBR7675</v>
          </cell>
          <cell r="C3063" t="str">
            <v>ud</v>
          </cell>
          <cell r="D3063">
            <v>0</v>
          </cell>
          <cell r="E3063">
            <v>847.61</v>
          </cell>
          <cell r="F3063">
            <v>847.61</v>
          </cell>
        </row>
        <row r="3064">
          <cell r="A3064" t="str">
            <v>211609</v>
          </cell>
          <cell r="B3064" t="str">
            <v>Extremidade FD FP PN-10 DN400 conforme NBR7675 (16748)</v>
          </cell>
          <cell r="C3064" t="str">
            <v>ud</v>
          </cell>
          <cell r="D3064">
            <v>0</v>
          </cell>
          <cell r="E3064">
            <v>1058.6400000000001</v>
          </cell>
          <cell r="F3064">
            <v>1058.6400000000001</v>
          </cell>
        </row>
        <row r="3065">
          <cell r="A3065" t="str">
            <v>211610</v>
          </cell>
          <cell r="B3065" t="str">
            <v>Extremidade FD FP PN-10 DN450 conforme NBR7675 (289538)</v>
          </cell>
          <cell r="C3065" t="str">
            <v>ud</v>
          </cell>
          <cell r="D3065">
            <v>0</v>
          </cell>
          <cell r="E3065">
            <v>1202.94</v>
          </cell>
          <cell r="F3065">
            <v>1202.94</v>
          </cell>
        </row>
        <row r="3066">
          <cell r="A3066" t="str">
            <v>211611</v>
          </cell>
          <cell r="B3066" t="str">
            <v>Extremidade FD FP PN-10 DN500 conforme NBR7675</v>
          </cell>
          <cell r="C3066" t="str">
            <v>ud</v>
          </cell>
          <cell r="D3066">
            <v>0</v>
          </cell>
          <cell r="E3066">
            <v>1688.3</v>
          </cell>
          <cell r="F3066">
            <v>1688.3</v>
          </cell>
        </row>
        <row r="3067">
          <cell r="A3067" t="str">
            <v>211612</v>
          </cell>
          <cell r="B3067" t="str">
            <v>Extremidade FD FP PN-10 DN600 conforme NBR7675</v>
          </cell>
          <cell r="C3067" t="str">
            <v>ud</v>
          </cell>
          <cell r="D3067">
            <v>0</v>
          </cell>
          <cell r="E3067">
            <v>2394.06</v>
          </cell>
          <cell r="F3067">
            <v>2394.06</v>
          </cell>
        </row>
        <row r="3068">
          <cell r="A3068" t="str">
            <v>211613</v>
          </cell>
          <cell r="B3068" t="str">
            <v>Extremidade FD FP PN-10 DN700 conforme NBR7675</v>
          </cell>
          <cell r="C3068" t="str">
            <v>ud</v>
          </cell>
          <cell r="D3068">
            <v>0</v>
          </cell>
          <cell r="E3068">
            <v>3096.36</v>
          </cell>
          <cell r="F3068">
            <v>3096.36</v>
          </cell>
        </row>
        <row r="3069">
          <cell r="A3069" t="str">
            <v>211614</v>
          </cell>
          <cell r="B3069" t="str">
            <v>Extremidade FD FP PN-10 DN800 conforme NBR7675 (221996)</v>
          </cell>
          <cell r="C3069" t="str">
            <v>ud</v>
          </cell>
          <cell r="D3069">
            <v>0</v>
          </cell>
          <cell r="E3069">
            <v>3705.23</v>
          </cell>
          <cell r="F3069">
            <v>3705.23</v>
          </cell>
        </row>
        <row r="3070">
          <cell r="A3070" t="str">
            <v>211615</v>
          </cell>
          <cell r="B3070" t="str">
            <v>Extremidade FD FP PN-10 DN900 conforme NBR7675</v>
          </cell>
          <cell r="C3070" t="str">
            <v>ud</v>
          </cell>
          <cell r="D3070">
            <v>0</v>
          </cell>
        </row>
        <row r="3071">
          <cell r="A3071" t="str">
            <v>211616</v>
          </cell>
          <cell r="B3071" t="str">
            <v>Extremidade FD FP PN-10 DN1000 conforme NBR7675</v>
          </cell>
          <cell r="C3071" t="str">
            <v>ud</v>
          </cell>
          <cell r="D3071">
            <v>0</v>
          </cell>
        </row>
        <row r="3072">
          <cell r="A3072" t="str">
            <v>211617</v>
          </cell>
          <cell r="B3072" t="str">
            <v>Extremidade FD FP PN-10 DN1100 conforme NBR7675</v>
          </cell>
          <cell r="C3072" t="str">
            <v>ud</v>
          </cell>
          <cell r="D3072">
            <v>0</v>
          </cell>
        </row>
        <row r="3073">
          <cell r="A3073" t="str">
            <v>211618</v>
          </cell>
          <cell r="B3073" t="str">
            <v>Extremidade FD FP PN-10 DN1200 conforme NBR7675</v>
          </cell>
          <cell r="C3073" t="str">
            <v>ud</v>
          </cell>
          <cell r="D3073">
            <v>0</v>
          </cell>
        </row>
        <row r="3074">
          <cell r="A3074" t="str">
            <v>211619</v>
          </cell>
          <cell r="B3074" t="str">
            <v>Extremidade FD FP PN-16 DN50 conforme NBR7675</v>
          </cell>
          <cell r="C3074" t="str">
            <v>ud</v>
          </cell>
          <cell r="D3074">
            <v>0</v>
          </cell>
          <cell r="E3074">
            <v>117.66</v>
          </cell>
          <cell r="F3074">
            <v>117.66</v>
          </cell>
        </row>
        <row r="3075">
          <cell r="A3075" t="str">
            <v>211620</v>
          </cell>
          <cell r="B3075" t="str">
            <v>Extremidade FD FP PN-16 DN75/80 conforme NBR7675 (174734)</v>
          </cell>
          <cell r="C3075" t="str">
            <v>ud</v>
          </cell>
          <cell r="D3075">
            <v>0</v>
          </cell>
          <cell r="E3075">
            <v>152.21</v>
          </cell>
          <cell r="F3075">
            <v>152.21</v>
          </cell>
        </row>
        <row r="3076">
          <cell r="A3076" t="str">
            <v>211621</v>
          </cell>
          <cell r="B3076" t="str">
            <v>Extremidade FD FP PN-16 DN100 conforme NBR7675 (16527)</v>
          </cell>
          <cell r="C3076" t="str">
            <v>ud</v>
          </cell>
          <cell r="D3076">
            <v>0</v>
          </cell>
          <cell r="E3076">
            <v>186.83</v>
          </cell>
          <cell r="F3076">
            <v>186.83</v>
          </cell>
        </row>
        <row r="3077">
          <cell r="A3077" t="str">
            <v>211622</v>
          </cell>
          <cell r="B3077" t="str">
            <v>Extremidade FD FP PN-16 DN150 conforme NBR7675 (200590)</v>
          </cell>
          <cell r="C3077" t="str">
            <v>ud</v>
          </cell>
          <cell r="D3077">
            <v>0</v>
          </cell>
          <cell r="E3077">
            <v>249.08</v>
          </cell>
          <cell r="F3077">
            <v>249.08</v>
          </cell>
        </row>
        <row r="3078">
          <cell r="A3078" t="str">
            <v>211623</v>
          </cell>
          <cell r="B3078" t="str">
            <v>Extremidade FD FP PN-16 DN200 conforme NBR7675 (213489)</v>
          </cell>
          <cell r="C3078" t="str">
            <v>ud</v>
          </cell>
          <cell r="D3078">
            <v>0</v>
          </cell>
          <cell r="E3078">
            <v>372.49</v>
          </cell>
          <cell r="F3078">
            <v>372.49</v>
          </cell>
        </row>
        <row r="3079">
          <cell r="A3079" t="str">
            <v>211624</v>
          </cell>
          <cell r="B3079" t="str">
            <v>Extremidade FD FP PN-16 DN250 conforme NBR7675 (200158)</v>
          </cell>
          <cell r="C3079" t="str">
            <v>ud</v>
          </cell>
          <cell r="D3079">
            <v>0</v>
          </cell>
          <cell r="E3079">
            <v>512.03</v>
          </cell>
          <cell r="F3079">
            <v>512.03</v>
          </cell>
        </row>
        <row r="3080">
          <cell r="A3080" t="str">
            <v>211625</v>
          </cell>
          <cell r="B3080" t="str">
            <v>Extremidade FD FP PN-16 DN300 conforme NBR7675 (95214)</v>
          </cell>
          <cell r="C3080" t="str">
            <v>ud</v>
          </cell>
          <cell r="D3080">
            <v>0</v>
          </cell>
          <cell r="E3080">
            <v>733.44</v>
          </cell>
          <cell r="F3080">
            <v>733.44</v>
          </cell>
        </row>
        <row r="3081">
          <cell r="A3081" t="str">
            <v>211626</v>
          </cell>
          <cell r="B3081" t="str">
            <v>Extremidade FD FP PN-16 DN350 conforme NBR7675</v>
          </cell>
          <cell r="C3081" t="str">
            <v>ud</v>
          </cell>
          <cell r="D3081">
            <v>0</v>
          </cell>
          <cell r="E3081">
            <v>847.61</v>
          </cell>
          <cell r="F3081">
            <v>847.61</v>
          </cell>
        </row>
        <row r="3082">
          <cell r="A3082" t="str">
            <v>211627</v>
          </cell>
          <cell r="B3082" t="str">
            <v>Extremidade FD FP PN-16 DN400 conforme NBR7675 (63789)</v>
          </cell>
          <cell r="C3082" t="str">
            <v>ud</v>
          </cell>
          <cell r="D3082">
            <v>0</v>
          </cell>
          <cell r="E3082">
            <v>1058.6400000000001</v>
          </cell>
          <cell r="F3082">
            <v>1058.6400000000001</v>
          </cell>
        </row>
        <row r="3083">
          <cell r="A3083" t="str">
            <v>211628</v>
          </cell>
          <cell r="B3083" t="str">
            <v>Extremidade FD FP PN-16 DN450 conforme NBR7675</v>
          </cell>
          <cell r="C3083" t="str">
            <v>ud</v>
          </cell>
          <cell r="D3083">
            <v>0</v>
          </cell>
          <cell r="E3083">
            <v>1202.94</v>
          </cell>
          <cell r="F3083">
            <v>1202.94</v>
          </cell>
        </row>
        <row r="3084">
          <cell r="A3084" t="str">
            <v>211629</v>
          </cell>
          <cell r="B3084" t="str">
            <v>Extremidade FD FP PN-16 DN500 conforme NBR7675 (282663)</v>
          </cell>
          <cell r="C3084" t="str">
            <v>ud</v>
          </cell>
          <cell r="D3084">
            <v>0</v>
          </cell>
          <cell r="E3084">
            <v>1688.3</v>
          </cell>
          <cell r="F3084">
            <v>1688.3</v>
          </cell>
        </row>
        <row r="3085">
          <cell r="A3085" t="str">
            <v>211630</v>
          </cell>
          <cell r="B3085" t="str">
            <v>Extremidade FD FP PN-16 DN600 conforme NBR7675</v>
          </cell>
          <cell r="C3085" t="str">
            <v>ud</v>
          </cell>
          <cell r="D3085">
            <v>0</v>
          </cell>
          <cell r="E3085">
            <v>2394.06</v>
          </cell>
          <cell r="F3085">
            <v>2394.06</v>
          </cell>
        </row>
        <row r="3086">
          <cell r="A3086" t="str">
            <v>211631</v>
          </cell>
          <cell r="B3086" t="str">
            <v>Extremidade FD FP PN-16 DN700 conforme NBR7675</v>
          </cell>
          <cell r="C3086" t="str">
            <v>ud</v>
          </cell>
          <cell r="D3086">
            <v>0</v>
          </cell>
          <cell r="E3086">
            <v>3096.36</v>
          </cell>
          <cell r="F3086">
            <v>3096.36</v>
          </cell>
        </row>
        <row r="3087">
          <cell r="A3087" t="str">
            <v>211632</v>
          </cell>
          <cell r="B3087" t="str">
            <v>Extremidade FD FP PN-16 DN800 conforme NBR7675 (282664)</v>
          </cell>
          <cell r="C3087" t="str">
            <v>ud</v>
          </cell>
          <cell r="D3087">
            <v>0</v>
          </cell>
          <cell r="E3087">
            <v>3705.23</v>
          </cell>
          <cell r="F3087">
            <v>3705.23</v>
          </cell>
        </row>
        <row r="3088">
          <cell r="A3088" t="str">
            <v>211633</v>
          </cell>
          <cell r="B3088" t="str">
            <v>Extremidade FD FP PN-16 DN900 conforme NBR7675</v>
          </cell>
          <cell r="C3088" t="str">
            <v>ud</v>
          </cell>
          <cell r="D3088">
            <v>0</v>
          </cell>
        </row>
        <row r="3089">
          <cell r="A3089" t="str">
            <v>211634</v>
          </cell>
          <cell r="B3089" t="str">
            <v>Extremidade FD FP PN-16 DN1000 conforme NBR7675</v>
          </cell>
          <cell r="C3089" t="str">
            <v>ud</v>
          </cell>
          <cell r="D3089">
            <v>0</v>
          </cell>
        </row>
        <row r="3090">
          <cell r="A3090" t="str">
            <v>211635</v>
          </cell>
          <cell r="B3090" t="str">
            <v>Extremidade FD FP PN-16 DN1100 conforme NBR7675</v>
          </cell>
          <cell r="C3090" t="str">
            <v>ud</v>
          </cell>
          <cell r="D3090">
            <v>0</v>
          </cell>
        </row>
        <row r="3091">
          <cell r="A3091" t="str">
            <v>211636</v>
          </cell>
          <cell r="B3091" t="str">
            <v>Extremidade FD FP PN-16 DN1200 conforme NBR7675</v>
          </cell>
          <cell r="C3091" t="str">
            <v>ud</v>
          </cell>
          <cell r="D3091">
            <v>0</v>
          </cell>
        </row>
        <row r="3092">
          <cell r="A3092" t="str">
            <v>211637</v>
          </cell>
          <cell r="B3092" t="str">
            <v>Extremidade FD FP PN-25 DN50 conforme NBR7675 (185094)</v>
          </cell>
          <cell r="C3092" t="str">
            <v>ud</v>
          </cell>
          <cell r="D3092">
            <v>0</v>
          </cell>
        </row>
        <row r="3093">
          <cell r="A3093" t="str">
            <v>211638</v>
          </cell>
          <cell r="B3093" t="str">
            <v>Extremidade FD FP PN-25 DN75/80 conforme NBR7675</v>
          </cell>
          <cell r="C3093" t="str">
            <v>ud</v>
          </cell>
          <cell r="D3093">
            <v>0</v>
          </cell>
        </row>
        <row r="3094">
          <cell r="A3094" t="str">
            <v>211639</v>
          </cell>
          <cell r="B3094" t="str">
            <v>Extremidade FD FP PN-25 DN100 conforme NBR7675</v>
          </cell>
          <cell r="C3094" t="str">
            <v>ud</v>
          </cell>
          <cell r="D3094">
            <v>0</v>
          </cell>
        </row>
        <row r="3095">
          <cell r="A3095" t="str">
            <v>211640</v>
          </cell>
          <cell r="B3095" t="str">
            <v>Extremidade FD FP PN-25 DN150 conforme NBR7675</v>
          </cell>
          <cell r="C3095" t="str">
            <v>ud</v>
          </cell>
          <cell r="D3095">
            <v>0</v>
          </cell>
        </row>
        <row r="3096">
          <cell r="A3096" t="str">
            <v>211641</v>
          </cell>
          <cell r="B3096" t="str">
            <v>Extremidade FD FP PN-25 DN200 conforme NBR7675</v>
          </cell>
          <cell r="C3096" t="str">
            <v>ud</v>
          </cell>
          <cell r="D3096">
            <v>0</v>
          </cell>
        </row>
        <row r="3097">
          <cell r="A3097" t="str">
            <v>211642</v>
          </cell>
          <cell r="B3097" t="str">
            <v>Extremidade FD FP PN-25 DN250 conforme NBR7675</v>
          </cell>
          <cell r="C3097" t="str">
            <v>ud</v>
          </cell>
          <cell r="D3097">
            <v>0</v>
          </cell>
        </row>
        <row r="3098">
          <cell r="A3098" t="str">
            <v>211643</v>
          </cell>
          <cell r="B3098" t="str">
            <v>Extremidade FD FP PN-25 DN300 conforme NBR7675</v>
          </cell>
          <cell r="C3098" t="str">
            <v>ud</v>
          </cell>
          <cell r="D3098">
            <v>0</v>
          </cell>
        </row>
        <row r="3099">
          <cell r="A3099" t="str">
            <v>211644</v>
          </cell>
          <cell r="B3099" t="str">
            <v>Extremidade FD FP PN-25 DN350 conforme NBR7675</v>
          </cell>
          <cell r="C3099" t="str">
            <v>ud</v>
          </cell>
          <cell r="D3099">
            <v>0</v>
          </cell>
        </row>
        <row r="3100">
          <cell r="A3100" t="str">
            <v>211645</v>
          </cell>
          <cell r="B3100" t="str">
            <v>Extremidade FD FP PN-25 DN400 conforme NBR7675</v>
          </cell>
          <cell r="C3100" t="str">
            <v>ud</v>
          </cell>
          <cell r="D3100">
            <v>0</v>
          </cell>
        </row>
        <row r="3101">
          <cell r="A3101" t="str">
            <v>211646</v>
          </cell>
          <cell r="B3101" t="str">
            <v>Extremidade FD FP PN-25 DN450 conforme NBR7675</v>
          </cell>
          <cell r="C3101" t="str">
            <v>ud</v>
          </cell>
          <cell r="D3101">
            <v>0</v>
          </cell>
        </row>
        <row r="3102">
          <cell r="A3102" t="str">
            <v>211647</v>
          </cell>
          <cell r="B3102" t="str">
            <v>Extremidade FD FP PN-25 DN500 conforme NBR7675</v>
          </cell>
          <cell r="C3102" t="str">
            <v>ud</v>
          </cell>
          <cell r="D3102">
            <v>0</v>
          </cell>
        </row>
        <row r="3103">
          <cell r="A3103" t="str">
            <v>211648</v>
          </cell>
          <cell r="B3103" t="str">
            <v>Extremidade FD FP PN-25 DN600 conforme NBR7675</v>
          </cell>
          <cell r="C3103" t="str">
            <v>ud</v>
          </cell>
          <cell r="D3103">
            <v>0</v>
          </cell>
        </row>
        <row r="3104">
          <cell r="A3104" t="str">
            <v>211649</v>
          </cell>
          <cell r="B3104" t="str">
            <v>Extremidade FD FP PN-25 DN700 conforme NBR7675</v>
          </cell>
          <cell r="C3104" t="str">
            <v>ud</v>
          </cell>
          <cell r="D3104">
            <v>0</v>
          </cell>
        </row>
        <row r="3105">
          <cell r="A3105" t="str">
            <v>211650</v>
          </cell>
          <cell r="B3105" t="str">
            <v>Extremidade FD FP PN-25 DN800 conforme NBR7675</v>
          </cell>
          <cell r="C3105" t="str">
            <v>ud</v>
          </cell>
          <cell r="D3105">
            <v>0</v>
          </cell>
        </row>
        <row r="3106">
          <cell r="A3106" t="str">
            <v>211651</v>
          </cell>
          <cell r="B3106" t="str">
            <v>Extremidade FD FP PN-25 DN900 conforme NBR7675</v>
          </cell>
          <cell r="C3106" t="str">
            <v>ud</v>
          </cell>
          <cell r="D3106">
            <v>0</v>
          </cell>
        </row>
        <row r="3107">
          <cell r="A3107" t="str">
            <v>211652</v>
          </cell>
          <cell r="B3107" t="str">
            <v>Extremidade FD FP PN-25 DN1000 conforme NBR7675</v>
          </cell>
          <cell r="C3107" t="str">
            <v>ud</v>
          </cell>
          <cell r="D3107">
            <v>0</v>
          </cell>
        </row>
        <row r="3108">
          <cell r="A3108" t="str">
            <v>211653</v>
          </cell>
          <cell r="B3108" t="str">
            <v>Extremidade FD FP PN-25 DN1100 conforme NBR7675</v>
          </cell>
          <cell r="C3108" t="str">
            <v>ud</v>
          </cell>
          <cell r="D3108">
            <v>0</v>
          </cell>
        </row>
        <row r="3109">
          <cell r="A3109" t="str">
            <v>211654</v>
          </cell>
          <cell r="B3109" t="str">
            <v>Extremidade FD FP PN-25 DN1200 conforme NBR7675</v>
          </cell>
          <cell r="C3109" t="str">
            <v>ud</v>
          </cell>
          <cell r="D3109">
            <v>0</v>
          </cell>
        </row>
        <row r="3110">
          <cell r="A3110" t="str">
            <v>2117</v>
          </cell>
          <cell r="B3110" t="str">
            <v>EXTREMIDADE FD PONTA / BOLSA JE</v>
          </cell>
        </row>
        <row r="3111">
          <cell r="A3111" t="str">
            <v>211701</v>
          </cell>
          <cell r="B3111" t="str">
            <v xml:space="preserve">Extremidade FD PB JE/JE2GS  DN   50 </v>
          </cell>
          <cell r="C3111" t="str">
            <v>ud</v>
          </cell>
          <cell r="D3111">
            <v>0</v>
          </cell>
        </row>
        <row r="3112">
          <cell r="A3112" t="str">
            <v>211702</v>
          </cell>
          <cell r="B3112" t="str">
            <v>Extremidade FD PB JE/JE2GS  DN   75/80</v>
          </cell>
          <cell r="C3112" t="str">
            <v>ud</v>
          </cell>
          <cell r="D3112">
            <v>0</v>
          </cell>
        </row>
        <row r="3113">
          <cell r="A3113" t="str">
            <v>211703</v>
          </cell>
          <cell r="B3113" t="str">
            <v xml:space="preserve">Extremidade FD PB JE/JE2GS  DN  100 </v>
          </cell>
          <cell r="C3113" t="str">
            <v>ud</v>
          </cell>
          <cell r="D3113">
            <v>0</v>
          </cell>
        </row>
        <row r="3114">
          <cell r="A3114" t="str">
            <v>211704</v>
          </cell>
          <cell r="B3114" t="str">
            <v xml:space="preserve">Extremidade FD PB JE/JE2GS  DN  150 </v>
          </cell>
          <cell r="C3114" t="str">
            <v>ud</v>
          </cell>
          <cell r="D3114">
            <v>0</v>
          </cell>
        </row>
        <row r="3115">
          <cell r="A3115" t="str">
            <v>211705</v>
          </cell>
          <cell r="B3115" t="str">
            <v xml:space="preserve">Extremidade FD PB JE/JE2GS  DN  200 </v>
          </cell>
          <cell r="C3115" t="str">
            <v>ud</v>
          </cell>
          <cell r="D3115">
            <v>0</v>
          </cell>
        </row>
        <row r="3116">
          <cell r="A3116" t="str">
            <v>211706</v>
          </cell>
          <cell r="B3116" t="str">
            <v xml:space="preserve">Extremidade FD PB JE/JE2GS  DN  250 </v>
          </cell>
          <cell r="C3116" t="str">
            <v>ud</v>
          </cell>
          <cell r="D3116">
            <v>0</v>
          </cell>
        </row>
        <row r="3117">
          <cell r="A3117" t="str">
            <v>211707</v>
          </cell>
          <cell r="B3117" t="str">
            <v xml:space="preserve">Extremidade FD PB JE/JE2GS  DN  300 </v>
          </cell>
          <cell r="C3117" t="str">
            <v>ud</v>
          </cell>
          <cell r="D3117">
            <v>0</v>
          </cell>
        </row>
        <row r="3118">
          <cell r="A3118" t="str">
            <v>211708</v>
          </cell>
          <cell r="B3118" t="str">
            <v xml:space="preserve">Extremidade FD PB JE/JE2GS  DN  350 </v>
          </cell>
          <cell r="C3118" t="str">
            <v>ud</v>
          </cell>
          <cell r="D3118">
            <v>0</v>
          </cell>
        </row>
        <row r="3119">
          <cell r="A3119" t="str">
            <v>211709</v>
          </cell>
          <cell r="B3119" t="str">
            <v xml:space="preserve">Extremidade FD PB JE/JE2GS  DN  400 </v>
          </cell>
          <cell r="C3119" t="str">
            <v>ud</v>
          </cell>
          <cell r="D3119">
            <v>0</v>
          </cell>
        </row>
        <row r="3120">
          <cell r="A3120" t="str">
            <v>211710</v>
          </cell>
          <cell r="B3120" t="str">
            <v xml:space="preserve">Extremidade FD PB JE/JE2GS  DN  450 </v>
          </cell>
          <cell r="C3120" t="str">
            <v>ud</v>
          </cell>
          <cell r="D3120">
            <v>0</v>
          </cell>
        </row>
        <row r="3121">
          <cell r="A3121" t="str">
            <v>211711</v>
          </cell>
          <cell r="B3121" t="str">
            <v xml:space="preserve">Extremidade FD PB JE/JE2GS  DN  500 </v>
          </cell>
          <cell r="C3121" t="str">
            <v>ud</v>
          </cell>
          <cell r="D3121">
            <v>0</v>
          </cell>
        </row>
        <row r="3122">
          <cell r="A3122" t="str">
            <v>211712</v>
          </cell>
          <cell r="B3122" t="str">
            <v xml:space="preserve">Extremidade FD PB JE/JE2GS  DN  600 </v>
          </cell>
          <cell r="C3122" t="str">
            <v>ud</v>
          </cell>
          <cell r="D3122">
            <v>0</v>
          </cell>
        </row>
        <row r="3123">
          <cell r="A3123" t="str">
            <v>211713</v>
          </cell>
          <cell r="B3123" t="str">
            <v xml:space="preserve">Extremidade FD PB JE/JE2GS  DN  700 </v>
          </cell>
          <cell r="C3123" t="str">
            <v>ud</v>
          </cell>
          <cell r="D3123">
            <v>0</v>
          </cell>
        </row>
        <row r="3124">
          <cell r="A3124" t="str">
            <v>211714</v>
          </cell>
          <cell r="B3124" t="str">
            <v xml:space="preserve">Extremidade FD PB JE/JE2GS  DN  800 </v>
          </cell>
          <cell r="C3124" t="str">
            <v>ud</v>
          </cell>
          <cell r="D3124">
            <v>0</v>
          </cell>
        </row>
        <row r="3125">
          <cell r="A3125" t="str">
            <v>211715</v>
          </cell>
          <cell r="B3125" t="str">
            <v xml:space="preserve">Extremidade FD PB JE/JE2GS  DN  900 </v>
          </cell>
          <cell r="C3125" t="str">
            <v>ud</v>
          </cell>
          <cell r="D3125">
            <v>0</v>
          </cell>
        </row>
        <row r="3126">
          <cell r="A3126" t="str">
            <v>211716</v>
          </cell>
          <cell r="B3126" t="str">
            <v xml:space="preserve">Extremidade FD PB JE/JE2GS  DN 1000 </v>
          </cell>
          <cell r="C3126" t="str">
            <v>ud</v>
          </cell>
          <cell r="D3126">
            <v>0</v>
          </cell>
        </row>
        <row r="3127">
          <cell r="A3127" t="str">
            <v>211717</v>
          </cell>
          <cell r="B3127" t="str">
            <v xml:space="preserve">Extremidade FD PB JE/JE2GS  DN 1100 </v>
          </cell>
          <cell r="C3127" t="str">
            <v>ud</v>
          </cell>
          <cell r="D3127">
            <v>0</v>
          </cell>
        </row>
        <row r="3128">
          <cell r="A3128" t="str">
            <v>211718</v>
          </cell>
          <cell r="B3128" t="str">
            <v xml:space="preserve">Extremidade FD PB JE/JE2GS  DN 1200 </v>
          </cell>
          <cell r="C3128" t="str">
            <v>ud</v>
          </cell>
          <cell r="D3128">
            <v>0</v>
          </cell>
        </row>
        <row r="3129">
          <cell r="A3129" t="str">
            <v>2119</v>
          </cell>
          <cell r="B3129" t="str">
            <v>EXTREMIDADE FD FLANGE / FLANGE COM ABA DE VEDAÇÃO</v>
          </cell>
        </row>
        <row r="3130">
          <cell r="A3130" t="str">
            <v>211901</v>
          </cell>
          <cell r="B3130" t="str">
            <v xml:space="preserve">Extremidade FD FF PN-10 c/ aba de vedação DN   50 </v>
          </cell>
          <cell r="C3130" t="str">
            <v>ud</v>
          </cell>
          <cell r="D3130">
            <v>0</v>
          </cell>
          <cell r="E3130">
            <v>297.52999999999997</v>
          </cell>
          <cell r="F3130">
            <v>297.52999999999997</v>
          </cell>
        </row>
        <row r="3131">
          <cell r="A3131" t="str">
            <v>211902</v>
          </cell>
          <cell r="B3131" t="str">
            <v xml:space="preserve">Extremidade FD FF PN-10 c/ aba de vedação DN   75/80 </v>
          </cell>
          <cell r="C3131" t="str">
            <v>ud</v>
          </cell>
          <cell r="D3131">
            <v>0</v>
          </cell>
          <cell r="E3131">
            <v>356.33</v>
          </cell>
          <cell r="F3131">
            <v>356.33</v>
          </cell>
        </row>
        <row r="3132">
          <cell r="A3132" t="str">
            <v>211903</v>
          </cell>
          <cell r="B3132" t="str">
            <v xml:space="preserve">Extremidade FD FF PN-10 c/ aba de vedação DN  100 </v>
          </cell>
          <cell r="C3132" t="str">
            <v>ud</v>
          </cell>
          <cell r="D3132">
            <v>0</v>
          </cell>
          <cell r="E3132">
            <v>408.26</v>
          </cell>
          <cell r="F3132">
            <v>408.26</v>
          </cell>
        </row>
        <row r="3133">
          <cell r="A3133" t="str">
            <v>211904</v>
          </cell>
          <cell r="B3133" t="str">
            <v>Extremidade FD FF PN-10 c/ aba de vedação DN  150 (207772)</v>
          </cell>
          <cell r="C3133" t="str">
            <v>ud</v>
          </cell>
          <cell r="D3133">
            <v>0</v>
          </cell>
          <cell r="E3133">
            <v>563.91999999999996</v>
          </cell>
          <cell r="F3133">
            <v>563.91999999999996</v>
          </cell>
        </row>
        <row r="3134">
          <cell r="A3134" t="str">
            <v>211905</v>
          </cell>
          <cell r="B3134" t="str">
            <v>Extremidade FD FF PN-10 c/ aba de vedação DN  200 (124486)</v>
          </cell>
          <cell r="C3134" t="str">
            <v>ud</v>
          </cell>
          <cell r="D3134">
            <v>0</v>
          </cell>
          <cell r="E3134">
            <v>761.28</v>
          </cell>
          <cell r="F3134">
            <v>761.28</v>
          </cell>
        </row>
        <row r="3135">
          <cell r="A3135" t="str">
            <v>211906</v>
          </cell>
          <cell r="B3135" t="str">
            <v>Extremidade FD FF PN-10 c/ aba de vedação DN  250 (214396)</v>
          </cell>
          <cell r="C3135" t="str">
            <v>ud</v>
          </cell>
          <cell r="D3135">
            <v>0</v>
          </cell>
          <cell r="E3135">
            <v>978.79</v>
          </cell>
          <cell r="F3135">
            <v>978.79</v>
          </cell>
        </row>
        <row r="3136">
          <cell r="A3136" t="str">
            <v>211907</v>
          </cell>
          <cell r="B3136" t="str">
            <v>Extremidade FD FF PN-10 c/ aba de vedação DN  300 (214400)</v>
          </cell>
          <cell r="C3136" t="str">
            <v>ud</v>
          </cell>
          <cell r="D3136">
            <v>0</v>
          </cell>
          <cell r="E3136">
            <v>1264.27</v>
          </cell>
          <cell r="F3136">
            <v>1264.27</v>
          </cell>
        </row>
        <row r="3137">
          <cell r="A3137" t="str">
            <v>211908</v>
          </cell>
          <cell r="B3137" t="str">
            <v xml:space="preserve">Extremidade FD FF PN-10 c/ aba de vedação DN  350 </v>
          </cell>
          <cell r="C3137" t="str">
            <v>ud</v>
          </cell>
          <cell r="D3137">
            <v>0</v>
          </cell>
          <cell r="E3137">
            <v>1329.54</v>
          </cell>
          <cell r="F3137">
            <v>1329.54</v>
          </cell>
        </row>
        <row r="3138">
          <cell r="A3138" t="str">
            <v>211909</v>
          </cell>
          <cell r="B3138" t="str">
            <v>Extremidade FD FF PN-10 c/ aba de vedação DN  400 (214426)</v>
          </cell>
          <cell r="C3138" t="str">
            <v>ud</v>
          </cell>
          <cell r="D3138">
            <v>0</v>
          </cell>
          <cell r="E3138">
            <v>1494.55</v>
          </cell>
          <cell r="F3138">
            <v>1494.55</v>
          </cell>
        </row>
        <row r="3139">
          <cell r="A3139" t="str">
            <v>211910</v>
          </cell>
          <cell r="B3139" t="str">
            <v xml:space="preserve">Extremidade FD FF PN-10 c/ aba de vedação DN  450 </v>
          </cell>
          <cell r="C3139" t="str">
            <v>ud</v>
          </cell>
          <cell r="D3139">
            <v>0</v>
          </cell>
        </row>
        <row r="3140">
          <cell r="A3140" t="str">
            <v>211911</v>
          </cell>
          <cell r="B3140" t="str">
            <v>Extremidade FD FF PN-10 c/ aba de vedação DN  500 (214434)</v>
          </cell>
          <cell r="C3140" t="str">
            <v>ud</v>
          </cell>
          <cell r="D3140">
            <v>0</v>
          </cell>
          <cell r="E3140">
            <v>3176.13</v>
          </cell>
          <cell r="F3140">
            <v>3176.13</v>
          </cell>
        </row>
        <row r="3141">
          <cell r="A3141" t="str">
            <v>211912</v>
          </cell>
          <cell r="B3141" t="str">
            <v xml:space="preserve">Extremidade FD FF PN-10 c/ aba de vedação DN  600 </v>
          </cell>
          <cell r="C3141" t="str">
            <v>ud</v>
          </cell>
          <cell r="D3141">
            <v>0</v>
          </cell>
          <cell r="E3141">
            <v>3303.43</v>
          </cell>
          <cell r="F3141">
            <v>3303.43</v>
          </cell>
        </row>
        <row r="3142">
          <cell r="A3142" t="str">
            <v>211913</v>
          </cell>
          <cell r="B3142" t="str">
            <v xml:space="preserve">Extremidade FD FF PN-10 c/ aba de vedação DN  700 </v>
          </cell>
          <cell r="C3142" t="str">
            <v>ud</v>
          </cell>
          <cell r="D3142">
            <v>0</v>
          </cell>
        </row>
        <row r="3143">
          <cell r="A3143" t="str">
            <v>211914</v>
          </cell>
          <cell r="B3143" t="str">
            <v xml:space="preserve">Extremidade FD FF PN-10 c/ aba de vedação DN  800 </v>
          </cell>
          <cell r="C3143" t="str">
            <v>ud</v>
          </cell>
          <cell r="D3143">
            <v>0</v>
          </cell>
          <cell r="E3143">
            <v>5051</v>
          </cell>
          <cell r="F3143">
            <v>5051</v>
          </cell>
        </row>
        <row r="3144">
          <cell r="A3144" t="str">
            <v>211915</v>
          </cell>
          <cell r="B3144" t="str">
            <v xml:space="preserve">Extremidade FD FF PN-10 c/ aba de vedação DN  900 </v>
          </cell>
          <cell r="C3144" t="str">
            <v>ud</v>
          </cell>
          <cell r="D3144">
            <v>0</v>
          </cell>
        </row>
        <row r="3145">
          <cell r="A3145" t="str">
            <v>211916</v>
          </cell>
          <cell r="B3145" t="str">
            <v xml:space="preserve">Extremidade FD FF PN-10 c/ aba de vedação DN 1000 </v>
          </cell>
          <cell r="C3145" t="str">
            <v>ud</v>
          </cell>
          <cell r="D3145">
            <v>0</v>
          </cell>
        </row>
        <row r="3146">
          <cell r="A3146" t="str">
            <v>211917</v>
          </cell>
          <cell r="B3146" t="str">
            <v xml:space="preserve">Extremidade FD FF PN-10 c/ aba de vedação DN 1100 </v>
          </cell>
          <cell r="C3146" t="str">
            <v>ud</v>
          </cell>
          <cell r="D3146">
            <v>0</v>
          </cell>
        </row>
        <row r="3147">
          <cell r="A3147" t="str">
            <v>211918</v>
          </cell>
          <cell r="B3147" t="str">
            <v xml:space="preserve">Extremidade FD FF PN-10 c/ aba de vedação DN 1200 </v>
          </cell>
          <cell r="C3147" t="str">
            <v>ud</v>
          </cell>
          <cell r="D3147">
            <v>0</v>
          </cell>
        </row>
        <row r="3148">
          <cell r="A3148" t="str">
            <v>211919</v>
          </cell>
          <cell r="B3148" t="str">
            <v xml:space="preserve">Extremidade FD FF PN-16 c/ aba de vedação DN   50 </v>
          </cell>
          <cell r="C3148" t="str">
            <v>ud</v>
          </cell>
          <cell r="D3148">
            <v>0</v>
          </cell>
          <cell r="E3148">
            <v>297.52999999999997</v>
          </cell>
          <cell r="F3148">
            <v>297.52999999999997</v>
          </cell>
        </row>
        <row r="3149">
          <cell r="A3149" t="str">
            <v>211920</v>
          </cell>
          <cell r="B3149" t="str">
            <v>Extremidade FD FF PN-16 c/ aba de vedação DN   75/80 (190357)</v>
          </cell>
          <cell r="C3149" t="str">
            <v>ud</v>
          </cell>
          <cell r="D3149">
            <v>0</v>
          </cell>
          <cell r="E3149">
            <v>356.33</v>
          </cell>
          <cell r="F3149">
            <v>356.33</v>
          </cell>
        </row>
        <row r="3150">
          <cell r="A3150" t="str">
            <v>211921</v>
          </cell>
          <cell r="B3150" t="str">
            <v>Extremidade FD FF PN-16 c/ aba de vedação DN  100 (190365)</v>
          </cell>
          <cell r="C3150" t="str">
            <v>ud</v>
          </cell>
          <cell r="D3150">
            <v>0</v>
          </cell>
          <cell r="E3150">
            <v>408.26</v>
          </cell>
          <cell r="F3150">
            <v>408.26</v>
          </cell>
        </row>
        <row r="3151">
          <cell r="A3151" t="str">
            <v>211922</v>
          </cell>
          <cell r="B3151" t="str">
            <v>Extremidade FD FF PN-16 c/ aba de vedação DN  150 (204234)</v>
          </cell>
          <cell r="C3151" t="str">
            <v>ud</v>
          </cell>
          <cell r="D3151">
            <v>0</v>
          </cell>
          <cell r="E3151">
            <v>563.91999999999996</v>
          </cell>
          <cell r="F3151">
            <v>563.91999999999996</v>
          </cell>
        </row>
        <row r="3152">
          <cell r="A3152" t="str">
            <v>211923</v>
          </cell>
          <cell r="B3152" t="str">
            <v>Extremidade FD FF PN-16 c/ aba de vedação DN  200 (214507)</v>
          </cell>
          <cell r="C3152" t="str">
            <v>ud</v>
          </cell>
          <cell r="D3152">
            <v>0</v>
          </cell>
          <cell r="E3152">
            <v>761.28</v>
          </cell>
          <cell r="F3152">
            <v>761.28</v>
          </cell>
        </row>
        <row r="3153">
          <cell r="A3153" t="str">
            <v>211924</v>
          </cell>
          <cell r="B3153" t="str">
            <v xml:space="preserve">Extremidade FD FF PN-16 c/ aba de vedação DN  250 </v>
          </cell>
          <cell r="C3153" t="str">
            <v>ud</v>
          </cell>
          <cell r="D3153">
            <v>0</v>
          </cell>
          <cell r="E3153">
            <v>978.79</v>
          </cell>
          <cell r="F3153">
            <v>978.79</v>
          </cell>
        </row>
        <row r="3154">
          <cell r="A3154" t="str">
            <v>211925</v>
          </cell>
          <cell r="B3154" t="str">
            <v>Extremidade FD FF PN-16 c/ aba de vedação DN  300 (214523)</v>
          </cell>
          <cell r="C3154" t="str">
            <v>ud</v>
          </cell>
          <cell r="D3154">
            <v>0</v>
          </cell>
          <cell r="E3154">
            <v>1264.27</v>
          </cell>
          <cell r="F3154">
            <v>1264.27</v>
          </cell>
        </row>
        <row r="3155">
          <cell r="A3155" t="str">
            <v>211926</v>
          </cell>
          <cell r="B3155" t="str">
            <v xml:space="preserve">Extremidade FD FF PN-16 c/ aba de vedação DN  350 </v>
          </cell>
          <cell r="C3155" t="str">
            <v>ud</v>
          </cell>
          <cell r="D3155">
            <v>0</v>
          </cell>
          <cell r="E3155">
            <v>1329.54</v>
          </cell>
          <cell r="F3155">
            <v>1329.54</v>
          </cell>
        </row>
        <row r="3156">
          <cell r="A3156" t="str">
            <v>211927</v>
          </cell>
          <cell r="B3156" t="str">
            <v xml:space="preserve">Extremidade FD FF PN-16 c/ aba de vedação DN  400 </v>
          </cell>
          <cell r="C3156" t="str">
            <v>ud</v>
          </cell>
          <cell r="D3156">
            <v>0</v>
          </cell>
          <cell r="E3156">
            <v>1494.55</v>
          </cell>
          <cell r="F3156">
            <v>1494.55</v>
          </cell>
        </row>
        <row r="3157">
          <cell r="A3157" t="str">
            <v>211928</v>
          </cell>
          <cell r="B3157" t="str">
            <v xml:space="preserve">Extremidade FD FF PN-16 c/ aba de vedação DN  450 </v>
          </cell>
          <cell r="C3157" t="str">
            <v>ud</v>
          </cell>
          <cell r="D3157">
            <v>0</v>
          </cell>
        </row>
        <row r="3158">
          <cell r="A3158" t="str">
            <v>211929</v>
          </cell>
          <cell r="B3158" t="str">
            <v xml:space="preserve">Extremidade FD FF PN-16 c/ aba de vedação DN  500 </v>
          </cell>
          <cell r="C3158" t="str">
            <v>ud</v>
          </cell>
          <cell r="D3158">
            <v>0</v>
          </cell>
          <cell r="E3158">
            <v>3176.13</v>
          </cell>
          <cell r="F3158">
            <v>3176.13</v>
          </cell>
        </row>
        <row r="3159">
          <cell r="A3159" t="str">
            <v>211930</v>
          </cell>
          <cell r="B3159" t="str">
            <v xml:space="preserve">Extremidade FD FF PN-16 c/ aba de vedação DN  600 </v>
          </cell>
          <cell r="C3159" t="str">
            <v>ud</v>
          </cell>
          <cell r="D3159">
            <v>0</v>
          </cell>
          <cell r="E3159">
            <v>3303.43</v>
          </cell>
          <cell r="F3159">
            <v>3303.43</v>
          </cell>
        </row>
        <row r="3160">
          <cell r="A3160" t="str">
            <v>211931</v>
          </cell>
          <cell r="B3160" t="str">
            <v xml:space="preserve">Extremidade FD FF PN-16 c/ aba de vedação DN  700 </v>
          </cell>
          <cell r="C3160" t="str">
            <v>ud</v>
          </cell>
          <cell r="D3160">
            <v>0</v>
          </cell>
        </row>
        <row r="3161">
          <cell r="A3161" t="str">
            <v>211932</v>
          </cell>
          <cell r="B3161" t="str">
            <v xml:space="preserve">Extremidade FD FF PN-16 c/ aba de vedação DN  800 </v>
          </cell>
          <cell r="C3161" t="str">
            <v>ud</v>
          </cell>
          <cell r="D3161">
            <v>0</v>
          </cell>
          <cell r="E3161">
            <v>5051</v>
          </cell>
          <cell r="F3161">
            <v>5051</v>
          </cell>
        </row>
        <row r="3162">
          <cell r="A3162" t="str">
            <v>211933</v>
          </cell>
          <cell r="B3162" t="str">
            <v xml:space="preserve">Extremidade FD FF PN-16 c/ aba de vedação DN  900 </v>
          </cell>
          <cell r="C3162" t="str">
            <v>ud</v>
          </cell>
          <cell r="D3162">
            <v>0</v>
          </cell>
        </row>
        <row r="3163">
          <cell r="A3163" t="str">
            <v>211934</v>
          </cell>
          <cell r="B3163" t="str">
            <v xml:space="preserve">Extremidade FD FF PN-16 c/ aba de vedação DN 1000 </v>
          </cell>
          <cell r="C3163" t="str">
            <v>ud</v>
          </cell>
          <cell r="D3163">
            <v>0</v>
          </cell>
        </row>
        <row r="3164">
          <cell r="A3164" t="str">
            <v>211935</v>
          </cell>
          <cell r="B3164" t="str">
            <v xml:space="preserve">Extremidade FD FF PN-16 c/ aba de vedação DN 1100 </v>
          </cell>
          <cell r="C3164" t="str">
            <v>ud</v>
          </cell>
          <cell r="D3164">
            <v>0</v>
          </cell>
        </row>
        <row r="3165">
          <cell r="A3165" t="str">
            <v>211936</v>
          </cell>
          <cell r="B3165" t="str">
            <v xml:space="preserve">Extremidade FD FF PN-16 c/ aba de vedação DN 1200 </v>
          </cell>
          <cell r="C3165" t="str">
            <v>ud</v>
          </cell>
          <cell r="D3165">
            <v>0</v>
          </cell>
        </row>
        <row r="3166">
          <cell r="A3166" t="str">
            <v>211937</v>
          </cell>
          <cell r="B3166" t="str">
            <v>Extremidade FD FF PN-25 c/ aba de vedação DN   50 (214590)</v>
          </cell>
          <cell r="C3166" t="str">
            <v>ud</v>
          </cell>
          <cell r="D3166">
            <v>0</v>
          </cell>
        </row>
        <row r="3167">
          <cell r="A3167" t="str">
            <v>211938</v>
          </cell>
          <cell r="B3167" t="str">
            <v>Extremidade FD FF PN-25 c/ aba de vedação DN   75/80</v>
          </cell>
          <cell r="C3167" t="str">
            <v>ud</v>
          </cell>
          <cell r="D3167">
            <v>0</v>
          </cell>
        </row>
        <row r="3168">
          <cell r="A3168" t="str">
            <v>211939</v>
          </cell>
          <cell r="B3168" t="str">
            <v xml:space="preserve">Extremidade FD FF PN-25 c/ aba de vedação DN  100 </v>
          </cell>
          <cell r="C3168" t="str">
            <v>ud</v>
          </cell>
          <cell r="D3168">
            <v>0</v>
          </cell>
        </row>
        <row r="3169">
          <cell r="A3169" t="str">
            <v>211940</v>
          </cell>
          <cell r="B3169" t="str">
            <v xml:space="preserve">Extremidade FD FF PN-25 c/ aba de vedação DN  150 </v>
          </cell>
          <cell r="C3169" t="str">
            <v>ud</v>
          </cell>
          <cell r="D3169">
            <v>0</v>
          </cell>
        </row>
        <row r="3170">
          <cell r="A3170" t="str">
            <v>211941</v>
          </cell>
          <cell r="B3170" t="str">
            <v xml:space="preserve">Extremidade FD FF PN-25 c/ aba de vedação DN  200 </v>
          </cell>
          <cell r="C3170" t="str">
            <v>ud</v>
          </cell>
          <cell r="D3170">
            <v>0</v>
          </cell>
        </row>
        <row r="3171">
          <cell r="A3171" t="str">
            <v>211942</v>
          </cell>
          <cell r="B3171" t="str">
            <v>Extremidade FD FF PN-25 c/ aba de vedação DN  250 (214647)</v>
          </cell>
          <cell r="C3171" t="str">
            <v>ud</v>
          </cell>
          <cell r="D3171">
            <v>0</v>
          </cell>
        </row>
        <row r="3172">
          <cell r="A3172" t="str">
            <v>211943</v>
          </cell>
          <cell r="B3172" t="str">
            <v>Extremidade FD FF PN-25 c/ aba de vedação DN  300 (214655)</v>
          </cell>
          <cell r="C3172" t="str">
            <v>ud</v>
          </cell>
          <cell r="D3172">
            <v>0</v>
          </cell>
        </row>
        <row r="3173">
          <cell r="A3173" t="str">
            <v>211944</v>
          </cell>
          <cell r="B3173" t="str">
            <v xml:space="preserve">Extremidade FD FF PN-25 c/ aba de vedação DN  350 </v>
          </cell>
          <cell r="C3173" t="str">
            <v>ud</v>
          </cell>
          <cell r="D3173">
            <v>0</v>
          </cell>
        </row>
        <row r="3174">
          <cell r="A3174" t="str">
            <v>211945</v>
          </cell>
          <cell r="B3174" t="str">
            <v xml:space="preserve">Extremidade FD FF PN-25 c/ aba de vedação DN  400 </v>
          </cell>
          <cell r="C3174" t="str">
            <v>ud</v>
          </cell>
          <cell r="D3174">
            <v>0</v>
          </cell>
        </row>
        <row r="3175">
          <cell r="A3175" t="str">
            <v>211946</v>
          </cell>
          <cell r="B3175" t="str">
            <v xml:space="preserve">Extremidade FD FF PN-25 c/ aba de vedação DN  450 </v>
          </cell>
          <cell r="C3175" t="str">
            <v>ud</v>
          </cell>
          <cell r="D3175">
            <v>0</v>
          </cell>
        </row>
        <row r="3176">
          <cell r="A3176" t="str">
            <v>211947</v>
          </cell>
          <cell r="B3176" t="str">
            <v xml:space="preserve">Extremidade FD FF PN-25 c/ aba de vedação DN  500 </v>
          </cell>
          <cell r="C3176" t="str">
            <v>ud</v>
          </cell>
          <cell r="D3176">
            <v>0</v>
          </cell>
        </row>
        <row r="3177">
          <cell r="A3177" t="str">
            <v>211948</v>
          </cell>
          <cell r="B3177" t="str">
            <v xml:space="preserve">Extremidade FD FF PN-25 c/ aba de vedação DN  600 </v>
          </cell>
          <cell r="C3177" t="str">
            <v>ud</v>
          </cell>
          <cell r="D3177">
            <v>0</v>
          </cell>
        </row>
        <row r="3178">
          <cell r="A3178" t="str">
            <v>211949</v>
          </cell>
          <cell r="B3178" t="str">
            <v xml:space="preserve">Extremidade FD FF PN-25 c/ aba de vedação DN  700 </v>
          </cell>
          <cell r="C3178" t="str">
            <v>ud</v>
          </cell>
          <cell r="D3178">
            <v>0</v>
          </cell>
        </row>
        <row r="3179">
          <cell r="A3179" t="str">
            <v>211950</v>
          </cell>
          <cell r="B3179" t="str">
            <v xml:space="preserve">Extremidade FD FF PN-25 c/ aba de vedação DN  800 </v>
          </cell>
          <cell r="C3179" t="str">
            <v>ud</v>
          </cell>
          <cell r="D3179">
            <v>0</v>
          </cell>
        </row>
        <row r="3180">
          <cell r="A3180" t="str">
            <v>211951</v>
          </cell>
          <cell r="B3180" t="str">
            <v xml:space="preserve">Extremidade FD FF PN-25 c/ aba de vedação DN  900 </v>
          </cell>
          <cell r="C3180" t="str">
            <v>ud</v>
          </cell>
          <cell r="D3180">
            <v>0</v>
          </cell>
        </row>
        <row r="3181">
          <cell r="A3181" t="str">
            <v>211952</v>
          </cell>
          <cell r="B3181" t="str">
            <v xml:space="preserve">Extremidade FD FF PN-25 c/ aba de vedação DN 1000 </v>
          </cell>
          <cell r="C3181" t="str">
            <v>ud</v>
          </cell>
          <cell r="D3181">
            <v>0</v>
          </cell>
        </row>
        <row r="3182">
          <cell r="A3182" t="str">
            <v>211953</v>
          </cell>
          <cell r="B3182" t="str">
            <v xml:space="preserve">Extremidade FD FF PN-25 c/ aba de vedação DN 1100 </v>
          </cell>
          <cell r="C3182" t="str">
            <v>ud</v>
          </cell>
          <cell r="D3182">
            <v>0</v>
          </cell>
        </row>
        <row r="3183">
          <cell r="A3183" t="str">
            <v>211954</v>
          </cell>
          <cell r="B3183" t="str">
            <v xml:space="preserve">Extremidade FD FF PN-25 c/ aba de vedação DN 1200 </v>
          </cell>
          <cell r="C3183" t="str">
            <v>ud</v>
          </cell>
          <cell r="D3183">
            <v>0</v>
          </cell>
        </row>
        <row r="3184">
          <cell r="A3184" t="str">
            <v>2121</v>
          </cell>
          <cell r="B3184" t="str">
            <v>EXTREMIDADE FD FLANGE / PONTA COM ABA DE VEDAÇÃO</v>
          </cell>
        </row>
        <row r="3185">
          <cell r="A3185" t="str">
            <v>212101</v>
          </cell>
          <cell r="B3185" t="str">
            <v>Extremidade FD FP PN-10 com aba de vedação DN50 conforme NBR7675</v>
          </cell>
          <cell r="C3185" t="str">
            <v>ud</v>
          </cell>
          <cell r="D3185">
            <v>0</v>
          </cell>
          <cell r="E3185">
            <v>269.85000000000002</v>
          </cell>
          <cell r="F3185">
            <v>269.85000000000002</v>
          </cell>
        </row>
        <row r="3186">
          <cell r="A3186" t="str">
            <v>212102</v>
          </cell>
          <cell r="B3186" t="str">
            <v>Extremidade FD FP PN-10 com aba de vedação DN75/80 conforme NBR7675</v>
          </cell>
          <cell r="C3186" t="str">
            <v>ud</v>
          </cell>
          <cell r="D3186">
            <v>0</v>
          </cell>
          <cell r="E3186">
            <v>328.7</v>
          </cell>
          <cell r="F3186">
            <v>328.7</v>
          </cell>
        </row>
        <row r="3187">
          <cell r="A3187" t="str">
            <v>212103</v>
          </cell>
          <cell r="B3187" t="str">
            <v>Extremidade FD FP PN-10 com aba de vedação DN100 conforme NBR7675</v>
          </cell>
          <cell r="C3187" t="str">
            <v>ud</v>
          </cell>
          <cell r="D3187">
            <v>0</v>
          </cell>
          <cell r="E3187">
            <v>373.66</v>
          </cell>
          <cell r="F3187">
            <v>373.66</v>
          </cell>
        </row>
        <row r="3188">
          <cell r="A3188" t="str">
            <v>212104</v>
          </cell>
          <cell r="B3188" t="str">
            <v>Extremidade FD FP PN-10 com aba de vedação DN150 conforme NBR7675</v>
          </cell>
          <cell r="C3188" t="str">
            <v>ud</v>
          </cell>
          <cell r="D3188">
            <v>0</v>
          </cell>
          <cell r="E3188">
            <v>491.25</v>
          </cell>
          <cell r="F3188">
            <v>491.25</v>
          </cell>
        </row>
        <row r="3189">
          <cell r="A3189" t="str">
            <v>212105</v>
          </cell>
          <cell r="B3189" t="str">
            <v>Extremidade FD FP PN-10 com aba de vedação DN200 conforme NBR7675 (200522)</v>
          </cell>
          <cell r="C3189" t="str">
            <v>ud</v>
          </cell>
          <cell r="D3189">
            <v>0</v>
          </cell>
          <cell r="E3189">
            <v>666.12</v>
          </cell>
          <cell r="F3189">
            <v>666.12</v>
          </cell>
        </row>
        <row r="3190">
          <cell r="A3190" t="str">
            <v>212106</v>
          </cell>
          <cell r="B3190" t="str">
            <v>Extremidade FD FP PN-10 com aba de vedação DN250 conforme NBR7675 (199893)</v>
          </cell>
          <cell r="C3190" t="str">
            <v>ud</v>
          </cell>
          <cell r="D3190">
            <v>0</v>
          </cell>
          <cell r="E3190">
            <v>897.23</v>
          </cell>
          <cell r="F3190">
            <v>897.23</v>
          </cell>
        </row>
        <row r="3191">
          <cell r="A3191" t="str">
            <v>212107</v>
          </cell>
          <cell r="B3191" t="str">
            <v>Extremidade FD FP PN-10 com aba de vedação DN300 conforme NBR7675</v>
          </cell>
          <cell r="C3191" t="str">
            <v>ud</v>
          </cell>
          <cell r="D3191">
            <v>0</v>
          </cell>
          <cell r="E3191">
            <v>1169.1099999999999</v>
          </cell>
          <cell r="F3191">
            <v>1169.1099999999999</v>
          </cell>
        </row>
        <row r="3192">
          <cell r="A3192" t="str">
            <v>212108</v>
          </cell>
          <cell r="B3192" t="str">
            <v>Extremidade FD FP PN-10 com aba de vedação DN350 conforme NBR7675</v>
          </cell>
          <cell r="C3192" t="str">
            <v>ud</v>
          </cell>
          <cell r="D3192">
            <v>0</v>
          </cell>
          <cell r="E3192">
            <v>1195.1300000000001</v>
          </cell>
          <cell r="F3192">
            <v>1195.1300000000001</v>
          </cell>
        </row>
        <row r="3193">
          <cell r="A3193" t="str">
            <v>212109</v>
          </cell>
          <cell r="B3193" t="str">
            <v>Extremidade FD FP PN-10 com aba de vedação DN400 conforme NBR7675 (214205)</v>
          </cell>
          <cell r="C3193" t="str">
            <v>ud</v>
          </cell>
          <cell r="D3193">
            <v>0</v>
          </cell>
          <cell r="E3193">
            <v>1376.9</v>
          </cell>
          <cell r="F3193">
            <v>1376.9</v>
          </cell>
        </row>
        <row r="3194">
          <cell r="A3194" t="str">
            <v>212110</v>
          </cell>
          <cell r="B3194" t="str">
            <v>Extremidade FD FP PN-10 com aba de vedação DN450 conforme NBR7675</v>
          </cell>
          <cell r="C3194" t="str">
            <v>ud</v>
          </cell>
          <cell r="D3194">
            <v>0</v>
          </cell>
        </row>
        <row r="3195">
          <cell r="A3195" t="str">
            <v>212111</v>
          </cell>
          <cell r="B3195" t="str">
            <v>Extremidade FD FP PN-10 com aba de vedação DN500 conforme NBR7675 (289536)</v>
          </cell>
          <cell r="C3195" t="str">
            <v>ud</v>
          </cell>
          <cell r="D3195">
            <v>0</v>
          </cell>
          <cell r="E3195">
            <v>1600.35</v>
          </cell>
          <cell r="F3195">
            <v>1600.35</v>
          </cell>
        </row>
        <row r="3196">
          <cell r="A3196" t="str">
            <v>212112</v>
          </cell>
          <cell r="B3196" t="str">
            <v>Extremidade FD FP PN-10 com aba de vedação DN600 conforme NBR7675 (214221)</v>
          </cell>
          <cell r="C3196" t="str">
            <v>ud</v>
          </cell>
          <cell r="D3196">
            <v>0</v>
          </cell>
          <cell r="E3196">
            <v>2676.72</v>
          </cell>
          <cell r="F3196">
            <v>2676.72</v>
          </cell>
        </row>
        <row r="3197">
          <cell r="A3197" t="str">
            <v>212113</v>
          </cell>
          <cell r="B3197" t="str">
            <v>Extremidade FD FP PN-10 com aba de vedação DN700 conforme NBR7675</v>
          </cell>
          <cell r="C3197" t="str">
            <v>ud</v>
          </cell>
          <cell r="D3197">
            <v>0</v>
          </cell>
          <cell r="E3197">
            <v>2854.17</v>
          </cell>
          <cell r="F3197">
            <v>2854.17</v>
          </cell>
        </row>
        <row r="3198">
          <cell r="A3198" t="str">
            <v>212114</v>
          </cell>
          <cell r="B3198" t="str">
            <v>Extremidade FD FP PN-10 com aba de vedação DN800 conforme NBR7675</v>
          </cell>
          <cell r="C3198" t="str">
            <v>ud</v>
          </cell>
          <cell r="D3198">
            <v>0</v>
          </cell>
          <cell r="E3198">
            <v>4386.7700000000004</v>
          </cell>
          <cell r="F3198">
            <v>4386.7700000000004</v>
          </cell>
        </row>
        <row r="3199">
          <cell r="A3199" t="str">
            <v>212115</v>
          </cell>
          <cell r="B3199" t="str">
            <v>Extremidade FD FP PN-10 com aba de vedação DN900 conforme NBR7675 (250660)</v>
          </cell>
          <cell r="C3199" t="str">
            <v>ud</v>
          </cell>
          <cell r="D3199">
            <v>0</v>
          </cell>
        </row>
        <row r="3200">
          <cell r="A3200" t="str">
            <v>212116</v>
          </cell>
          <cell r="B3200" t="str">
            <v>Extremidade FD FP PN-10 com aba de vedação DN1000 conforme NBR7675</v>
          </cell>
          <cell r="C3200" t="str">
            <v>ud</v>
          </cell>
          <cell r="D3200">
            <v>0</v>
          </cell>
        </row>
        <row r="3201">
          <cell r="A3201" t="str">
            <v>212117</v>
          </cell>
          <cell r="B3201" t="str">
            <v>Extremidade FD FP PN-10 com aba de vedação DN1100 conforme NBR7675</v>
          </cell>
          <cell r="C3201" t="str">
            <v>ud</v>
          </cell>
          <cell r="D3201">
            <v>0</v>
          </cell>
        </row>
        <row r="3202">
          <cell r="A3202" t="str">
            <v>212118</v>
          </cell>
          <cell r="B3202" t="str">
            <v>Extremidade FD FP PN-10 com aba de vedação DN1200 conforme NBR7675</v>
          </cell>
          <cell r="C3202" t="str">
            <v>ud</v>
          </cell>
          <cell r="D3202">
            <v>0</v>
          </cell>
        </row>
        <row r="3203">
          <cell r="A3203" t="str">
            <v>212119</v>
          </cell>
          <cell r="B3203" t="str">
            <v>Extremidade FD FP PN-16 com aba de vedação DN50 conforme NBR7675</v>
          </cell>
          <cell r="C3203" t="str">
            <v>ud</v>
          </cell>
          <cell r="D3203">
            <v>0</v>
          </cell>
          <cell r="E3203">
            <v>269.85000000000002</v>
          </cell>
          <cell r="F3203">
            <v>269.85000000000002</v>
          </cell>
        </row>
        <row r="3204">
          <cell r="A3204" t="str">
            <v>212120</v>
          </cell>
          <cell r="B3204" t="str">
            <v>Extremidade FD FP PN-16 com aba de vedação DN75/80 conforme NBR7675 (213098)</v>
          </cell>
          <cell r="C3204" t="str">
            <v>ud</v>
          </cell>
          <cell r="D3204">
            <v>0</v>
          </cell>
          <cell r="E3204">
            <v>328.7</v>
          </cell>
          <cell r="F3204">
            <v>328.7</v>
          </cell>
        </row>
        <row r="3205">
          <cell r="A3205" t="str">
            <v>212121</v>
          </cell>
          <cell r="B3205" t="str">
            <v>Extremidade FD FP PN-16 com aba de vedação DN100 conforme NBR7675 (190373)</v>
          </cell>
          <cell r="C3205" t="str">
            <v>ud</v>
          </cell>
          <cell r="D3205">
            <v>0</v>
          </cell>
          <cell r="E3205">
            <v>373.66</v>
          </cell>
          <cell r="F3205">
            <v>373.66</v>
          </cell>
        </row>
        <row r="3206">
          <cell r="A3206" t="str">
            <v>212122</v>
          </cell>
          <cell r="B3206" t="str">
            <v>Extremidade FD FP PN-16 com aba de vedação DN150 conforme NBR7675 (190381)</v>
          </cell>
          <cell r="C3206" t="str">
            <v>ud</v>
          </cell>
          <cell r="D3206">
            <v>0</v>
          </cell>
          <cell r="E3206">
            <v>491.25</v>
          </cell>
          <cell r="F3206">
            <v>491.25</v>
          </cell>
        </row>
        <row r="3207">
          <cell r="A3207" t="str">
            <v>212123</v>
          </cell>
          <cell r="B3207" t="str">
            <v>Extremidade FD FP PN-16 com aba de vedação DN200 conforme NBR7675 (2077130</v>
          </cell>
          <cell r="C3207" t="str">
            <v>ud</v>
          </cell>
          <cell r="D3207">
            <v>0</v>
          </cell>
          <cell r="E3207">
            <v>666.12</v>
          </cell>
          <cell r="F3207">
            <v>666.12</v>
          </cell>
        </row>
        <row r="3208">
          <cell r="A3208" t="str">
            <v>212124</v>
          </cell>
          <cell r="B3208" t="str">
            <v>Extremidade FD FP PN-16 com aba de vedação DN250 conforme NBR7675</v>
          </cell>
          <cell r="C3208" t="str">
            <v>ud</v>
          </cell>
          <cell r="D3208">
            <v>0</v>
          </cell>
          <cell r="E3208">
            <v>897.23</v>
          </cell>
          <cell r="F3208">
            <v>897.23</v>
          </cell>
        </row>
        <row r="3209">
          <cell r="A3209" t="str">
            <v>212125</v>
          </cell>
          <cell r="B3209" t="str">
            <v>Extremidade FD FP PN-16 com aba de vedação DN300 conforme NBR7675</v>
          </cell>
          <cell r="C3209" t="str">
            <v>ud</v>
          </cell>
          <cell r="D3209">
            <v>0</v>
          </cell>
          <cell r="E3209">
            <v>1169.1099999999999</v>
          </cell>
          <cell r="F3209">
            <v>1169.1099999999999</v>
          </cell>
        </row>
        <row r="3210">
          <cell r="A3210" t="str">
            <v>212126</v>
          </cell>
          <cell r="B3210" t="str">
            <v>Extremidade FD FP PN-16 com aba de vedação DN350 conforme NBR7675</v>
          </cell>
          <cell r="C3210" t="str">
            <v>ud</v>
          </cell>
          <cell r="D3210">
            <v>0</v>
          </cell>
          <cell r="E3210">
            <v>1195.1300000000001</v>
          </cell>
          <cell r="F3210">
            <v>1195.1300000000001</v>
          </cell>
        </row>
        <row r="3211">
          <cell r="A3211" t="str">
            <v>212127</v>
          </cell>
          <cell r="B3211" t="str">
            <v>Extremidade FD FP PN-16 com aba de vedação DN400 conforme NBR7675 (214264)</v>
          </cell>
          <cell r="C3211" t="str">
            <v>ud</v>
          </cell>
          <cell r="D3211">
            <v>0</v>
          </cell>
          <cell r="E3211">
            <v>1376.9</v>
          </cell>
          <cell r="F3211">
            <v>1376.9</v>
          </cell>
        </row>
        <row r="3212">
          <cell r="A3212" t="str">
            <v>212128</v>
          </cell>
          <cell r="B3212" t="str">
            <v>Extremidade FD FP PN-16 com aba de vedação DN450 conforme NBR7675</v>
          </cell>
          <cell r="C3212" t="str">
            <v>ud</v>
          </cell>
          <cell r="D3212">
            <v>0</v>
          </cell>
        </row>
        <row r="3213">
          <cell r="A3213" t="str">
            <v>212129</v>
          </cell>
          <cell r="B3213" t="str">
            <v>Extremidade FD FP PN-16 com aba de vedação DN500 conforme NBR7675 (214272)</v>
          </cell>
          <cell r="C3213" t="str">
            <v>ud</v>
          </cell>
          <cell r="D3213">
            <v>0</v>
          </cell>
          <cell r="E3213">
            <v>1600.35</v>
          </cell>
          <cell r="F3213">
            <v>1600.35</v>
          </cell>
        </row>
        <row r="3214">
          <cell r="A3214" t="str">
            <v>212130</v>
          </cell>
          <cell r="B3214" t="str">
            <v>Extremidade FD FP PN-16 com aba de vedação DN600 conforme NBR7675</v>
          </cell>
          <cell r="C3214" t="str">
            <v>ud</v>
          </cell>
          <cell r="D3214">
            <v>0</v>
          </cell>
          <cell r="E3214">
            <v>2676.72</v>
          </cell>
          <cell r="F3214">
            <v>2676.72</v>
          </cell>
        </row>
        <row r="3215">
          <cell r="A3215" t="str">
            <v>212131</v>
          </cell>
          <cell r="B3215" t="str">
            <v>Extremidade FD FP PN-16 com aba de vedação DN700 conforme NBR7675</v>
          </cell>
          <cell r="C3215" t="str">
            <v>ud</v>
          </cell>
          <cell r="D3215">
            <v>0</v>
          </cell>
          <cell r="E3215">
            <v>2854.17</v>
          </cell>
          <cell r="F3215">
            <v>2854.17</v>
          </cell>
        </row>
        <row r="3216">
          <cell r="A3216" t="str">
            <v>212132</v>
          </cell>
          <cell r="B3216" t="str">
            <v>Extremidade FD FP PN-16 com aba de vedação DN800 conforme NBR7675</v>
          </cell>
          <cell r="C3216" t="str">
            <v>ud</v>
          </cell>
          <cell r="D3216">
            <v>0</v>
          </cell>
          <cell r="E3216">
            <v>4386.7700000000004</v>
          </cell>
          <cell r="F3216">
            <v>4386.7700000000004</v>
          </cell>
        </row>
        <row r="3217">
          <cell r="A3217" t="str">
            <v>212133</v>
          </cell>
          <cell r="B3217" t="str">
            <v>Extremidade FD FP PN-16 com aba de vedação DN900 conforme NBR7675</v>
          </cell>
          <cell r="C3217" t="str">
            <v>ud</v>
          </cell>
          <cell r="D3217">
            <v>0</v>
          </cell>
        </row>
        <row r="3218">
          <cell r="A3218" t="str">
            <v>212134</v>
          </cell>
          <cell r="B3218" t="str">
            <v>Extremidade FD FP PN-16 com aba de vedação DN1000 conforme NBR7675</v>
          </cell>
          <cell r="C3218" t="str">
            <v>ud</v>
          </cell>
          <cell r="D3218">
            <v>0</v>
          </cell>
        </row>
        <row r="3219">
          <cell r="A3219" t="str">
            <v>212135</v>
          </cell>
          <cell r="B3219" t="str">
            <v>Extremidade FD FP PN-16 com aba de vedação DN1100 conforme NBR7675</v>
          </cell>
          <cell r="C3219" t="str">
            <v>ud</v>
          </cell>
          <cell r="D3219">
            <v>0</v>
          </cell>
        </row>
        <row r="3220">
          <cell r="A3220" t="str">
            <v>212136</v>
          </cell>
          <cell r="B3220" t="str">
            <v>Extremidade FD FP PN-16 com aba de vedação DN1200 conforme NBR7675</v>
          </cell>
          <cell r="C3220" t="str">
            <v>ud</v>
          </cell>
          <cell r="D3220">
            <v>0</v>
          </cell>
        </row>
        <row r="3221">
          <cell r="A3221" t="str">
            <v>212137</v>
          </cell>
          <cell r="B3221" t="str">
            <v>Extremidade FD FP PN-25 com aba de vedação DN50 conforme NBR7675</v>
          </cell>
          <cell r="C3221" t="str">
            <v>ud</v>
          </cell>
          <cell r="D3221">
            <v>0</v>
          </cell>
        </row>
        <row r="3222">
          <cell r="A3222" t="str">
            <v>212138</v>
          </cell>
          <cell r="B3222" t="str">
            <v>Extremidade FD FP PN-25 com aba de vedação DN75/80 conforme NBR7675</v>
          </cell>
          <cell r="C3222" t="str">
            <v>ud</v>
          </cell>
          <cell r="D3222">
            <v>0</v>
          </cell>
        </row>
        <row r="3223">
          <cell r="A3223" t="str">
            <v>212139</v>
          </cell>
          <cell r="B3223" t="str">
            <v>Extremidade FD FP PN-25 com aba de vedação DN100 conforme NBR7675</v>
          </cell>
          <cell r="C3223" t="str">
            <v>ud</v>
          </cell>
          <cell r="D3223">
            <v>0</v>
          </cell>
        </row>
        <row r="3224">
          <cell r="A3224" t="str">
            <v>212140</v>
          </cell>
          <cell r="B3224" t="str">
            <v>Extremidade FD FP PN-25 com aba de vedação DN150 conforme NBR7675</v>
          </cell>
          <cell r="C3224" t="str">
            <v>ud</v>
          </cell>
          <cell r="D3224">
            <v>0</v>
          </cell>
        </row>
        <row r="3225">
          <cell r="A3225" t="str">
            <v>212141</v>
          </cell>
          <cell r="B3225" t="str">
            <v>Extremidade FD FP PN-25 com aba de vedação DN200 conforme NBR7675</v>
          </cell>
          <cell r="C3225" t="str">
            <v>ud</v>
          </cell>
          <cell r="D3225">
            <v>0</v>
          </cell>
        </row>
        <row r="3226">
          <cell r="A3226" t="str">
            <v>212142</v>
          </cell>
          <cell r="B3226" t="str">
            <v>Extremidade FD FP PN-25 com aba de vedação DN250 conforme NBR7675</v>
          </cell>
          <cell r="C3226" t="str">
            <v>ud</v>
          </cell>
          <cell r="D3226">
            <v>0</v>
          </cell>
        </row>
        <row r="3227">
          <cell r="A3227" t="str">
            <v>212143</v>
          </cell>
          <cell r="B3227" t="str">
            <v>Extremidade FD FP PN-25 com aba de vedação DN300 conforme NBR7675 (214167)</v>
          </cell>
          <cell r="C3227" t="str">
            <v>ud</v>
          </cell>
          <cell r="D3227">
            <v>0</v>
          </cell>
        </row>
        <row r="3228">
          <cell r="A3228" t="str">
            <v>212144</v>
          </cell>
          <cell r="B3228" t="str">
            <v>Extremidade FD FP PN-25 com aba de vedação DN350 conforme NBR7675</v>
          </cell>
          <cell r="C3228" t="str">
            <v>ud</v>
          </cell>
          <cell r="D3228">
            <v>0</v>
          </cell>
        </row>
        <row r="3229">
          <cell r="A3229" t="str">
            <v>212145</v>
          </cell>
          <cell r="B3229" t="str">
            <v>Extremidade FD FP PN-25 com aba de vedação DN400 conforme NBR7675</v>
          </cell>
          <cell r="C3229" t="str">
            <v>ud</v>
          </cell>
          <cell r="D3229">
            <v>0</v>
          </cell>
        </row>
        <row r="3230">
          <cell r="A3230" t="str">
            <v>212146</v>
          </cell>
          <cell r="B3230" t="str">
            <v>Extremidade FD FP PN-25 com aba de vedação DN450 conforme NBR7675</v>
          </cell>
          <cell r="C3230" t="str">
            <v>ud</v>
          </cell>
          <cell r="D3230">
            <v>0</v>
          </cell>
        </row>
        <row r="3231">
          <cell r="A3231" t="str">
            <v>212147</v>
          </cell>
          <cell r="B3231" t="str">
            <v>Extremidade FD FP PN-25 com aba de vedação DN500 conforme NBR7675</v>
          </cell>
          <cell r="C3231" t="str">
            <v>ud</v>
          </cell>
          <cell r="D3231">
            <v>0</v>
          </cell>
        </row>
        <row r="3232">
          <cell r="A3232" t="str">
            <v>212148</v>
          </cell>
          <cell r="B3232" t="str">
            <v>Extremidade FD FP PN-25 com aba de vedação DN600 conforme NBR7675</v>
          </cell>
          <cell r="C3232" t="str">
            <v>ud</v>
          </cell>
          <cell r="D3232">
            <v>0</v>
          </cell>
        </row>
        <row r="3233">
          <cell r="A3233" t="str">
            <v>212149</v>
          </cell>
          <cell r="B3233" t="str">
            <v>Extremidade FD FP PN-25 com aba de vedação DN700 conforme NBR7675</v>
          </cell>
          <cell r="C3233" t="str">
            <v>ud</v>
          </cell>
          <cell r="D3233">
            <v>0</v>
          </cell>
        </row>
        <row r="3234">
          <cell r="A3234" t="str">
            <v>212150</v>
          </cell>
          <cell r="B3234" t="str">
            <v>Extremidade FD FP PN-25 com aba de vedação DN800 conforme NBR7675</v>
          </cell>
          <cell r="C3234" t="str">
            <v>ud</v>
          </cell>
          <cell r="D3234">
            <v>0</v>
          </cell>
        </row>
        <row r="3235">
          <cell r="A3235" t="str">
            <v>212151</v>
          </cell>
          <cell r="B3235" t="str">
            <v>Extremidade FD FP PN-25 com aba de vedação DN900 conforme NBR7675</v>
          </cell>
          <cell r="C3235" t="str">
            <v>ud</v>
          </cell>
          <cell r="D3235">
            <v>0</v>
          </cell>
        </row>
        <row r="3236">
          <cell r="A3236" t="str">
            <v>212152</v>
          </cell>
          <cell r="B3236" t="str">
            <v>Extremidade FD FP PN-25 com aba de vedação DN1000 conforme NBR7675</v>
          </cell>
          <cell r="C3236" t="str">
            <v>ud</v>
          </cell>
          <cell r="D3236">
            <v>0</v>
          </cell>
        </row>
        <row r="3237">
          <cell r="A3237" t="str">
            <v>212153</v>
          </cell>
          <cell r="B3237" t="str">
            <v>Extremidade FD FP PN-25 com aba de vedação DN1100 conforme NBR7675</v>
          </cell>
          <cell r="C3237" t="str">
            <v>ud</v>
          </cell>
          <cell r="D3237">
            <v>0</v>
          </cell>
        </row>
        <row r="3238">
          <cell r="A3238" t="str">
            <v>212154</v>
          </cell>
          <cell r="B3238" t="str">
            <v>Extremidade FD FP PN-25 com aba de vedação DN1200 conforme NBR7675</v>
          </cell>
          <cell r="C3238" t="str">
            <v>ud</v>
          </cell>
          <cell r="D3238">
            <v>0</v>
          </cell>
        </row>
        <row r="3239">
          <cell r="A3239" t="str">
            <v>2122</v>
          </cell>
          <cell r="B3239" t="str">
            <v>FLANGE FD PARA FG</v>
          </cell>
        </row>
        <row r="3240">
          <cell r="A3240" t="str">
            <v>212203</v>
          </cell>
          <cell r="B3240" t="str">
            <v xml:space="preserve">Flange FD c/ furação PN-10 DN   75/80 rosca BSP Ø 3" </v>
          </cell>
          <cell r="C3240" t="str">
            <v>ud</v>
          </cell>
          <cell r="D3240">
            <v>0</v>
          </cell>
        </row>
        <row r="3241">
          <cell r="A3241" t="str">
            <v>212204</v>
          </cell>
          <cell r="B3241" t="str">
            <v xml:space="preserve">Flange FD c/ furação PN-10 DN 100 rosca BSP Ø 4" </v>
          </cell>
          <cell r="C3241" t="str">
            <v>ud</v>
          </cell>
          <cell r="D3241">
            <v>0</v>
          </cell>
        </row>
        <row r="3242">
          <cell r="A3242" t="str">
            <v>212205</v>
          </cell>
          <cell r="B3242" t="str">
            <v xml:space="preserve">Flange FD c/ furação PN-10 DN 125 rosca BSP Ø 5" </v>
          </cell>
          <cell r="C3242" t="str">
            <v>ud</v>
          </cell>
          <cell r="D3242">
            <v>0</v>
          </cell>
        </row>
        <row r="3243">
          <cell r="A3243" t="str">
            <v>212206</v>
          </cell>
          <cell r="B3243" t="str">
            <v xml:space="preserve">Flange FD c/ furação PN-10 DN 150 rosca BSP Ø 6" </v>
          </cell>
          <cell r="C3243" t="str">
            <v>ud</v>
          </cell>
          <cell r="D3243">
            <v>0</v>
          </cell>
        </row>
        <row r="3244">
          <cell r="A3244" t="str">
            <v>212207</v>
          </cell>
          <cell r="B3244" t="str">
            <v xml:space="preserve">Flange FD c/ furação PN-10 DN 200 rosca BSP Ø 8" </v>
          </cell>
          <cell r="C3244" t="str">
            <v>ud</v>
          </cell>
          <cell r="D3244">
            <v>0</v>
          </cell>
        </row>
        <row r="3245">
          <cell r="A3245" t="str">
            <v>212208</v>
          </cell>
          <cell r="B3245" t="str">
            <v xml:space="preserve">Flange FD c/ furação PN-16 DN   50 rosca BSP Ø 2" </v>
          </cell>
          <cell r="C3245" t="str">
            <v>ud</v>
          </cell>
          <cell r="D3245">
            <v>0</v>
          </cell>
        </row>
        <row r="3246">
          <cell r="A3246" t="str">
            <v>212209</v>
          </cell>
          <cell r="B3246" t="str">
            <v xml:space="preserve">Flange FD c/ furação PN-16 DN   60 rosca BSP Ø 2 1/2" </v>
          </cell>
          <cell r="C3246" t="str">
            <v>ud</v>
          </cell>
          <cell r="D3246">
            <v>0</v>
          </cell>
        </row>
        <row r="3247">
          <cell r="A3247" t="str">
            <v>212210</v>
          </cell>
          <cell r="B3247" t="str">
            <v xml:space="preserve">Flange FD c/ furação PN-16 DN   75/80 rosca BSP Ø 3" </v>
          </cell>
          <cell r="C3247" t="str">
            <v>ud</v>
          </cell>
          <cell r="D3247">
            <v>0</v>
          </cell>
        </row>
        <row r="3248">
          <cell r="A3248" t="str">
            <v>212211</v>
          </cell>
          <cell r="B3248" t="str">
            <v xml:space="preserve">Flange FD c/ furação PN-16 DN 100 rosca BSP Ø 4" </v>
          </cell>
          <cell r="C3248" t="str">
            <v>ud</v>
          </cell>
          <cell r="D3248">
            <v>0</v>
          </cell>
        </row>
        <row r="3249">
          <cell r="A3249" t="str">
            <v>212212</v>
          </cell>
          <cell r="B3249" t="str">
            <v xml:space="preserve">Flange FD c/ furação PN-16 DN 125 rosca BSP Ø 5" </v>
          </cell>
          <cell r="C3249" t="str">
            <v>ud</v>
          </cell>
          <cell r="D3249">
            <v>0</v>
          </cell>
        </row>
        <row r="3250">
          <cell r="A3250" t="str">
            <v>212213</v>
          </cell>
          <cell r="B3250" t="str">
            <v xml:space="preserve">Flange FD c/ furação PN-16 DN 150 rosca BSP Ø 6" </v>
          </cell>
          <cell r="C3250" t="str">
            <v>ud</v>
          </cell>
          <cell r="D3250">
            <v>0</v>
          </cell>
        </row>
        <row r="3251">
          <cell r="A3251" t="str">
            <v>212214</v>
          </cell>
          <cell r="B3251" t="str">
            <v xml:space="preserve">Flange FD c/ furação PN-16 DN 200 rosca BSP Ø 8" </v>
          </cell>
          <cell r="C3251" t="str">
            <v>ud</v>
          </cell>
          <cell r="D3251">
            <v>0</v>
          </cell>
        </row>
        <row r="3252">
          <cell r="A3252" t="str">
            <v>212215</v>
          </cell>
          <cell r="B3252" t="str">
            <v xml:space="preserve">Flange FD c/ furação PN-25 DN   50 rosca BSP Ø 2" </v>
          </cell>
          <cell r="C3252" t="str">
            <v>ud</v>
          </cell>
          <cell r="D3252">
            <v>0</v>
          </cell>
        </row>
        <row r="3253">
          <cell r="A3253" t="str">
            <v>212216</v>
          </cell>
          <cell r="B3253" t="str">
            <v xml:space="preserve">Flange FD c/ furação PN-25 DN   60 rosca BSP Ø 2 1/2" </v>
          </cell>
          <cell r="C3253" t="str">
            <v>ud</v>
          </cell>
          <cell r="D3253">
            <v>0</v>
          </cell>
        </row>
        <row r="3254">
          <cell r="A3254" t="str">
            <v>212217</v>
          </cell>
          <cell r="B3254" t="str">
            <v xml:space="preserve">Flange FD c/ furação PN-25 DN   75/80 rosca BSP Ø 3" </v>
          </cell>
          <cell r="C3254" t="str">
            <v>ud</v>
          </cell>
          <cell r="D3254">
            <v>0</v>
          </cell>
        </row>
        <row r="3255">
          <cell r="A3255" t="str">
            <v>212218</v>
          </cell>
          <cell r="B3255" t="str">
            <v xml:space="preserve">Flange FD c/ furação PN-25 DN 100 rosca BSP Ø 4" </v>
          </cell>
          <cell r="C3255" t="str">
            <v>ud</v>
          </cell>
          <cell r="D3255">
            <v>0</v>
          </cell>
        </row>
        <row r="3256">
          <cell r="A3256" t="str">
            <v>212201</v>
          </cell>
          <cell r="B3256" t="str">
            <v xml:space="preserve">Flange FD c/ furação PN-10 DN   50 rosca BSP Ø 2" </v>
          </cell>
          <cell r="C3256" t="str">
            <v>ud</v>
          </cell>
          <cell r="D3256">
            <v>0</v>
          </cell>
        </row>
        <row r="3257">
          <cell r="A3257" t="str">
            <v>212202</v>
          </cell>
          <cell r="B3257" t="str">
            <v xml:space="preserve">Flange FD c/ furação PN-10 DN   60 rosca BSP Ø 2 1/2" </v>
          </cell>
          <cell r="C3257" t="str">
            <v>ud</v>
          </cell>
          <cell r="D3257">
            <v>0</v>
          </cell>
        </row>
        <row r="3258">
          <cell r="A3258" t="str">
            <v>2123</v>
          </cell>
          <cell r="B3258" t="str">
            <v>FLANGE FD COM ROSCA COM FURAÇÃO</v>
          </cell>
        </row>
        <row r="3259">
          <cell r="A3259" t="str">
            <v>212301</v>
          </cell>
          <cell r="B3259" t="str">
            <v>Flange FD c/ rosca c/ furação PN-10 DN   50 (207624)</v>
          </cell>
          <cell r="C3259" t="str">
            <v>ud</v>
          </cell>
          <cell r="D3259">
            <v>0</v>
          </cell>
          <cell r="E3259">
            <v>86.51</v>
          </cell>
          <cell r="F3259">
            <v>86.51</v>
          </cell>
        </row>
        <row r="3260">
          <cell r="A3260" t="str">
            <v>212302</v>
          </cell>
          <cell r="B3260" t="str">
            <v>Flange FD c/ rosca c/ furação PN-10 DN   75/80 (38717)</v>
          </cell>
          <cell r="C3260" t="str">
            <v>ud</v>
          </cell>
          <cell r="D3260">
            <v>0</v>
          </cell>
          <cell r="E3260">
            <v>93.41</v>
          </cell>
          <cell r="F3260">
            <v>93.41</v>
          </cell>
        </row>
        <row r="3261">
          <cell r="A3261" t="str">
            <v>212303</v>
          </cell>
          <cell r="B3261" t="str">
            <v xml:space="preserve">Flange FD c/ rosca c/ furação PN-10 DN  100 </v>
          </cell>
          <cell r="C3261" t="str">
            <v>ud</v>
          </cell>
          <cell r="D3261">
            <v>0</v>
          </cell>
          <cell r="E3261">
            <v>107.26</v>
          </cell>
          <cell r="F3261">
            <v>107.26</v>
          </cell>
        </row>
        <row r="3262">
          <cell r="A3262" t="str">
            <v>212304</v>
          </cell>
          <cell r="B3262" t="str">
            <v xml:space="preserve">Flange FD c/ rosca c/ furação PN-10 DN  150 </v>
          </cell>
          <cell r="C3262" t="str">
            <v>ud</v>
          </cell>
          <cell r="D3262">
            <v>0</v>
          </cell>
          <cell r="E3262">
            <v>138.38999999999999</v>
          </cell>
          <cell r="F3262">
            <v>138.38999999999999</v>
          </cell>
        </row>
        <row r="3263">
          <cell r="A3263" t="str">
            <v>212305</v>
          </cell>
          <cell r="B3263" t="str">
            <v xml:space="preserve">Flange FD c/ rosca c/ furação PN-10 DN  200 </v>
          </cell>
          <cell r="C3263" t="str">
            <v>ud</v>
          </cell>
          <cell r="D3263">
            <v>0</v>
          </cell>
          <cell r="E3263">
            <v>183.34</v>
          </cell>
          <cell r="F3263">
            <v>183.34</v>
          </cell>
        </row>
        <row r="3264">
          <cell r="A3264" t="str">
            <v>212306</v>
          </cell>
          <cell r="B3264" t="str">
            <v xml:space="preserve">Flange FD c/ rosca c/ furação PN-10 DN  250 </v>
          </cell>
          <cell r="C3264" t="str">
            <v>ud</v>
          </cell>
          <cell r="D3264">
            <v>0</v>
          </cell>
          <cell r="E3264">
            <v>280.25</v>
          </cell>
          <cell r="F3264">
            <v>280.25</v>
          </cell>
        </row>
        <row r="3265">
          <cell r="A3265" t="str">
            <v>212307</v>
          </cell>
          <cell r="B3265" t="str">
            <v xml:space="preserve">Flange FD c/ rosca c/ furação PN-10 DN  300 </v>
          </cell>
          <cell r="C3265" t="str">
            <v>ud</v>
          </cell>
          <cell r="D3265">
            <v>0</v>
          </cell>
          <cell r="E3265">
            <v>373.66</v>
          </cell>
          <cell r="F3265">
            <v>373.66</v>
          </cell>
        </row>
        <row r="3266">
          <cell r="A3266" t="str">
            <v>212308</v>
          </cell>
          <cell r="B3266" t="str">
            <v xml:space="preserve">Flange FD c/ rosca c/ furação PN-10 DN  350 </v>
          </cell>
          <cell r="C3266" t="str">
            <v>ud</v>
          </cell>
          <cell r="D3266">
            <v>0</v>
          </cell>
          <cell r="E3266">
            <v>460.11</v>
          </cell>
          <cell r="F3266">
            <v>460.11</v>
          </cell>
        </row>
        <row r="3267">
          <cell r="A3267" t="str">
            <v>212309</v>
          </cell>
          <cell r="B3267" t="str">
            <v xml:space="preserve">Flange FD c/ rosca c/ furação PN-10 DN  400 </v>
          </cell>
          <cell r="C3267" t="str">
            <v>ud</v>
          </cell>
          <cell r="D3267">
            <v>0</v>
          </cell>
        </row>
        <row r="3268">
          <cell r="A3268" t="str">
            <v>212310</v>
          </cell>
          <cell r="B3268" t="str">
            <v xml:space="preserve">Flange FD c/ rosca c/ furação PN-10 DN  450 </v>
          </cell>
          <cell r="C3268" t="str">
            <v>ud</v>
          </cell>
          <cell r="D3268">
            <v>0</v>
          </cell>
        </row>
        <row r="3269">
          <cell r="A3269" t="str">
            <v>212311</v>
          </cell>
          <cell r="B3269" t="str">
            <v xml:space="preserve">Flange FD c/ rosca c/ furação PN-10 DN  500 </v>
          </cell>
          <cell r="C3269" t="str">
            <v>ud</v>
          </cell>
          <cell r="D3269">
            <v>0</v>
          </cell>
        </row>
        <row r="3270">
          <cell r="A3270" t="str">
            <v>212312</v>
          </cell>
          <cell r="B3270" t="str">
            <v xml:space="preserve">Flange FD c/ rosca c/ furação PN-10 DN  600 </v>
          </cell>
          <cell r="C3270" t="str">
            <v>ud</v>
          </cell>
          <cell r="D3270">
            <v>0</v>
          </cell>
        </row>
        <row r="3271">
          <cell r="A3271" t="str">
            <v>212313</v>
          </cell>
          <cell r="B3271" t="str">
            <v xml:space="preserve">Flange FD c/ rosca c/ furação PN-10 DN  700 </v>
          </cell>
          <cell r="C3271" t="str">
            <v>ud</v>
          </cell>
          <cell r="D3271">
            <v>0</v>
          </cell>
        </row>
        <row r="3272">
          <cell r="A3272" t="str">
            <v>212314</v>
          </cell>
          <cell r="B3272" t="str">
            <v xml:space="preserve">Flange FD c/ rosca c/ furação PN-10 DN  800 </v>
          </cell>
          <cell r="C3272" t="str">
            <v>ud</v>
          </cell>
          <cell r="D3272">
            <v>0</v>
          </cell>
        </row>
        <row r="3273">
          <cell r="A3273" t="str">
            <v>212315</v>
          </cell>
          <cell r="B3273" t="str">
            <v xml:space="preserve">Flange FD c/ rosca c/ furação PN-10 DN  900 </v>
          </cell>
          <cell r="C3273" t="str">
            <v>ud</v>
          </cell>
          <cell r="D3273">
            <v>0</v>
          </cell>
        </row>
        <row r="3274">
          <cell r="A3274" t="str">
            <v>212316</v>
          </cell>
          <cell r="B3274" t="str">
            <v xml:space="preserve">Flange FD c/ rosca c/ furação PN-10 DN 1000 </v>
          </cell>
          <cell r="C3274" t="str">
            <v>ud</v>
          </cell>
          <cell r="D3274">
            <v>0</v>
          </cell>
        </row>
        <row r="3275">
          <cell r="A3275" t="str">
            <v>212317</v>
          </cell>
          <cell r="B3275" t="str">
            <v xml:space="preserve">Flange FD c/ rosca c/ furação PN-10 DN 1100 </v>
          </cell>
          <cell r="C3275" t="str">
            <v>ud</v>
          </cell>
          <cell r="D3275">
            <v>0</v>
          </cell>
        </row>
        <row r="3276">
          <cell r="A3276" t="str">
            <v>212318</v>
          </cell>
          <cell r="B3276" t="str">
            <v xml:space="preserve">Flange FD c/ rosca c/ furação PN-10 DN 1200 </v>
          </cell>
          <cell r="C3276" t="str">
            <v>ud</v>
          </cell>
          <cell r="D3276">
            <v>0</v>
          </cell>
        </row>
        <row r="3277">
          <cell r="A3277" t="str">
            <v>212319</v>
          </cell>
          <cell r="B3277" t="str">
            <v xml:space="preserve">Flange FD c/ rosca c/ furação PN-16 DN   50 </v>
          </cell>
          <cell r="C3277" t="str">
            <v>ud</v>
          </cell>
          <cell r="D3277">
            <v>0</v>
          </cell>
          <cell r="E3277">
            <v>86.51</v>
          </cell>
          <cell r="F3277">
            <v>86.51</v>
          </cell>
        </row>
        <row r="3278">
          <cell r="A3278" t="str">
            <v>212320</v>
          </cell>
          <cell r="B3278" t="str">
            <v>Flange FD c/ rosca c/ furação PN-16 DN   75/80 (5649)</v>
          </cell>
          <cell r="C3278" t="str">
            <v>ud</v>
          </cell>
          <cell r="D3278">
            <v>0</v>
          </cell>
          <cell r="E3278">
            <v>93.41</v>
          </cell>
          <cell r="F3278">
            <v>93.41</v>
          </cell>
        </row>
        <row r="3279">
          <cell r="A3279" t="str">
            <v>212321</v>
          </cell>
          <cell r="B3279" t="str">
            <v>Flange FD c/ rosca c/ furação PN-16 DN  100 (5657)</v>
          </cell>
          <cell r="C3279" t="str">
            <v>ud</v>
          </cell>
          <cell r="D3279">
            <v>0</v>
          </cell>
          <cell r="E3279">
            <v>107.26</v>
          </cell>
          <cell r="F3279">
            <v>107.26</v>
          </cell>
        </row>
        <row r="3280">
          <cell r="A3280" t="str">
            <v>212322</v>
          </cell>
          <cell r="B3280" t="str">
            <v>Flange FD c/ rosca c/ furação PN-16 DN  150 (5673)</v>
          </cell>
          <cell r="C3280" t="str">
            <v>ud</v>
          </cell>
          <cell r="D3280">
            <v>0</v>
          </cell>
          <cell r="E3280">
            <v>138.38999999999999</v>
          </cell>
          <cell r="F3280">
            <v>138.38999999999999</v>
          </cell>
        </row>
        <row r="3281">
          <cell r="A3281" t="str">
            <v>212323</v>
          </cell>
          <cell r="B3281" t="str">
            <v xml:space="preserve">Flange FD c/ rosca c/ furação PN-16 DN  200 </v>
          </cell>
          <cell r="C3281" t="str">
            <v>ud</v>
          </cell>
          <cell r="D3281">
            <v>0</v>
          </cell>
          <cell r="E3281">
            <v>183.34</v>
          </cell>
          <cell r="F3281">
            <v>183.34</v>
          </cell>
        </row>
        <row r="3282">
          <cell r="A3282" t="str">
            <v>212324</v>
          </cell>
          <cell r="B3282" t="str">
            <v xml:space="preserve">Flange FD c/ rosca c/ furação PN-16 DN  250 </v>
          </cell>
          <cell r="C3282" t="str">
            <v>ud</v>
          </cell>
          <cell r="D3282">
            <v>0</v>
          </cell>
          <cell r="E3282">
            <v>280.25</v>
          </cell>
          <cell r="F3282">
            <v>280.25</v>
          </cell>
        </row>
        <row r="3283">
          <cell r="A3283" t="str">
            <v>212325</v>
          </cell>
          <cell r="B3283" t="str">
            <v xml:space="preserve">Flange FD c/ rosca c/ furação PN-16 DN  300 </v>
          </cell>
          <cell r="C3283" t="str">
            <v>ud</v>
          </cell>
          <cell r="D3283">
            <v>0</v>
          </cell>
          <cell r="E3283">
            <v>373.66</v>
          </cell>
          <cell r="F3283">
            <v>373.66</v>
          </cell>
        </row>
        <row r="3284">
          <cell r="A3284" t="str">
            <v>212326</v>
          </cell>
          <cell r="B3284" t="str">
            <v xml:space="preserve">Flange FD c/ rosca c/ furação PN-16 DN  350 </v>
          </cell>
          <cell r="C3284" t="str">
            <v>ud</v>
          </cell>
          <cell r="D3284">
            <v>0</v>
          </cell>
          <cell r="E3284">
            <v>460.11</v>
          </cell>
          <cell r="F3284">
            <v>460.11</v>
          </cell>
        </row>
        <row r="3285">
          <cell r="A3285" t="str">
            <v>212327</v>
          </cell>
          <cell r="B3285" t="str">
            <v xml:space="preserve">Flange FD c/ rosca c/ furação PN-16 DN  400 </v>
          </cell>
          <cell r="C3285" t="str">
            <v>ud</v>
          </cell>
          <cell r="D3285">
            <v>0</v>
          </cell>
        </row>
        <row r="3286">
          <cell r="A3286" t="str">
            <v>212328</v>
          </cell>
          <cell r="B3286" t="str">
            <v xml:space="preserve">Flange FD c/ rosca c/ furação PN-16 DN  450 </v>
          </cell>
          <cell r="C3286" t="str">
            <v>ud</v>
          </cell>
          <cell r="D3286">
            <v>0</v>
          </cell>
        </row>
        <row r="3287">
          <cell r="A3287" t="str">
            <v>212329</v>
          </cell>
          <cell r="B3287" t="str">
            <v xml:space="preserve">Flange FD c/ rosca c/ furação PN-16 DN  500 </v>
          </cell>
          <cell r="C3287" t="str">
            <v>ud</v>
          </cell>
          <cell r="D3287">
            <v>0</v>
          </cell>
        </row>
        <row r="3288">
          <cell r="A3288" t="str">
            <v>212330</v>
          </cell>
          <cell r="B3288" t="str">
            <v xml:space="preserve">Flange FD c/ rosca c/ furação PN-16 DN  600 </v>
          </cell>
          <cell r="C3288" t="str">
            <v>ud</v>
          </cell>
          <cell r="D3288">
            <v>0</v>
          </cell>
        </row>
        <row r="3289">
          <cell r="A3289" t="str">
            <v>212331</v>
          </cell>
          <cell r="B3289" t="str">
            <v xml:space="preserve">Flange FD c/ rosca c/ furação PN-16 DN  700 </v>
          </cell>
          <cell r="C3289" t="str">
            <v>ud</v>
          </cell>
          <cell r="D3289">
            <v>0</v>
          </cell>
        </row>
        <row r="3290">
          <cell r="A3290" t="str">
            <v>212332</v>
          </cell>
          <cell r="B3290" t="str">
            <v xml:space="preserve">Flange FD c/ rosca c/ furação PN-16 DN  800 </v>
          </cell>
          <cell r="C3290" t="str">
            <v>ud</v>
          </cell>
          <cell r="D3290">
            <v>0</v>
          </cell>
        </row>
        <row r="3291">
          <cell r="A3291" t="str">
            <v>212333</v>
          </cell>
          <cell r="B3291" t="str">
            <v xml:space="preserve">Flange FD c/ rosca c/ furação PN-16 DN  900 </v>
          </cell>
          <cell r="C3291" t="str">
            <v>ud</v>
          </cell>
          <cell r="D3291">
            <v>0</v>
          </cell>
        </row>
        <row r="3292">
          <cell r="A3292" t="str">
            <v>212334</v>
          </cell>
          <cell r="B3292" t="str">
            <v xml:space="preserve">Flange FD c/ rosca c/ furação PN-16 DN 1000 </v>
          </cell>
          <cell r="C3292" t="str">
            <v>ud</v>
          </cell>
          <cell r="D3292">
            <v>0</v>
          </cell>
        </row>
        <row r="3293">
          <cell r="A3293" t="str">
            <v>212335</v>
          </cell>
          <cell r="B3293" t="str">
            <v xml:space="preserve">Flange FD c/ rosca c/ furação PN-16 DN 1100 </v>
          </cell>
          <cell r="C3293" t="str">
            <v>ud</v>
          </cell>
          <cell r="D3293">
            <v>0</v>
          </cell>
        </row>
        <row r="3294">
          <cell r="A3294" t="str">
            <v>212336</v>
          </cell>
          <cell r="B3294" t="str">
            <v xml:space="preserve">Flange FD c/ rosca c/ furação PN-16 DN 1200 </v>
          </cell>
          <cell r="C3294" t="str">
            <v>ud</v>
          </cell>
          <cell r="D3294">
            <v>0</v>
          </cell>
        </row>
        <row r="3295">
          <cell r="A3295" t="str">
            <v>212337</v>
          </cell>
          <cell r="B3295" t="str">
            <v>Flange FD c/ rosca c/ furação PN-25 DN   50 (5622)</v>
          </cell>
          <cell r="C3295" t="str">
            <v>ud</v>
          </cell>
          <cell r="D3295">
            <v>0</v>
          </cell>
        </row>
        <row r="3296">
          <cell r="A3296" t="str">
            <v>212338</v>
          </cell>
          <cell r="B3296" t="str">
            <v>Flange FD c/ rosca c/ furação PN-25 DN   75/80 (141364)</v>
          </cell>
          <cell r="C3296" t="str">
            <v>ud</v>
          </cell>
          <cell r="D3296">
            <v>0</v>
          </cell>
        </row>
        <row r="3297">
          <cell r="A3297" t="str">
            <v>212339</v>
          </cell>
          <cell r="B3297" t="str">
            <v>Flange FD c/ rosca c/ furação PN-25 DN  100 (141372)</v>
          </cell>
          <cell r="C3297" t="str">
            <v>ud</v>
          </cell>
          <cell r="D3297">
            <v>0</v>
          </cell>
        </row>
        <row r="3298">
          <cell r="A3298" t="str">
            <v>212340</v>
          </cell>
          <cell r="B3298" t="str">
            <v xml:space="preserve">Flange FD c/ rosca c/ furação PN-25 DN  150 </v>
          </cell>
          <cell r="C3298" t="str">
            <v>ud</v>
          </cell>
          <cell r="D3298">
            <v>0</v>
          </cell>
        </row>
        <row r="3299">
          <cell r="A3299" t="str">
            <v>212341</v>
          </cell>
          <cell r="B3299" t="str">
            <v xml:space="preserve">Flange FD c/ rosca c/ furação PN-25 DN  200 </v>
          </cell>
          <cell r="C3299" t="str">
            <v>ud</v>
          </cell>
          <cell r="D3299">
            <v>0</v>
          </cell>
        </row>
        <row r="3300">
          <cell r="A3300" t="str">
            <v>212342</v>
          </cell>
          <cell r="B3300" t="str">
            <v xml:space="preserve">Flange FD c/ rosca c/ furação PN-25 DN  250 </v>
          </cell>
          <cell r="C3300" t="str">
            <v>ud</v>
          </cell>
          <cell r="D3300">
            <v>0</v>
          </cell>
        </row>
        <row r="3301">
          <cell r="A3301" t="str">
            <v>212343</v>
          </cell>
          <cell r="B3301" t="str">
            <v xml:space="preserve">Flange FD c/ rosca c/ furação PN-25 DN  300 </v>
          </cell>
          <cell r="C3301" t="str">
            <v>ud</v>
          </cell>
          <cell r="D3301">
            <v>0</v>
          </cell>
        </row>
        <row r="3302">
          <cell r="A3302" t="str">
            <v>212344</v>
          </cell>
          <cell r="B3302" t="str">
            <v xml:space="preserve">Flange FD c/ rosca c/ furação PN-25 DN  350 </v>
          </cell>
          <cell r="C3302" t="str">
            <v>ud</v>
          </cell>
          <cell r="D3302">
            <v>0</v>
          </cell>
        </row>
        <row r="3303">
          <cell r="A3303" t="str">
            <v>212345</v>
          </cell>
          <cell r="B3303" t="str">
            <v xml:space="preserve">Flange FD c/ rosca c/ furação PN-25 DN  400 </v>
          </cell>
          <cell r="C3303" t="str">
            <v>ud</v>
          </cell>
          <cell r="D3303">
            <v>0</v>
          </cell>
        </row>
        <row r="3304">
          <cell r="A3304" t="str">
            <v>212346</v>
          </cell>
          <cell r="B3304" t="str">
            <v xml:space="preserve">Flange FD c/ rosca c/ furação PN-25 DN  450 </v>
          </cell>
          <cell r="C3304" t="str">
            <v>ud</v>
          </cell>
          <cell r="D3304">
            <v>0</v>
          </cell>
        </row>
        <row r="3305">
          <cell r="A3305" t="str">
            <v>212347</v>
          </cell>
          <cell r="B3305" t="str">
            <v xml:space="preserve">Flange FD c/ rosca c/ furação PN-25 DN  500 </v>
          </cell>
          <cell r="C3305" t="str">
            <v>ud</v>
          </cell>
          <cell r="D3305">
            <v>0</v>
          </cell>
        </row>
        <row r="3306">
          <cell r="A3306" t="str">
            <v>212348</v>
          </cell>
          <cell r="B3306" t="str">
            <v xml:space="preserve">Flange FD c/ rosca c/ furação PN-25 DN  600 </v>
          </cell>
          <cell r="C3306" t="str">
            <v>ud</v>
          </cell>
          <cell r="D3306">
            <v>0</v>
          </cell>
        </row>
        <row r="3307">
          <cell r="A3307" t="str">
            <v>212349</v>
          </cell>
          <cell r="B3307" t="str">
            <v xml:space="preserve">Flange FD c/ rosca c/ furação PN-25 DN  700 </v>
          </cell>
          <cell r="C3307" t="str">
            <v>ud</v>
          </cell>
          <cell r="D3307">
            <v>0</v>
          </cell>
        </row>
        <row r="3308">
          <cell r="A3308" t="str">
            <v>212350</v>
          </cell>
          <cell r="B3308" t="str">
            <v xml:space="preserve">Flange FD c/ rosca c/ furação PN-25 DN  800 </v>
          </cell>
          <cell r="C3308" t="str">
            <v>ud</v>
          </cell>
          <cell r="D3308">
            <v>0</v>
          </cell>
        </row>
        <row r="3309">
          <cell r="A3309" t="str">
            <v>212351</v>
          </cell>
          <cell r="B3309" t="str">
            <v xml:space="preserve">Flange FD c/ rosca c/ furação PN-25 DN  900 </v>
          </cell>
          <cell r="C3309" t="str">
            <v>ud</v>
          </cell>
          <cell r="D3309">
            <v>0</v>
          </cell>
        </row>
        <row r="3310">
          <cell r="A3310" t="str">
            <v>212352</v>
          </cell>
          <cell r="B3310" t="str">
            <v xml:space="preserve">Flange FD c/ rosca c/ furação PN-25 DN 1000 </v>
          </cell>
          <cell r="C3310" t="str">
            <v>ud</v>
          </cell>
          <cell r="D3310">
            <v>0</v>
          </cell>
        </row>
        <row r="3311">
          <cell r="A3311" t="str">
            <v>212353</v>
          </cell>
          <cell r="B3311" t="str">
            <v xml:space="preserve">Flange FD c/ rosca c/ furação PN-25 DN 1100 </v>
          </cell>
          <cell r="C3311" t="str">
            <v>ud</v>
          </cell>
          <cell r="D3311">
            <v>0</v>
          </cell>
        </row>
        <row r="3312">
          <cell r="A3312" t="str">
            <v>212354</v>
          </cell>
          <cell r="B3312" t="str">
            <v xml:space="preserve">Flange FD c/ rosca c/ furação PN-25 DN 1200 </v>
          </cell>
          <cell r="C3312" t="str">
            <v>ud</v>
          </cell>
          <cell r="D3312">
            <v>0</v>
          </cell>
        </row>
        <row r="3313">
          <cell r="A3313" t="str">
            <v>2124</v>
          </cell>
          <cell r="B3313" t="str">
            <v>FLANGE FD COM ROSCA SEM FURAÇÃO</v>
          </cell>
        </row>
        <row r="3314">
          <cell r="A3314" t="str">
            <v>212401</v>
          </cell>
          <cell r="B3314" t="str">
            <v xml:space="preserve">Flange FD c/ rosca s/ furação PN-10 DN   50 </v>
          </cell>
          <cell r="C3314" t="str">
            <v>ud</v>
          </cell>
          <cell r="D3314">
            <v>0</v>
          </cell>
        </row>
        <row r="3315">
          <cell r="A3315" t="str">
            <v>212402</v>
          </cell>
          <cell r="B3315" t="str">
            <v>Flange FD c/ rosca s/ furação PN-10 DN   75/80</v>
          </cell>
          <cell r="C3315" t="str">
            <v>ud</v>
          </cell>
          <cell r="D3315">
            <v>0</v>
          </cell>
        </row>
        <row r="3316">
          <cell r="A3316" t="str">
            <v>212403</v>
          </cell>
          <cell r="B3316" t="str">
            <v xml:space="preserve">Flange FD c/ rosca s/ furação PN-10 DN  100 </v>
          </cell>
          <cell r="C3316" t="str">
            <v>ud</v>
          </cell>
          <cell r="D3316">
            <v>0</v>
          </cell>
        </row>
        <row r="3317">
          <cell r="A3317" t="str">
            <v>212404</v>
          </cell>
          <cell r="B3317" t="str">
            <v xml:space="preserve">Flange FD c/ rosca s/ furação PN-10 DN  150 </v>
          </cell>
          <cell r="C3317" t="str">
            <v>ud</v>
          </cell>
          <cell r="D3317">
            <v>0</v>
          </cell>
        </row>
        <row r="3318">
          <cell r="A3318" t="str">
            <v>212405</v>
          </cell>
          <cell r="B3318" t="str">
            <v xml:space="preserve">Flange FD c/ rosca s/ furação PN-10 DN  200 </v>
          </cell>
          <cell r="C3318" t="str">
            <v>ud</v>
          </cell>
          <cell r="D3318">
            <v>0</v>
          </cell>
        </row>
        <row r="3319">
          <cell r="A3319" t="str">
            <v>212406</v>
          </cell>
          <cell r="B3319" t="str">
            <v xml:space="preserve">Flange FD c/ rosca s/ furação PN-10 DN  250 </v>
          </cell>
          <cell r="C3319" t="str">
            <v>ud</v>
          </cell>
          <cell r="D3319">
            <v>0</v>
          </cell>
        </row>
        <row r="3320">
          <cell r="A3320" t="str">
            <v>212407</v>
          </cell>
          <cell r="B3320" t="str">
            <v xml:space="preserve">Flange FD c/ rosca s/ furação PN-10 DN  300 </v>
          </cell>
          <cell r="C3320" t="str">
            <v>ud</v>
          </cell>
          <cell r="D3320">
            <v>0</v>
          </cell>
        </row>
        <row r="3321">
          <cell r="A3321" t="str">
            <v>212408</v>
          </cell>
          <cell r="B3321" t="str">
            <v xml:space="preserve">Flange FD c/ rosca s/ furação PN-10 DN  350 </v>
          </cell>
          <cell r="C3321" t="str">
            <v>ud</v>
          </cell>
          <cell r="D3321">
            <v>0</v>
          </cell>
        </row>
        <row r="3322">
          <cell r="A3322" t="str">
            <v>212409</v>
          </cell>
          <cell r="B3322" t="str">
            <v xml:space="preserve">Flange FD c/ rosca s/ furação PN-10 DN  400 </v>
          </cell>
          <cell r="C3322" t="str">
            <v>ud</v>
          </cell>
          <cell r="D3322">
            <v>0</v>
          </cell>
        </row>
        <row r="3323">
          <cell r="A3323" t="str">
            <v>212410</v>
          </cell>
          <cell r="B3323" t="str">
            <v xml:space="preserve">Flange FD c/ rosca s/ furação PN-10 DN  450 </v>
          </cell>
          <cell r="C3323" t="str">
            <v>ud</v>
          </cell>
          <cell r="D3323">
            <v>0</v>
          </cell>
        </row>
        <row r="3324">
          <cell r="A3324" t="str">
            <v>212411</v>
          </cell>
          <cell r="B3324" t="str">
            <v xml:space="preserve">Flange FD c/ rosca s/ furação PN-10 DN  500 </v>
          </cell>
          <cell r="C3324" t="str">
            <v>ud</v>
          </cell>
          <cell r="D3324">
            <v>0</v>
          </cell>
        </row>
        <row r="3325">
          <cell r="A3325" t="str">
            <v>212412</v>
          </cell>
          <cell r="B3325" t="str">
            <v xml:space="preserve">Flange FD c/ rosca s/ furação PN-10 DN  600 </v>
          </cell>
          <cell r="C3325" t="str">
            <v>ud</v>
          </cell>
          <cell r="D3325">
            <v>0</v>
          </cell>
        </row>
        <row r="3326">
          <cell r="A3326" t="str">
            <v>212413</v>
          </cell>
          <cell r="B3326" t="str">
            <v xml:space="preserve">Flange FD c/ rosca s/ furação PN-10 DN  700 </v>
          </cell>
          <cell r="C3326" t="str">
            <v>ud</v>
          </cell>
          <cell r="D3326">
            <v>0</v>
          </cell>
        </row>
        <row r="3327">
          <cell r="A3327" t="str">
            <v>212414</v>
          </cell>
          <cell r="B3327" t="str">
            <v xml:space="preserve">Flange FD c/ rosca s/ furação PN-10 DN  800 </v>
          </cell>
          <cell r="C3327" t="str">
            <v>ud</v>
          </cell>
          <cell r="D3327">
            <v>0</v>
          </cell>
        </row>
        <row r="3328">
          <cell r="A3328" t="str">
            <v>212415</v>
          </cell>
          <cell r="B3328" t="str">
            <v xml:space="preserve">Flange FD c/ rosca s/ furação PN-10 DN  900 </v>
          </cell>
          <cell r="C3328" t="str">
            <v>ud</v>
          </cell>
          <cell r="D3328">
            <v>0</v>
          </cell>
        </row>
        <row r="3329">
          <cell r="A3329" t="str">
            <v>212416</v>
          </cell>
          <cell r="B3329" t="str">
            <v xml:space="preserve">Flange FD c/ rosca s/ furação PN-10 DN 1000 </v>
          </cell>
          <cell r="C3329" t="str">
            <v>ud</v>
          </cell>
          <cell r="D3329">
            <v>0</v>
          </cell>
        </row>
        <row r="3330">
          <cell r="A3330" t="str">
            <v>212417</v>
          </cell>
          <cell r="B3330" t="str">
            <v xml:space="preserve">Flange FD c/ rosca s/ furação PN-10 DN 1100 </v>
          </cell>
          <cell r="C3330" t="str">
            <v>ud</v>
          </cell>
          <cell r="D3330">
            <v>0</v>
          </cell>
        </row>
        <row r="3331">
          <cell r="A3331" t="str">
            <v>212418</v>
          </cell>
          <cell r="B3331" t="str">
            <v xml:space="preserve">Flange FD c/ rosca s/ furação PN-10 DN 1200 </v>
          </cell>
          <cell r="C3331" t="str">
            <v>ud</v>
          </cell>
          <cell r="D3331">
            <v>0</v>
          </cell>
        </row>
        <row r="3332">
          <cell r="A3332" t="str">
            <v>212419</v>
          </cell>
          <cell r="B3332" t="str">
            <v xml:space="preserve">Flange FD c/ rosca s/ furação PN-16 DN   50 </v>
          </cell>
          <cell r="C3332" t="str">
            <v>ud</v>
          </cell>
          <cell r="D3332">
            <v>0</v>
          </cell>
        </row>
        <row r="3333">
          <cell r="A3333" t="str">
            <v>212420</v>
          </cell>
          <cell r="B3333" t="str">
            <v>Flange FD c/ rosca s/ furação PN-16 DN   75/80</v>
          </cell>
          <cell r="C3333" t="str">
            <v>ud</v>
          </cell>
          <cell r="D3333">
            <v>0</v>
          </cell>
        </row>
        <row r="3334">
          <cell r="A3334" t="str">
            <v>212421</v>
          </cell>
          <cell r="B3334" t="str">
            <v>Flange FD c/ rosca s/ furação PN-16 DN  100 (5576)</v>
          </cell>
          <cell r="C3334" t="str">
            <v>ud</v>
          </cell>
          <cell r="D3334">
            <v>0</v>
          </cell>
        </row>
        <row r="3335">
          <cell r="A3335" t="str">
            <v>212422</v>
          </cell>
          <cell r="B3335" t="str">
            <v xml:space="preserve">Flange FD c/ rosca s/ furação PN-16 DN  150 </v>
          </cell>
          <cell r="C3335" t="str">
            <v>ud</v>
          </cell>
          <cell r="D3335">
            <v>0</v>
          </cell>
        </row>
        <row r="3336">
          <cell r="A3336" t="str">
            <v>212423</v>
          </cell>
          <cell r="B3336" t="str">
            <v xml:space="preserve">Flange FD c/ rosca s/ furação PN-16 DN  200 </v>
          </cell>
          <cell r="C3336" t="str">
            <v>ud</v>
          </cell>
          <cell r="D3336">
            <v>0</v>
          </cell>
        </row>
        <row r="3337">
          <cell r="A3337" t="str">
            <v>212424</v>
          </cell>
          <cell r="B3337" t="str">
            <v xml:space="preserve">Flange FD c/ rosca s/ furação PN-16 DN  250 </v>
          </cell>
          <cell r="C3337" t="str">
            <v>ud</v>
          </cell>
          <cell r="D3337">
            <v>0</v>
          </cell>
        </row>
        <row r="3338">
          <cell r="A3338" t="str">
            <v>212425</v>
          </cell>
          <cell r="B3338" t="str">
            <v xml:space="preserve">Flange FD c/ rosca s/ furação PN-16 DN  300 </v>
          </cell>
          <cell r="C3338" t="str">
            <v>ud</v>
          </cell>
          <cell r="D3338">
            <v>0</v>
          </cell>
        </row>
        <row r="3339">
          <cell r="A3339" t="str">
            <v>212426</v>
          </cell>
          <cell r="B3339" t="str">
            <v xml:space="preserve">Flange FD c/ rosca s/ furação PN-16 DN  350 </v>
          </cell>
          <cell r="C3339" t="str">
            <v>ud</v>
          </cell>
          <cell r="D3339">
            <v>0</v>
          </cell>
        </row>
        <row r="3340">
          <cell r="A3340" t="str">
            <v>212427</v>
          </cell>
          <cell r="B3340" t="str">
            <v xml:space="preserve">Flange FD c/ rosca s/ furação PN-16 DN  400 </v>
          </cell>
          <cell r="C3340" t="str">
            <v>ud</v>
          </cell>
          <cell r="D3340">
            <v>0</v>
          </cell>
        </row>
        <row r="3341">
          <cell r="A3341" t="str">
            <v>212428</v>
          </cell>
          <cell r="B3341" t="str">
            <v xml:space="preserve">Flange FD c/ rosca s/ furação PN-16 DN  450 </v>
          </cell>
          <cell r="C3341" t="str">
            <v>ud</v>
          </cell>
          <cell r="D3341">
            <v>0</v>
          </cell>
        </row>
        <row r="3342">
          <cell r="A3342" t="str">
            <v>212429</v>
          </cell>
          <cell r="B3342" t="str">
            <v xml:space="preserve">Flange FD c/ rosca s/ furação PN-16 DN  500 </v>
          </cell>
          <cell r="C3342" t="str">
            <v>ud</v>
          </cell>
          <cell r="D3342">
            <v>0</v>
          </cell>
        </row>
        <row r="3343">
          <cell r="A3343" t="str">
            <v>212430</v>
          </cell>
          <cell r="B3343" t="str">
            <v xml:space="preserve">Flange FD c/ rosca s/ furação PN-16 DN  600 </v>
          </cell>
          <cell r="C3343" t="str">
            <v>ud</v>
          </cell>
          <cell r="D3343">
            <v>0</v>
          </cell>
        </row>
        <row r="3344">
          <cell r="A3344" t="str">
            <v>212431</v>
          </cell>
          <cell r="B3344" t="str">
            <v xml:space="preserve">Flange FD c/ rosca s/ furação PN-16 DN  700 </v>
          </cell>
          <cell r="C3344" t="str">
            <v>ud</v>
          </cell>
          <cell r="D3344">
            <v>0</v>
          </cell>
        </row>
        <row r="3345">
          <cell r="A3345" t="str">
            <v>212432</v>
          </cell>
          <cell r="B3345" t="str">
            <v xml:space="preserve">Flange FD c/ rosca s/ furação PN-16 DN  800 </v>
          </cell>
          <cell r="C3345" t="str">
            <v>ud</v>
          </cell>
          <cell r="D3345">
            <v>0</v>
          </cell>
        </row>
        <row r="3346">
          <cell r="A3346" t="str">
            <v>212433</v>
          </cell>
          <cell r="B3346" t="str">
            <v xml:space="preserve">Flange FD c/ rosca s/ furação PN-16 DN  900 </v>
          </cell>
          <cell r="C3346" t="str">
            <v>ud</v>
          </cell>
          <cell r="D3346">
            <v>0</v>
          </cell>
        </row>
        <row r="3347">
          <cell r="A3347" t="str">
            <v>212434</v>
          </cell>
          <cell r="B3347" t="str">
            <v xml:space="preserve">Flange FD c/ rosca s/ furação PN-16 DN 1000 </v>
          </cell>
          <cell r="C3347" t="str">
            <v>ud</v>
          </cell>
          <cell r="D3347">
            <v>0</v>
          </cell>
        </row>
        <row r="3348">
          <cell r="A3348" t="str">
            <v>212435</v>
          </cell>
          <cell r="B3348" t="str">
            <v xml:space="preserve">Flange FD c/ rosca s/ furação PN-16 DN 1100 </v>
          </cell>
          <cell r="C3348" t="str">
            <v>ud</v>
          </cell>
          <cell r="D3348">
            <v>0</v>
          </cell>
        </row>
        <row r="3349">
          <cell r="A3349" t="str">
            <v>212436</v>
          </cell>
          <cell r="B3349" t="str">
            <v xml:space="preserve">Flange FD c/ rosca s/ furação PN-16 DN 1200 </v>
          </cell>
          <cell r="C3349" t="str">
            <v>ud</v>
          </cell>
          <cell r="D3349">
            <v>0</v>
          </cell>
        </row>
        <row r="3350">
          <cell r="A3350" t="str">
            <v>212437</v>
          </cell>
          <cell r="B3350" t="str">
            <v xml:space="preserve">Flange FD c/ rosca s/ furação PN-25 DN   50 </v>
          </cell>
          <cell r="C3350" t="str">
            <v>ud</v>
          </cell>
          <cell r="D3350">
            <v>0</v>
          </cell>
        </row>
        <row r="3351">
          <cell r="A3351" t="str">
            <v>212438</v>
          </cell>
          <cell r="B3351" t="str">
            <v>Flange FD c/ rosca s/ furação PN-25 DN   75/80</v>
          </cell>
          <cell r="C3351" t="str">
            <v>ud</v>
          </cell>
          <cell r="D3351">
            <v>0</v>
          </cell>
        </row>
        <row r="3352">
          <cell r="A3352" t="str">
            <v>212439</v>
          </cell>
          <cell r="B3352" t="str">
            <v xml:space="preserve">Flange FD c/ rosca s/ furação PN-25 DN  100 </v>
          </cell>
          <cell r="C3352" t="str">
            <v>ud</v>
          </cell>
          <cell r="D3352">
            <v>0</v>
          </cell>
        </row>
        <row r="3353">
          <cell r="A3353" t="str">
            <v>212440</v>
          </cell>
          <cell r="B3353" t="str">
            <v>Flange FD c/ rosca s/ furação PN-25 DN  150 (141496)</v>
          </cell>
          <cell r="C3353" t="str">
            <v>ud</v>
          </cell>
          <cell r="D3353">
            <v>0</v>
          </cell>
        </row>
        <row r="3354">
          <cell r="A3354" t="str">
            <v>212441</v>
          </cell>
          <cell r="B3354" t="str">
            <v xml:space="preserve">Flange FD c/ rosca s/ furação PN-25 DN  200 </v>
          </cell>
          <cell r="C3354" t="str">
            <v>ud</v>
          </cell>
          <cell r="D3354">
            <v>0</v>
          </cell>
        </row>
        <row r="3355">
          <cell r="A3355" t="str">
            <v>212442</v>
          </cell>
          <cell r="B3355" t="str">
            <v xml:space="preserve">Flange FD c/ rosca s/ furação PN-25 DN  250 </v>
          </cell>
          <cell r="C3355" t="str">
            <v>ud</v>
          </cell>
          <cell r="D3355">
            <v>0</v>
          </cell>
        </row>
        <row r="3356">
          <cell r="A3356" t="str">
            <v>212443</v>
          </cell>
          <cell r="B3356" t="str">
            <v xml:space="preserve">Flange FD c/ rosca s/ furação PN-25 DN  300 </v>
          </cell>
          <cell r="C3356" t="str">
            <v>ud</v>
          </cell>
          <cell r="D3356">
            <v>0</v>
          </cell>
        </row>
        <row r="3357">
          <cell r="A3357" t="str">
            <v>212444</v>
          </cell>
          <cell r="B3357" t="str">
            <v xml:space="preserve">Flange FD c/ rosca s/ furação PN-25 DN  350 </v>
          </cell>
          <cell r="C3357" t="str">
            <v>ud</v>
          </cell>
          <cell r="D3357">
            <v>0</v>
          </cell>
        </row>
        <row r="3358">
          <cell r="A3358" t="str">
            <v>212445</v>
          </cell>
          <cell r="B3358" t="str">
            <v xml:space="preserve">Flange FD c/ rosca s/ furação PN-25 DN  400 </v>
          </cell>
          <cell r="C3358" t="str">
            <v>ud</v>
          </cell>
          <cell r="D3358">
            <v>0</v>
          </cell>
        </row>
        <row r="3359">
          <cell r="A3359" t="str">
            <v>212446</v>
          </cell>
          <cell r="B3359" t="str">
            <v xml:space="preserve">Flange FD c/ rosca s/ furação PN-25 DN  450 </v>
          </cell>
          <cell r="C3359" t="str">
            <v>ud</v>
          </cell>
          <cell r="D3359">
            <v>0</v>
          </cell>
        </row>
        <row r="3360">
          <cell r="A3360" t="str">
            <v>212447</v>
          </cell>
          <cell r="B3360" t="str">
            <v xml:space="preserve">Flange FD c/ rosca s/ furação PN-25 DN  500 </v>
          </cell>
          <cell r="C3360" t="str">
            <v>ud</v>
          </cell>
          <cell r="D3360">
            <v>0</v>
          </cell>
        </row>
        <row r="3361">
          <cell r="A3361" t="str">
            <v>212448</v>
          </cell>
          <cell r="B3361" t="str">
            <v xml:space="preserve">Flange FD c/ rosca s/ furação PN-25 DN  600 </v>
          </cell>
          <cell r="C3361" t="str">
            <v>ud</v>
          </cell>
          <cell r="D3361">
            <v>0</v>
          </cell>
        </row>
        <row r="3362">
          <cell r="A3362" t="str">
            <v>212449</v>
          </cell>
          <cell r="B3362" t="str">
            <v xml:space="preserve">Flange FD c/ rosca s/ furação PN-25 DN  700 </v>
          </cell>
          <cell r="C3362" t="str">
            <v>ud</v>
          </cell>
          <cell r="D3362">
            <v>0</v>
          </cell>
        </row>
        <row r="3363">
          <cell r="A3363" t="str">
            <v>212450</v>
          </cell>
          <cell r="B3363" t="str">
            <v xml:space="preserve">Flange FD c/ rosca s/ furação PN-25 DN  800 </v>
          </cell>
          <cell r="C3363" t="str">
            <v>ud</v>
          </cell>
          <cell r="D3363">
            <v>0</v>
          </cell>
        </row>
        <row r="3364">
          <cell r="A3364" t="str">
            <v>212451</v>
          </cell>
          <cell r="B3364" t="str">
            <v xml:space="preserve">Flange FD c/ rosca s/ furação PN-25 DN  900 </v>
          </cell>
          <cell r="C3364" t="str">
            <v>ud</v>
          </cell>
          <cell r="D3364">
            <v>0</v>
          </cell>
        </row>
        <row r="3365">
          <cell r="A3365" t="str">
            <v>212452</v>
          </cell>
          <cell r="B3365" t="str">
            <v xml:space="preserve">Flange FD c/ rosca s/ furação PN-25 DN 1000 </v>
          </cell>
          <cell r="C3365" t="str">
            <v>ud</v>
          </cell>
          <cell r="D3365">
            <v>0</v>
          </cell>
        </row>
        <row r="3366">
          <cell r="A3366" t="str">
            <v>212453</v>
          </cell>
          <cell r="B3366" t="str">
            <v xml:space="preserve">Flange FD c/ rosca s/ furação PN-25 DN 1100 </v>
          </cell>
          <cell r="C3366" t="str">
            <v>ud</v>
          </cell>
          <cell r="D3366">
            <v>0</v>
          </cell>
        </row>
        <row r="3367">
          <cell r="A3367" t="str">
            <v>212454</v>
          </cell>
          <cell r="B3367" t="str">
            <v xml:space="preserve">Flange FD c/ rosca s/ furação PN-25 DN 1200 </v>
          </cell>
          <cell r="C3367" t="str">
            <v>ud</v>
          </cell>
          <cell r="D3367">
            <v>0</v>
          </cell>
        </row>
        <row r="3368">
          <cell r="A3368" t="str">
            <v>2125</v>
          </cell>
          <cell r="B3368" t="str">
            <v>FLANGE AVULSO FD</v>
          </cell>
        </row>
        <row r="3369">
          <cell r="A3369" t="str">
            <v>212501</v>
          </cell>
          <cell r="B3369" t="str">
            <v>Flange avulso FD PN-10 DN50 conforme NBR7675</v>
          </cell>
          <cell r="C3369" t="str">
            <v>ud</v>
          </cell>
          <cell r="D3369">
            <v>0</v>
          </cell>
          <cell r="E3369">
            <v>62.28</v>
          </cell>
          <cell r="F3369">
            <v>62.28</v>
          </cell>
        </row>
        <row r="3370">
          <cell r="A3370" t="str">
            <v>212502</v>
          </cell>
          <cell r="B3370" t="str">
            <v>Flange avulso FD PN-10 DN75/80 conforme NBR7675 (5550)</v>
          </cell>
          <cell r="C3370" t="str">
            <v>ud</v>
          </cell>
          <cell r="D3370">
            <v>0</v>
          </cell>
          <cell r="E3370">
            <v>69.17</v>
          </cell>
          <cell r="F3370">
            <v>69.17</v>
          </cell>
        </row>
        <row r="3371">
          <cell r="A3371" t="str">
            <v>212503</v>
          </cell>
          <cell r="B3371" t="str">
            <v>Flange avulso FD PN-10 DN100 conforme NBR7675</v>
          </cell>
          <cell r="C3371" t="str">
            <v>ud</v>
          </cell>
          <cell r="D3371">
            <v>0</v>
          </cell>
          <cell r="E3371">
            <v>79.58</v>
          </cell>
          <cell r="F3371">
            <v>79.58</v>
          </cell>
        </row>
        <row r="3372">
          <cell r="A3372" t="str">
            <v>212504</v>
          </cell>
          <cell r="B3372" t="str">
            <v>Flange avulso FD PN-10 DN150 conforme NBR7675</v>
          </cell>
          <cell r="C3372" t="str">
            <v>ud</v>
          </cell>
          <cell r="D3372">
            <v>0</v>
          </cell>
          <cell r="E3372">
            <v>121.1</v>
          </cell>
          <cell r="F3372">
            <v>121.1</v>
          </cell>
        </row>
        <row r="3373">
          <cell r="A3373" t="str">
            <v>212505</v>
          </cell>
          <cell r="B3373" t="str">
            <v>Flange avulso FD PN-10 DN200 conforme NBR7675 (5983)</v>
          </cell>
          <cell r="C3373" t="str">
            <v>ud</v>
          </cell>
          <cell r="D3373">
            <v>0</v>
          </cell>
          <cell r="E3373">
            <v>159.12</v>
          </cell>
          <cell r="F3373">
            <v>159.12</v>
          </cell>
        </row>
        <row r="3374">
          <cell r="A3374" t="str">
            <v>212506</v>
          </cell>
          <cell r="B3374" t="str">
            <v>Flange avulso FD PN-10 DN250 conforme NBR7675 (5991)</v>
          </cell>
          <cell r="C3374" t="str">
            <v>ud</v>
          </cell>
          <cell r="D3374">
            <v>0</v>
          </cell>
          <cell r="E3374">
            <v>242.16</v>
          </cell>
          <cell r="F3374">
            <v>242.16</v>
          </cell>
        </row>
        <row r="3375">
          <cell r="A3375" t="str">
            <v>212507</v>
          </cell>
          <cell r="B3375" t="str">
            <v>Flange avulso FD PN-10 DN300 conforme NBR7675 (6009)</v>
          </cell>
          <cell r="C3375" t="str">
            <v>ud</v>
          </cell>
          <cell r="D3375">
            <v>0</v>
          </cell>
          <cell r="E3375">
            <v>339.05</v>
          </cell>
          <cell r="F3375">
            <v>339.05</v>
          </cell>
        </row>
        <row r="3376">
          <cell r="A3376" t="str">
            <v>212508</v>
          </cell>
          <cell r="B3376" t="str">
            <v>Flange avulso FD PN-10 DN350 conforme NBR7675</v>
          </cell>
          <cell r="C3376" t="str">
            <v>ud</v>
          </cell>
          <cell r="D3376">
            <v>0</v>
          </cell>
          <cell r="E3376">
            <v>415.16</v>
          </cell>
          <cell r="F3376">
            <v>415.16</v>
          </cell>
        </row>
        <row r="3377">
          <cell r="A3377" t="str">
            <v>212509</v>
          </cell>
          <cell r="B3377" t="str">
            <v>Flange avulso FD PN-10 DN400 conforme NBR7675</v>
          </cell>
          <cell r="C3377" t="str">
            <v>ud</v>
          </cell>
          <cell r="D3377">
            <v>0</v>
          </cell>
          <cell r="E3377">
            <v>477.46</v>
          </cell>
          <cell r="F3377">
            <v>477.46</v>
          </cell>
        </row>
        <row r="3378">
          <cell r="A3378" t="str">
            <v>212510</v>
          </cell>
          <cell r="B3378" t="str">
            <v>Flange avulso FD PN-10 DN450 conforme NBR7675</v>
          </cell>
          <cell r="C3378" t="str">
            <v>ud</v>
          </cell>
          <cell r="D3378">
            <v>0</v>
          </cell>
          <cell r="E3378">
            <v>629.65</v>
          </cell>
          <cell r="F3378">
            <v>629.65</v>
          </cell>
        </row>
        <row r="3379">
          <cell r="A3379" t="str">
            <v>212511</v>
          </cell>
          <cell r="B3379" t="str">
            <v>Flange avulso FD PN-10 DN500 conforme NBR7675 (6050)</v>
          </cell>
          <cell r="C3379" t="str">
            <v>ud</v>
          </cell>
          <cell r="D3379">
            <v>0</v>
          </cell>
          <cell r="E3379">
            <v>712.7</v>
          </cell>
          <cell r="F3379">
            <v>712.7</v>
          </cell>
        </row>
        <row r="3380">
          <cell r="A3380" t="str">
            <v>212512</v>
          </cell>
          <cell r="B3380" t="str">
            <v>Flange avulso FD PN-10 DN600 conforme NBR7675</v>
          </cell>
          <cell r="C3380" t="str">
            <v>ud</v>
          </cell>
          <cell r="D3380">
            <v>0</v>
          </cell>
          <cell r="E3380">
            <v>985.98</v>
          </cell>
          <cell r="F3380">
            <v>985.98</v>
          </cell>
        </row>
        <row r="3381">
          <cell r="A3381" t="str">
            <v>212513</v>
          </cell>
          <cell r="B3381" t="str">
            <v>Flange avulso FD PN-10 DN700 conforme NBR7675</v>
          </cell>
          <cell r="C3381" t="str">
            <v>ud</v>
          </cell>
          <cell r="D3381">
            <v>0</v>
          </cell>
        </row>
        <row r="3382">
          <cell r="A3382" t="str">
            <v>212514</v>
          </cell>
          <cell r="B3382" t="str">
            <v>Flange avulso FD PN-10 DN800 conforme NBR7675</v>
          </cell>
          <cell r="C3382" t="str">
            <v>ud</v>
          </cell>
          <cell r="D3382">
            <v>0</v>
          </cell>
          <cell r="E3382">
            <v>1364.06</v>
          </cell>
          <cell r="F3382">
            <v>1364.06</v>
          </cell>
        </row>
        <row r="3383">
          <cell r="A3383" t="str">
            <v>212515</v>
          </cell>
          <cell r="B3383" t="str">
            <v>Flange avulso FD PN-10 DN900 conforme NBR7675</v>
          </cell>
          <cell r="C3383" t="str">
            <v>ud</v>
          </cell>
          <cell r="D3383">
            <v>0</v>
          </cell>
        </row>
        <row r="3384">
          <cell r="A3384" t="str">
            <v>212516</v>
          </cell>
          <cell r="B3384" t="str">
            <v>Flange avulso FD PN-10 DN1000 conforme NBR7675</v>
          </cell>
          <cell r="C3384" t="str">
            <v>ud</v>
          </cell>
          <cell r="D3384">
            <v>0</v>
          </cell>
        </row>
        <row r="3385">
          <cell r="A3385" t="str">
            <v>212517</v>
          </cell>
          <cell r="B3385" t="str">
            <v>Flange avulso FD PN-10 DN1100 conforme NBR7675</v>
          </cell>
          <cell r="C3385" t="str">
            <v>ud</v>
          </cell>
          <cell r="D3385">
            <v>0</v>
          </cell>
        </row>
        <row r="3386">
          <cell r="A3386" t="str">
            <v>212518</v>
          </cell>
          <cell r="B3386" t="str">
            <v>Flange avulso FD PN-10 DN1200 conforme NBR7675</v>
          </cell>
          <cell r="C3386" t="str">
            <v>ud</v>
          </cell>
          <cell r="D3386">
            <v>0</v>
          </cell>
        </row>
        <row r="3387">
          <cell r="A3387" t="str">
            <v>212519</v>
          </cell>
          <cell r="B3387" t="str">
            <v>Flange avulso FD PN-16 DN50 conforme NBR7675</v>
          </cell>
          <cell r="C3387" t="str">
            <v>ud</v>
          </cell>
          <cell r="D3387">
            <v>0</v>
          </cell>
          <cell r="E3387">
            <v>62.28</v>
          </cell>
          <cell r="F3387">
            <v>62.28</v>
          </cell>
        </row>
        <row r="3388">
          <cell r="A3388" t="str">
            <v>212520</v>
          </cell>
          <cell r="B3388" t="str">
            <v>Flange avulso FD PN-16 DN75/80 conforme NBR7675 (141640)</v>
          </cell>
          <cell r="C3388" t="str">
            <v>ud</v>
          </cell>
          <cell r="D3388">
            <v>0</v>
          </cell>
          <cell r="E3388">
            <v>69.17</v>
          </cell>
          <cell r="F3388">
            <v>69.17</v>
          </cell>
        </row>
        <row r="3389">
          <cell r="A3389" t="str">
            <v>212521</v>
          </cell>
          <cell r="B3389" t="str">
            <v>Flange avulso FD PN-16 DN100 conforme NBR7675 (5959)</v>
          </cell>
          <cell r="C3389" t="str">
            <v>ud</v>
          </cell>
          <cell r="D3389">
            <v>0</v>
          </cell>
          <cell r="E3389">
            <v>79.58</v>
          </cell>
          <cell r="F3389">
            <v>79.58</v>
          </cell>
        </row>
        <row r="3390">
          <cell r="A3390" t="str">
            <v>212522</v>
          </cell>
          <cell r="B3390" t="str">
            <v>Flange avulso FD PN-16 DN150 conforme NBR7675 (5975)</v>
          </cell>
          <cell r="C3390" t="str">
            <v>ud</v>
          </cell>
          <cell r="D3390">
            <v>0</v>
          </cell>
          <cell r="E3390">
            <v>121.1</v>
          </cell>
          <cell r="F3390">
            <v>121.1</v>
          </cell>
        </row>
        <row r="3391">
          <cell r="A3391" t="str">
            <v>212523</v>
          </cell>
          <cell r="B3391" t="str">
            <v>Flange avulso FD PN-16 DN200 conforme NBR7675 (141704)</v>
          </cell>
          <cell r="C3391" t="str">
            <v>ud</v>
          </cell>
          <cell r="D3391">
            <v>0</v>
          </cell>
          <cell r="E3391">
            <v>159.12</v>
          </cell>
          <cell r="F3391">
            <v>159.12</v>
          </cell>
        </row>
        <row r="3392">
          <cell r="A3392" t="str">
            <v>212524</v>
          </cell>
          <cell r="B3392" t="str">
            <v>Flange avulso FD PN-16 DN250 conforme NBR7675</v>
          </cell>
          <cell r="C3392" t="str">
            <v>ud</v>
          </cell>
          <cell r="D3392">
            <v>0</v>
          </cell>
          <cell r="E3392">
            <v>242.16</v>
          </cell>
          <cell r="F3392">
            <v>242.16</v>
          </cell>
        </row>
        <row r="3393">
          <cell r="A3393" t="str">
            <v>212525</v>
          </cell>
          <cell r="B3393" t="str">
            <v>Flange avulso FD PN-16 DN300 conforme NBR7675 (141747)</v>
          </cell>
          <cell r="C3393" t="str">
            <v>ud</v>
          </cell>
          <cell r="D3393">
            <v>0</v>
          </cell>
          <cell r="E3393">
            <v>339.05</v>
          </cell>
          <cell r="F3393">
            <v>339.05</v>
          </cell>
        </row>
        <row r="3394">
          <cell r="A3394" t="str">
            <v>212526</v>
          </cell>
          <cell r="B3394" t="str">
            <v>Flange avulso FD PN-16 DN350 conforme NBR7675</v>
          </cell>
          <cell r="C3394" t="str">
            <v>ud</v>
          </cell>
          <cell r="D3394">
            <v>0</v>
          </cell>
          <cell r="E3394">
            <v>415.16</v>
          </cell>
          <cell r="F3394">
            <v>415.16</v>
          </cell>
        </row>
        <row r="3395">
          <cell r="A3395" t="str">
            <v>212527</v>
          </cell>
          <cell r="B3395" t="str">
            <v>Flange avulso FD PN-16 DN400 conforme NBR7675</v>
          </cell>
          <cell r="C3395" t="str">
            <v>ud</v>
          </cell>
          <cell r="D3395">
            <v>0</v>
          </cell>
          <cell r="E3395">
            <v>477.46</v>
          </cell>
          <cell r="F3395">
            <v>477.46</v>
          </cell>
        </row>
        <row r="3396">
          <cell r="A3396" t="str">
            <v>212528</v>
          </cell>
          <cell r="B3396" t="str">
            <v>Flange avulso FD PN-16 DN450 conforme NBR7675</v>
          </cell>
          <cell r="C3396" t="str">
            <v>ud</v>
          </cell>
          <cell r="D3396">
            <v>0</v>
          </cell>
          <cell r="E3396">
            <v>629.65</v>
          </cell>
          <cell r="F3396">
            <v>629.65</v>
          </cell>
        </row>
        <row r="3397">
          <cell r="A3397" t="str">
            <v>212529</v>
          </cell>
          <cell r="B3397" t="str">
            <v>Flange avulso FD PN-16 DN500 conforme NBR7675</v>
          </cell>
          <cell r="C3397" t="str">
            <v>ud</v>
          </cell>
          <cell r="D3397">
            <v>0</v>
          </cell>
          <cell r="E3397">
            <v>712.7</v>
          </cell>
          <cell r="F3397">
            <v>712.7</v>
          </cell>
        </row>
        <row r="3398">
          <cell r="A3398" t="str">
            <v>212530</v>
          </cell>
          <cell r="B3398" t="str">
            <v>Flange avulso FD PN-16 DN600 conforme NBR7675</v>
          </cell>
          <cell r="C3398" t="str">
            <v>ud</v>
          </cell>
          <cell r="D3398">
            <v>0</v>
          </cell>
          <cell r="E3398">
            <v>985.98</v>
          </cell>
          <cell r="F3398">
            <v>985.98</v>
          </cell>
        </row>
        <row r="3399">
          <cell r="A3399" t="str">
            <v>212531</v>
          </cell>
          <cell r="B3399" t="str">
            <v>Flange avulso FD PN-16 DN700 conforme NBR7675</v>
          </cell>
          <cell r="C3399" t="str">
            <v>ud</v>
          </cell>
          <cell r="D3399">
            <v>0</v>
          </cell>
        </row>
        <row r="3400">
          <cell r="A3400" t="str">
            <v>212532</v>
          </cell>
          <cell r="B3400" t="str">
            <v>Flange avulso FD PN-16 DN800 conforme NBR7675</v>
          </cell>
          <cell r="C3400" t="str">
            <v>ud</v>
          </cell>
          <cell r="D3400">
            <v>0</v>
          </cell>
          <cell r="E3400">
            <v>1364.06</v>
          </cell>
          <cell r="F3400">
            <v>1364.06</v>
          </cell>
        </row>
        <row r="3401">
          <cell r="A3401" t="str">
            <v>212533</v>
          </cell>
          <cell r="B3401" t="str">
            <v>Flange avulso FD PN-16 DN900 conforme NBR7675</v>
          </cell>
          <cell r="C3401" t="str">
            <v>ud</v>
          </cell>
          <cell r="D3401">
            <v>0</v>
          </cell>
        </row>
        <row r="3402">
          <cell r="A3402" t="str">
            <v>212534</v>
          </cell>
          <cell r="B3402" t="str">
            <v>Flange avulso FD PN-16 DN1000 conforme NBR7675</v>
          </cell>
          <cell r="C3402" t="str">
            <v>ud</v>
          </cell>
          <cell r="D3402">
            <v>0</v>
          </cell>
        </row>
        <row r="3403">
          <cell r="A3403" t="str">
            <v>212535</v>
          </cell>
          <cell r="B3403" t="str">
            <v>Flange avulso FD PN-16 DN1100 conforme NBR7675</v>
          </cell>
          <cell r="C3403" t="str">
            <v>ud</v>
          </cell>
          <cell r="D3403">
            <v>0</v>
          </cell>
        </row>
        <row r="3404">
          <cell r="A3404" t="str">
            <v>212536</v>
          </cell>
          <cell r="B3404" t="str">
            <v>Flange avulso FD PN-16 DN1200 conforme NBR7675</v>
          </cell>
          <cell r="C3404" t="str">
            <v>ud</v>
          </cell>
          <cell r="D3404">
            <v>0</v>
          </cell>
        </row>
        <row r="3405">
          <cell r="A3405" t="str">
            <v>212537</v>
          </cell>
          <cell r="B3405" t="str">
            <v>Flange avulso FD PN-25 DN50 conforme NBR7675 (5924)</v>
          </cell>
          <cell r="C3405" t="str">
            <v>ud</v>
          </cell>
          <cell r="D3405">
            <v>0</v>
          </cell>
        </row>
        <row r="3406">
          <cell r="A3406" t="str">
            <v>212538</v>
          </cell>
          <cell r="B3406" t="str">
            <v>Flange avulso FD PN-25 DN75/80 conforme NBR7675</v>
          </cell>
          <cell r="C3406" t="str">
            <v>ud</v>
          </cell>
          <cell r="D3406">
            <v>0</v>
          </cell>
        </row>
        <row r="3407">
          <cell r="A3407" t="str">
            <v>212539</v>
          </cell>
          <cell r="B3407" t="str">
            <v>Flange avulso FD PN-25 DN100 conforme NBR7675 (141682)</v>
          </cell>
          <cell r="C3407" t="str">
            <v>ud</v>
          </cell>
          <cell r="D3407">
            <v>0</v>
          </cell>
          <cell r="E3407">
            <v>0</v>
          </cell>
          <cell r="F3407">
            <v>0</v>
          </cell>
        </row>
        <row r="3408">
          <cell r="A3408" t="str">
            <v>212540</v>
          </cell>
          <cell r="B3408" t="str">
            <v>Flange avulso FD PN-25 DN150 conforme NBR7675</v>
          </cell>
          <cell r="C3408" t="str">
            <v>ud</v>
          </cell>
          <cell r="D3408">
            <v>0</v>
          </cell>
          <cell r="E3408">
            <v>0</v>
          </cell>
          <cell r="F3408">
            <v>0</v>
          </cell>
        </row>
        <row r="3409">
          <cell r="A3409" t="str">
            <v>212541</v>
          </cell>
          <cell r="B3409" t="str">
            <v>Flange avulso FD PN-25 DN200 conforme NBR7675</v>
          </cell>
          <cell r="C3409" t="str">
            <v>ud</v>
          </cell>
          <cell r="D3409">
            <v>0</v>
          </cell>
          <cell r="E3409">
            <v>0</v>
          </cell>
          <cell r="F3409">
            <v>0</v>
          </cell>
        </row>
        <row r="3410">
          <cell r="A3410" t="str">
            <v>212542</v>
          </cell>
          <cell r="B3410" t="str">
            <v>Flange avulso FD PN-25 DN250 conforme NBR7675 (294085)</v>
          </cell>
          <cell r="C3410" t="str">
            <v>ud</v>
          </cell>
          <cell r="D3410">
            <v>0</v>
          </cell>
        </row>
        <row r="3411">
          <cell r="A3411" t="str">
            <v>212543</v>
          </cell>
          <cell r="B3411" t="str">
            <v>Flange avulso FD PN-25 DN300 conforme NBR7675 (141755)</v>
          </cell>
          <cell r="C3411" t="str">
            <v>ud</v>
          </cell>
          <cell r="D3411">
            <v>0</v>
          </cell>
          <cell r="E3411">
            <v>0</v>
          </cell>
          <cell r="F3411">
            <v>0</v>
          </cell>
        </row>
        <row r="3412">
          <cell r="A3412" t="str">
            <v>212544</v>
          </cell>
          <cell r="B3412" t="str">
            <v>Flange avulso FD PN-25 DN350 conforme NBR7675</v>
          </cell>
          <cell r="C3412" t="str">
            <v>ud</v>
          </cell>
          <cell r="D3412">
            <v>0</v>
          </cell>
        </row>
        <row r="3413">
          <cell r="A3413" t="str">
            <v>212545</v>
          </cell>
          <cell r="B3413" t="str">
            <v>Flange avulso FD PN-25 DN400 conforme NBR7675</v>
          </cell>
          <cell r="C3413" t="str">
            <v>ud</v>
          </cell>
          <cell r="D3413">
            <v>0</v>
          </cell>
        </row>
        <row r="3414">
          <cell r="A3414" t="str">
            <v>212546</v>
          </cell>
          <cell r="B3414" t="str">
            <v>Flange avulso FD PN-25 DN450 conforme NBR7675</v>
          </cell>
          <cell r="C3414" t="str">
            <v>ud</v>
          </cell>
          <cell r="D3414">
            <v>0</v>
          </cell>
        </row>
        <row r="3415">
          <cell r="A3415" t="str">
            <v>212547</v>
          </cell>
          <cell r="B3415" t="str">
            <v>Flange avulso FD PN-25 DN500 conforme NBR7675</v>
          </cell>
          <cell r="C3415" t="str">
            <v>ud</v>
          </cell>
          <cell r="D3415">
            <v>0</v>
          </cell>
        </row>
        <row r="3416">
          <cell r="A3416" t="str">
            <v>212548</v>
          </cell>
          <cell r="B3416" t="str">
            <v>Flange avulso FD PN-25 DN600 conforme NBR7675</v>
          </cell>
          <cell r="C3416" t="str">
            <v>ud</v>
          </cell>
          <cell r="D3416">
            <v>0</v>
          </cell>
        </row>
        <row r="3417">
          <cell r="A3417" t="str">
            <v>212549</v>
          </cell>
          <cell r="B3417" t="str">
            <v>Flange avulso FD PN-25 DN700 conforme NBR7675</v>
          </cell>
          <cell r="C3417" t="str">
            <v>ud</v>
          </cell>
          <cell r="D3417">
            <v>0</v>
          </cell>
        </row>
        <row r="3418">
          <cell r="A3418" t="str">
            <v>212550</v>
          </cell>
          <cell r="B3418" t="str">
            <v>Flange avulso FD PN-25 DN800 conforme NBR7675</v>
          </cell>
          <cell r="C3418" t="str">
            <v>ud</v>
          </cell>
          <cell r="D3418">
            <v>0</v>
          </cell>
        </row>
        <row r="3419">
          <cell r="A3419" t="str">
            <v>212551</v>
          </cell>
          <cell r="B3419" t="str">
            <v>Flange avulso FD PN-25 DN900 conforme NBR7675</v>
          </cell>
          <cell r="C3419" t="str">
            <v>ud</v>
          </cell>
          <cell r="D3419">
            <v>0</v>
          </cell>
        </row>
        <row r="3420">
          <cell r="A3420" t="str">
            <v>212552</v>
          </cell>
          <cell r="B3420" t="str">
            <v>Flange avulso FD PN-25 DN1000 conforme NBR7675</v>
          </cell>
          <cell r="C3420" t="str">
            <v>ud</v>
          </cell>
          <cell r="D3420">
            <v>0</v>
          </cell>
        </row>
        <row r="3421">
          <cell r="A3421" t="str">
            <v>212553</v>
          </cell>
          <cell r="B3421" t="str">
            <v>Flange avulso FD PN-25 DN1100 conforme NBR7675</v>
          </cell>
          <cell r="C3421" t="str">
            <v>ud</v>
          </cell>
          <cell r="D3421">
            <v>0</v>
          </cell>
        </row>
        <row r="3422">
          <cell r="A3422" t="str">
            <v>212554</v>
          </cell>
          <cell r="B3422" t="str">
            <v>Flange avulso FD PN-25 DN1200 conforme NBR7675</v>
          </cell>
          <cell r="C3422" t="str">
            <v>ud</v>
          </cell>
          <cell r="D3422">
            <v>0</v>
          </cell>
        </row>
        <row r="3423">
          <cell r="A3423" t="str">
            <v>2126</v>
          </cell>
          <cell r="B3423" t="str">
            <v>FLANGE CEGO FD</v>
          </cell>
        </row>
        <row r="3424">
          <cell r="A3424" t="str">
            <v>212601</v>
          </cell>
          <cell r="B3424" t="str">
            <v>Flange cego FD PN-10 DN50 conforme NBR7675</v>
          </cell>
          <cell r="C3424" t="str">
            <v>ud</v>
          </cell>
          <cell r="D3424">
            <v>0</v>
          </cell>
          <cell r="E3424">
            <v>62.28</v>
          </cell>
          <cell r="F3424">
            <v>62.28</v>
          </cell>
        </row>
        <row r="3425">
          <cell r="A3425" t="str">
            <v>212602</v>
          </cell>
          <cell r="B3425" t="str">
            <v>Flange cego FD PN-10 DN75/80 conforme NBR7675 (294675)</v>
          </cell>
          <cell r="C3425" t="str">
            <v>ud</v>
          </cell>
          <cell r="D3425">
            <v>0</v>
          </cell>
          <cell r="E3425">
            <v>65.790000000000006</v>
          </cell>
          <cell r="F3425">
            <v>65.790000000000006</v>
          </cell>
        </row>
        <row r="3426">
          <cell r="A3426" t="str">
            <v>212603</v>
          </cell>
          <cell r="B3426" t="str">
            <v>Flange cego FD PN-10 DN100 conforme NBR7675 (93653)</v>
          </cell>
          <cell r="C3426" t="str">
            <v>ud</v>
          </cell>
          <cell r="D3426">
            <v>0</v>
          </cell>
          <cell r="E3426">
            <v>73.510000000000005</v>
          </cell>
          <cell r="F3426">
            <v>73.510000000000005</v>
          </cell>
        </row>
        <row r="3427">
          <cell r="A3427" t="str">
            <v>212604</v>
          </cell>
          <cell r="B3427" t="str">
            <v>Flange cego FD PN-10 DN150 conforme NBR7675</v>
          </cell>
          <cell r="C3427" t="str">
            <v>ud</v>
          </cell>
          <cell r="D3427">
            <v>0</v>
          </cell>
          <cell r="E3427">
            <v>151.05000000000001</v>
          </cell>
          <cell r="F3427">
            <v>151.05000000000001</v>
          </cell>
        </row>
        <row r="3428">
          <cell r="A3428" t="str">
            <v>212605</v>
          </cell>
          <cell r="B3428" t="str">
            <v>Flange cego FD PN-10 DN200 conforme NBR7675 (5452)</v>
          </cell>
          <cell r="C3428" t="str">
            <v>ud</v>
          </cell>
          <cell r="D3428">
            <v>0</v>
          </cell>
          <cell r="E3428">
            <v>176.73</v>
          </cell>
          <cell r="F3428">
            <v>176.73</v>
          </cell>
        </row>
        <row r="3429">
          <cell r="A3429" t="str">
            <v>212606</v>
          </cell>
          <cell r="B3429" t="str">
            <v>Flange cego FD PN-10 DN250 conforme NBR7675 (5460)</v>
          </cell>
          <cell r="C3429" t="str">
            <v>ud</v>
          </cell>
          <cell r="D3429">
            <v>0</v>
          </cell>
          <cell r="E3429">
            <v>267.13</v>
          </cell>
          <cell r="F3429">
            <v>267.13</v>
          </cell>
        </row>
        <row r="3430">
          <cell r="A3430" t="str">
            <v>212607</v>
          </cell>
          <cell r="B3430" t="str">
            <v>Flange cego FD PN-10 DN300 conforme NBR7675 (5479)</v>
          </cell>
          <cell r="C3430" t="str">
            <v>ud</v>
          </cell>
          <cell r="D3430">
            <v>0</v>
          </cell>
          <cell r="E3430">
            <v>379.51</v>
          </cell>
          <cell r="F3430">
            <v>379.51</v>
          </cell>
        </row>
        <row r="3431">
          <cell r="A3431" t="str">
            <v>212608</v>
          </cell>
          <cell r="B3431" t="str">
            <v>Flange cego FD PN-10 DN350 conforme NBR7675</v>
          </cell>
          <cell r="C3431" t="str">
            <v>ud</v>
          </cell>
          <cell r="D3431">
            <v>0</v>
          </cell>
          <cell r="E3431">
            <v>455.04</v>
          </cell>
          <cell r="F3431">
            <v>455.04</v>
          </cell>
        </row>
        <row r="3432">
          <cell r="A3432" t="str">
            <v>212609</v>
          </cell>
          <cell r="B3432" t="str">
            <v>Flange cego FD PN-10 DN400 conforme NBR7675 (5495)</v>
          </cell>
          <cell r="C3432" t="str">
            <v>ud</v>
          </cell>
          <cell r="D3432">
            <v>0</v>
          </cell>
          <cell r="E3432">
            <v>587.69000000000005</v>
          </cell>
          <cell r="F3432">
            <v>587.69000000000005</v>
          </cell>
        </row>
        <row r="3433">
          <cell r="A3433" t="str">
            <v>212610</v>
          </cell>
          <cell r="B3433" t="str">
            <v>Flange cego FD PN-10 DN450 conforme NBR7675</v>
          </cell>
          <cell r="C3433" t="str">
            <v>ud</v>
          </cell>
          <cell r="D3433">
            <v>0</v>
          </cell>
          <cell r="E3433">
            <v>722.19</v>
          </cell>
          <cell r="F3433">
            <v>722.19</v>
          </cell>
        </row>
        <row r="3434">
          <cell r="A3434" t="str">
            <v>212611</v>
          </cell>
          <cell r="B3434" t="str">
            <v>Flange cego FD PN-10 DN500 conforme NBR7675 (5517)</v>
          </cell>
          <cell r="C3434" t="str">
            <v>ud</v>
          </cell>
          <cell r="D3434">
            <v>0</v>
          </cell>
          <cell r="E3434">
            <v>895.36</v>
          </cell>
          <cell r="F3434">
            <v>895.36</v>
          </cell>
        </row>
        <row r="3435">
          <cell r="A3435" t="str">
            <v>212612</v>
          </cell>
          <cell r="B3435" t="str">
            <v>Flange cego FD PN-10 DN600 conforme NBR7675 (5533)</v>
          </cell>
          <cell r="C3435" t="str">
            <v>ud</v>
          </cell>
          <cell r="D3435">
            <v>0</v>
          </cell>
          <cell r="E3435">
            <v>1582.16</v>
          </cell>
          <cell r="F3435">
            <v>1582.16</v>
          </cell>
        </row>
        <row r="3436">
          <cell r="A3436" t="str">
            <v>212613</v>
          </cell>
          <cell r="B3436" t="str">
            <v>Flange cego FD PN-10 DN700 conforme NBR7675</v>
          </cell>
          <cell r="C3436" t="str">
            <v>ud</v>
          </cell>
          <cell r="D3436">
            <v>0</v>
          </cell>
        </row>
        <row r="3437">
          <cell r="A3437" t="str">
            <v>212614</v>
          </cell>
          <cell r="B3437" t="str">
            <v>Flange cego FD PN-10 DN800 conforme NBR7675 (5541)</v>
          </cell>
          <cell r="C3437" t="str">
            <v>ud</v>
          </cell>
          <cell r="D3437">
            <v>0</v>
          </cell>
          <cell r="E3437">
            <v>2644.77</v>
          </cell>
          <cell r="F3437">
            <v>2644.77</v>
          </cell>
        </row>
        <row r="3438">
          <cell r="A3438" t="str">
            <v>212615</v>
          </cell>
          <cell r="B3438" t="str">
            <v>Flange cego FD PN-10 DN900 conforme NBR7675</v>
          </cell>
          <cell r="C3438" t="str">
            <v>ud</v>
          </cell>
          <cell r="D3438">
            <v>0</v>
          </cell>
          <cell r="E3438">
            <v>3752.04</v>
          </cell>
          <cell r="F3438">
            <v>3752.04</v>
          </cell>
        </row>
        <row r="3439">
          <cell r="A3439" t="str">
            <v>212616</v>
          </cell>
          <cell r="B3439" t="str">
            <v>Flange cego FD PN-10 DN1000 conforme NBR7675 (63126)</v>
          </cell>
          <cell r="C3439" t="str">
            <v>ud</v>
          </cell>
          <cell r="D3439">
            <v>0</v>
          </cell>
        </row>
        <row r="3440">
          <cell r="A3440" t="str">
            <v>212617</v>
          </cell>
          <cell r="B3440" t="str">
            <v>Flange cego FD PN-10 DN1100 conforme NBR7675</v>
          </cell>
          <cell r="C3440" t="str">
            <v>ud</v>
          </cell>
          <cell r="D3440">
            <v>0</v>
          </cell>
        </row>
        <row r="3441">
          <cell r="A3441" t="str">
            <v>212618</v>
          </cell>
          <cell r="B3441" t="str">
            <v>Flange cego FD PN-10 DN1200 conforme NBR7675 (73210)</v>
          </cell>
          <cell r="C3441" t="str">
            <v>ud</v>
          </cell>
          <cell r="D3441">
            <v>0</v>
          </cell>
        </row>
        <row r="3442">
          <cell r="A3442" t="str">
            <v>212619</v>
          </cell>
          <cell r="B3442" t="str">
            <v>Flange cego FD PN-16 DN50 conforme NBR7675</v>
          </cell>
          <cell r="C3442" t="str">
            <v>ud</v>
          </cell>
          <cell r="D3442">
            <v>0</v>
          </cell>
          <cell r="E3442">
            <v>62.28</v>
          </cell>
          <cell r="F3442">
            <v>62.28</v>
          </cell>
        </row>
        <row r="3443">
          <cell r="A3443" t="str">
            <v>212620</v>
          </cell>
          <cell r="B3443" t="str">
            <v>Flange cego FD PN-16 DN75/80 conforme NBR7675 (5410)</v>
          </cell>
          <cell r="C3443" t="str">
            <v>ud</v>
          </cell>
          <cell r="D3443">
            <v>0</v>
          </cell>
          <cell r="E3443">
            <v>65.790000000000006</v>
          </cell>
          <cell r="F3443">
            <v>65.790000000000006</v>
          </cell>
        </row>
        <row r="3444">
          <cell r="A3444" t="str">
            <v>212621</v>
          </cell>
          <cell r="B3444" t="str">
            <v>Flange cego FD PN-16 DN100 conforme NBR7675 (5428)</v>
          </cell>
          <cell r="C3444" t="str">
            <v>ud</v>
          </cell>
          <cell r="D3444">
            <v>0</v>
          </cell>
          <cell r="E3444">
            <v>73.510000000000005</v>
          </cell>
          <cell r="F3444">
            <v>73.510000000000005</v>
          </cell>
        </row>
        <row r="3445">
          <cell r="A3445" t="str">
            <v>212622</v>
          </cell>
          <cell r="B3445" t="str">
            <v>Flange cego FD PN-16 DN150 conforme NBR7675 (5444)</v>
          </cell>
          <cell r="C3445" t="str">
            <v>ud</v>
          </cell>
          <cell r="D3445">
            <v>0</v>
          </cell>
          <cell r="E3445">
            <v>151.05000000000001</v>
          </cell>
          <cell r="F3445">
            <v>151.05000000000001</v>
          </cell>
        </row>
        <row r="3446">
          <cell r="A3446" t="str">
            <v>212623</v>
          </cell>
          <cell r="B3446" t="str">
            <v>Flange cego FD PN-16 DN200 conforme NBR7675 (141585)</v>
          </cell>
          <cell r="C3446" t="str">
            <v>ud</v>
          </cell>
          <cell r="D3446">
            <v>0</v>
          </cell>
          <cell r="E3446">
            <v>176.73</v>
          </cell>
          <cell r="F3446">
            <v>176.73</v>
          </cell>
        </row>
        <row r="3447">
          <cell r="A3447" t="str">
            <v>212624</v>
          </cell>
          <cell r="B3447" t="str">
            <v>Flange cego FD PN-16 DN250 conforme NBR7675 (141607)</v>
          </cell>
          <cell r="C3447" t="str">
            <v>ud</v>
          </cell>
          <cell r="D3447">
            <v>0</v>
          </cell>
          <cell r="E3447">
            <v>267.13</v>
          </cell>
          <cell r="F3447">
            <v>267.13</v>
          </cell>
        </row>
        <row r="3448">
          <cell r="A3448" t="str">
            <v>212625</v>
          </cell>
          <cell r="B3448" t="str">
            <v>Flange cego FD PN-16 DN300 conforme NBR7675</v>
          </cell>
          <cell r="C3448" t="str">
            <v>ud</v>
          </cell>
          <cell r="D3448">
            <v>0</v>
          </cell>
          <cell r="E3448">
            <v>379.51</v>
          </cell>
          <cell r="F3448">
            <v>379.51</v>
          </cell>
        </row>
        <row r="3449">
          <cell r="A3449" t="str">
            <v>212626</v>
          </cell>
          <cell r="B3449" t="str">
            <v>Flange cego FD PN-16 DN350 conforme NBR7675</v>
          </cell>
          <cell r="C3449" t="str">
            <v>ud</v>
          </cell>
          <cell r="D3449">
            <v>0</v>
          </cell>
          <cell r="E3449">
            <v>455.04</v>
          </cell>
          <cell r="F3449">
            <v>455.04</v>
          </cell>
        </row>
        <row r="3450">
          <cell r="A3450" t="str">
            <v>212627</v>
          </cell>
          <cell r="B3450" t="str">
            <v>Flange cego FD PN-16 DN400 conforme NBR7675</v>
          </cell>
          <cell r="C3450" t="str">
            <v>ud</v>
          </cell>
          <cell r="D3450">
            <v>0</v>
          </cell>
          <cell r="E3450">
            <v>587.69000000000005</v>
          </cell>
          <cell r="F3450">
            <v>587.69000000000005</v>
          </cell>
        </row>
        <row r="3451">
          <cell r="A3451" t="str">
            <v>212628</v>
          </cell>
          <cell r="B3451" t="str">
            <v>Flange cego FD PN-16 DN450 conforme NBR7675</v>
          </cell>
          <cell r="C3451" t="str">
            <v>ud</v>
          </cell>
          <cell r="D3451">
            <v>0</v>
          </cell>
          <cell r="E3451">
            <v>722.19</v>
          </cell>
          <cell r="F3451">
            <v>722.19</v>
          </cell>
        </row>
        <row r="3452">
          <cell r="A3452" t="str">
            <v>212629</v>
          </cell>
          <cell r="B3452" t="str">
            <v>Flange cego FD PN-16 DN500 conforme NBR7675 (141666)</v>
          </cell>
          <cell r="C3452" t="str">
            <v>ud</v>
          </cell>
          <cell r="D3452">
            <v>0</v>
          </cell>
          <cell r="E3452">
            <v>895.36</v>
          </cell>
          <cell r="F3452">
            <v>895.36</v>
          </cell>
        </row>
        <row r="3453">
          <cell r="A3453" t="str">
            <v>212630</v>
          </cell>
          <cell r="B3453" t="str">
            <v>Flange cego FD PN-16 DN600 conforme NBR7675 (145874)</v>
          </cell>
          <cell r="C3453" t="str">
            <v>ud</v>
          </cell>
          <cell r="D3453">
            <v>0</v>
          </cell>
          <cell r="E3453">
            <v>1582.16</v>
          </cell>
          <cell r="F3453">
            <v>1582.16</v>
          </cell>
        </row>
        <row r="3454">
          <cell r="A3454" t="str">
            <v>212631</v>
          </cell>
          <cell r="B3454" t="str">
            <v>Flange cego FD PN-16 DN700 conforme NBR7675 (255378)</v>
          </cell>
          <cell r="C3454" t="str">
            <v>ud</v>
          </cell>
          <cell r="D3454">
            <v>0</v>
          </cell>
        </row>
        <row r="3455">
          <cell r="A3455" t="str">
            <v>212632</v>
          </cell>
          <cell r="B3455" t="str">
            <v>Flange cego FD PN-16 DN800 conforme NBR7675 (144991)</v>
          </cell>
          <cell r="C3455" t="str">
            <v>ud</v>
          </cell>
          <cell r="D3455">
            <v>0</v>
          </cell>
          <cell r="E3455">
            <v>2644.77</v>
          </cell>
          <cell r="F3455">
            <v>2644.77</v>
          </cell>
        </row>
        <row r="3456">
          <cell r="A3456" t="str">
            <v>212633</v>
          </cell>
          <cell r="B3456" t="str">
            <v>Flange cego FD PN-16 DN900 conforme NBR7675</v>
          </cell>
          <cell r="C3456" t="str">
            <v>ud</v>
          </cell>
          <cell r="D3456">
            <v>0</v>
          </cell>
          <cell r="E3456">
            <v>3752.04</v>
          </cell>
          <cell r="F3456">
            <v>3752.04</v>
          </cell>
        </row>
        <row r="3457">
          <cell r="A3457" t="str">
            <v>212634</v>
          </cell>
          <cell r="B3457" t="str">
            <v>Flange cego FD PN-16 DN1000 conforme NBR7675</v>
          </cell>
          <cell r="C3457" t="str">
            <v>ud</v>
          </cell>
          <cell r="D3457">
            <v>0</v>
          </cell>
        </row>
        <row r="3458">
          <cell r="A3458" t="str">
            <v>212635</v>
          </cell>
          <cell r="B3458" t="str">
            <v>Flange cego FD PN-16 DN1100 conforme NBR7675</v>
          </cell>
          <cell r="C3458" t="str">
            <v>ud</v>
          </cell>
          <cell r="D3458">
            <v>0</v>
          </cell>
        </row>
        <row r="3459">
          <cell r="A3459" t="str">
            <v>212636</v>
          </cell>
          <cell r="B3459" t="str">
            <v>Flange cego FD PN-16 DN1200 conforme NBR7675</v>
          </cell>
          <cell r="C3459" t="str">
            <v>ud</v>
          </cell>
          <cell r="D3459">
            <v>0</v>
          </cell>
        </row>
        <row r="3460">
          <cell r="A3460" t="str">
            <v>212637</v>
          </cell>
          <cell r="B3460" t="str">
            <v>Flange cego FD PN-25 DN50 conforme NBR7675 (5398)</v>
          </cell>
          <cell r="C3460" t="str">
            <v>ud</v>
          </cell>
          <cell r="D3460">
            <v>0</v>
          </cell>
        </row>
        <row r="3461">
          <cell r="A3461" t="str">
            <v>212638</v>
          </cell>
          <cell r="B3461" t="str">
            <v>Flange cego FD PN-25 DN75/80 conforme NBR7675 (141305)</v>
          </cell>
          <cell r="C3461" t="str">
            <v>ud</v>
          </cell>
          <cell r="D3461">
            <v>0</v>
          </cell>
        </row>
        <row r="3462">
          <cell r="A3462" t="str">
            <v>212639</v>
          </cell>
          <cell r="B3462" t="str">
            <v>Flange cego FD PN-25DN100 conforme NBR7675 (141569)</v>
          </cell>
          <cell r="C3462" t="str">
            <v>ud</v>
          </cell>
          <cell r="D3462">
            <v>0</v>
          </cell>
        </row>
        <row r="3463">
          <cell r="A3463" t="str">
            <v>212640</v>
          </cell>
          <cell r="B3463" t="str">
            <v>Flange cego FD PN-25 DN150 conforme NBR7675</v>
          </cell>
          <cell r="C3463" t="str">
            <v>ud</v>
          </cell>
          <cell r="D3463">
            <v>0</v>
          </cell>
        </row>
        <row r="3464">
          <cell r="A3464" t="str">
            <v>212641</v>
          </cell>
          <cell r="B3464" t="str">
            <v>Flange cego FD PN-25 DN200 conforme NBR7675 (141593)</v>
          </cell>
          <cell r="C3464" t="str">
            <v>ud</v>
          </cell>
          <cell r="D3464">
            <v>0</v>
          </cell>
        </row>
        <row r="3465">
          <cell r="A3465" t="str">
            <v>212642</v>
          </cell>
          <cell r="B3465" t="str">
            <v>Flange cego FD PN-25 DN250 conforme NBR7675</v>
          </cell>
          <cell r="C3465" t="str">
            <v>ud</v>
          </cell>
          <cell r="D3465">
            <v>0</v>
          </cell>
        </row>
        <row r="3466">
          <cell r="A3466" t="str">
            <v>212643</v>
          </cell>
          <cell r="B3466" t="str">
            <v>Flange cego FD PN-25 DN300 conforme NBR7675</v>
          </cell>
          <cell r="C3466" t="str">
            <v>ud</v>
          </cell>
          <cell r="D3466">
            <v>0</v>
          </cell>
        </row>
        <row r="3467">
          <cell r="A3467" t="str">
            <v>212644</v>
          </cell>
          <cell r="B3467" t="str">
            <v>Flange cego FD PN-25 DN350 conforme NBR7675</v>
          </cell>
          <cell r="C3467" t="str">
            <v>ud</v>
          </cell>
          <cell r="D3467">
            <v>0</v>
          </cell>
        </row>
        <row r="3468">
          <cell r="A3468" t="str">
            <v>212645</v>
          </cell>
          <cell r="B3468" t="str">
            <v>Flange cego FD PN-25 DN400 conforme NBR7675 (141658)</v>
          </cell>
          <cell r="C3468" t="str">
            <v>ud</v>
          </cell>
          <cell r="D3468">
            <v>0</v>
          </cell>
        </row>
        <row r="3469">
          <cell r="A3469" t="str">
            <v>212646</v>
          </cell>
          <cell r="B3469" t="str">
            <v>Flange cego FD PN-25 DN450 conforme NBR7675</v>
          </cell>
          <cell r="C3469" t="str">
            <v>ud</v>
          </cell>
          <cell r="D3469">
            <v>0</v>
          </cell>
        </row>
        <row r="3470">
          <cell r="A3470" t="str">
            <v>212647</v>
          </cell>
          <cell r="B3470" t="str">
            <v>Flange cego FD PN-25 DN500 conforme NBR7675</v>
          </cell>
          <cell r="C3470" t="str">
            <v>ud</v>
          </cell>
          <cell r="D3470">
            <v>0</v>
          </cell>
        </row>
        <row r="3471">
          <cell r="A3471" t="str">
            <v>212648</v>
          </cell>
          <cell r="B3471" t="str">
            <v>Flange cego FD PN-25 DN600 conforme NBR7675</v>
          </cell>
          <cell r="C3471" t="str">
            <v>ud</v>
          </cell>
          <cell r="D3471">
            <v>0</v>
          </cell>
        </row>
        <row r="3472">
          <cell r="A3472" t="str">
            <v>212649</v>
          </cell>
          <cell r="B3472" t="str">
            <v>Flange cego FD PN-25 DN700 conforme NBR7675</v>
          </cell>
          <cell r="C3472" t="str">
            <v>ud</v>
          </cell>
          <cell r="D3472">
            <v>0</v>
          </cell>
        </row>
        <row r="3473">
          <cell r="A3473" t="str">
            <v>212650</v>
          </cell>
          <cell r="B3473" t="str">
            <v>Flange cego FD PN-25 DN800 conforme NBR7675</v>
          </cell>
          <cell r="C3473" t="str">
            <v>ud</v>
          </cell>
          <cell r="D3473">
            <v>0</v>
          </cell>
        </row>
        <row r="3474">
          <cell r="A3474" t="str">
            <v>212651</v>
          </cell>
          <cell r="B3474" t="str">
            <v>Flange cego FD PN-25 DN900 conforme NBR7675</v>
          </cell>
          <cell r="C3474" t="str">
            <v>ud</v>
          </cell>
          <cell r="D3474">
            <v>0</v>
          </cell>
        </row>
        <row r="3475">
          <cell r="A3475" t="str">
            <v>212652</v>
          </cell>
          <cell r="B3475" t="str">
            <v>Flange cego FD PN-25 DN1000 conforme NBR7675</v>
          </cell>
          <cell r="C3475" t="str">
            <v>ud</v>
          </cell>
          <cell r="D3475">
            <v>0</v>
          </cell>
        </row>
        <row r="3476">
          <cell r="A3476" t="str">
            <v>212653</v>
          </cell>
          <cell r="B3476" t="str">
            <v>Flange cego FD PN-25 DN1100 conforme NBR7675</v>
          </cell>
          <cell r="C3476" t="str">
            <v>ud</v>
          </cell>
          <cell r="D3476">
            <v>0</v>
          </cell>
        </row>
        <row r="3477">
          <cell r="A3477" t="str">
            <v>212654</v>
          </cell>
          <cell r="B3477" t="str">
            <v>Flange cego FD PN-25 DN1200 conforme NBR7675</v>
          </cell>
          <cell r="C3477" t="str">
            <v>ud</v>
          </cell>
          <cell r="D3477">
            <v>0</v>
          </cell>
        </row>
        <row r="3478">
          <cell r="A3478" t="str">
            <v>2127</v>
          </cell>
          <cell r="B3478" t="str">
            <v>HASTE DE PROLONGAMENTO FD</v>
          </cell>
        </row>
        <row r="3479">
          <cell r="A3479" t="str">
            <v>212701</v>
          </cell>
          <cell r="B3479" t="str">
            <v xml:space="preserve">Haste de prolongamento FD L= 0,50 m 1.1/8" </v>
          </cell>
          <cell r="C3479" t="str">
            <v>ud</v>
          </cell>
          <cell r="D3479">
            <v>0</v>
          </cell>
        </row>
        <row r="3480">
          <cell r="A3480" t="str">
            <v>212702</v>
          </cell>
          <cell r="B3480" t="str">
            <v xml:space="preserve">Haste de prolongamento FD L= 0,70 m 1.1/8" </v>
          </cell>
          <cell r="C3480" t="str">
            <v>ud</v>
          </cell>
          <cell r="D3480">
            <v>0</v>
          </cell>
        </row>
        <row r="3481">
          <cell r="A3481" t="str">
            <v>212703</v>
          </cell>
          <cell r="B3481" t="str">
            <v xml:space="preserve">Haste de prolongamento FD L= 0,80 m 1.1/8" </v>
          </cell>
          <cell r="C3481" t="str">
            <v>ud</v>
          </cell>
          <cell r="D3481">
            <v>0</v>
          </cell>
        </row>
        <row r="3482">
          <cell r="A3482" t="str">
            <v>212704</v>
          </cell>
          <cell r="B3482" t="str">
            <v xml:space="preserve">Haste de prolongamento FD L= 1,00 m 1.3/4" </v>
          </cell>
          <cell r="C3482" t="str">
            <v>ud</v>
          </cell>
          <cell r="D3482">
            <v>0</v>
          </cell>
        </row>
        <row r="3483">
          <cell r="A3483" t="str">
            <v>212705</v>
          </cell>
          <cell r="B3483" t="str">
            <v xml:space="preserve">Haste de prolongamento FD L= 1,10 m 1.1/2" </v>
          </cell>
          <cell r="C3483" t="str">
            <v>ud</v>
          </cell>
          <cell r="D3483">
            <v>0</v>
          </cell>
        </row>
        <row r="3484">
          <cell r="A3484" t="str">
            <v>212706</v>
          </cell>
          <cell r="B3484" t="str">
            <v xml:space="preserve">Haste de prolongamento FD L= 1,10 m 1.1/8" </v>
          </cell>
          <cell r="C3484" t="str">
            <v>ud</v>
          </cell>
          <cell r="D3484">
            <v>0</v>
          </cell>
        </row>
        <row r="3485">
          <cell r="A3485" t="str">
            <v>212707</v>
          </cell>
          <cell r="B3485" t="str">
            <v xml:space="preserve">Haste de prolongamento FD L= 1,20 m 1.1/8" </v>
          </cell>
          <cell r="C3485" t="str">
            <v>ud</v>
          </cell>
          <cell r="D3485">
            <v>0</v>
          </cell>
        </row>
        <row r="3486">
          <cell r="A3486" t="str">
            <v>212708</v>
          </cell>
          <cell r="B3486" t="str">
            <v xml:space="preserve">Haste de prolongamento FD L= 1,20 m 1.3/4" </v>
          </cell>
          <cell r="C3486" t="str">
            <v>ud</v>
          </cell>
          <cell r="D3486">
            <v>0</v>
          </cell>
        </row>
        <row r="3487">
          <cell r="A3487" t="str">
            <v>212709</v>
          </cell>
          <cell r="B3487" t="str">
            <v xml:space="preserve">Haste de prolongamento FD L= 1,30 m 1.1/8" </v>
          </cell>
          <cell r="C3487" t="str">
            <v>ud</v>
          </cell>
          <cell r="D3487">
            <v>0</v>
          </cell>
        </row>
        <row r="3488">
          <cell r="A3488" t="str">
            <v>212710</v>
          </cell>
          <cell r="B3488" t="str">
            <v xml:space="preserve">Haste de prolongamento FD L= 1,30 m 1.3/4" </v>
          </cell>
          <cell r="C3488" t="str">
            <v>ud</v>
          </cell>
          <cell r="D3488">
            <v>0</v>
          </cell>
        </row>
        <row r="3489">
          <cell r="A3489" t="str">
            <v>212711</v>
          </cell>
          <cell r="B3489" t="str">
            <v xml:space="preserve">Haste de prolongamento FD L= 1,45 m 1.1/8" </v>
          </cell>
          <cell r="C3489" t="str">
            <v>ud</v>
          </cell>
          <cell r="D3489">
            <v>0</v>
          </cell>
        </row>
        <row r="3490">
          <cell r="A3490" t="str">
            <v>212712</v>
          </cell>
          <cell r="B3490" t="str">
            <v xml:space="preserve">Haste de prolongamento FD L= 1,50 m 1.1/8" </v>
          </cell>
          <cell r="C3490" t="str">
            <v>ud</v>
          </cell>
          <cell r="D3490">
            <v>0</v>
          </cell>
        </row>
        <row r="3491">
          <cell r="A3491" t="str">
            <v>212713</v>
          </cell>
          <cell r="B3491" t="str">
            <v xml:space="preserve">Haste de prolongamento FD L= 1,50 m 1.3/4" </v>
          </cell>
          <cell r="C3491" t="str">
            <v>ud</v>
          </cell>
          <cell r="D3491">
            <v>0</v>
          </cell>
        </row>
        <row r="3492">
          <cell r="A3492" t="str">
            <v>212714</v>
          </cell>
          <cell r="B3492" t="str">
            <v xml:space="preserve">Haste de prolongamento FD L= 1,60 m 1" </v>
          </cell>
          <cell r="C3492" t="str">
            <v>ud</v>
          </cell>
          <cell r="D3492">
            <v>0</v>
          </cell>
        </row>
        <row r="3493">
          <cell r="A3493" t="str">
            <v>212715</v>
          </cell>
          <cell r="B3493" t="str">
            <v xml:space="preserve">Haste de prolongamento FD L= 1,60 m 1.3/4" </v>
          </cell>
          <cell r="C3493" t="str">
            <v>ud</v>
          </cell>
          <cell r="D3493">
            <v>0</v>
          </cell>
        </row>
        <row r="3494">
          <cell r="A3494" t="str">
            <v>212716</v>
          </cell>
          <cell r="B3494" t="str">
            <v xml:space="preserve">Haste de prolongamento FD L= 1,70 m 1.1/8" </v>
          </cell>
          <cell r="C3494" t="str">
            <v>ud</v>
          </cell>
          <cell r="D3494">
            <v>0</v>
          </cell>
        </row>
        <row r="3495">
          <cell r="A3495" t="str">
            <v>212717</v>
          </cell>
          <cell r="B3495" t="str">
            <v xml:space="preserve">Haste de prolongamento FD L= 1,80 m 1.1/8" </v>
          </cell>
          <cell r="C3495" t="str">
            <v>ud</v>
          </cell>
          <cell r="D3495">
            <v>0</v>
          </cell>
        </row>
        <row r="3496">
          <cell r="A3496" t="str">
            <v>212718</v>
          </cell>
          <cell r="B3496" t="str">
            <v xml:space="preserve">Haste de prolongamento FD L= 1,90 m 1" </v>
          </cell>
          <cell r="C3496" t="str">
            <v>ud</v>
          </cell>
          <cell r="D3496">
            <v>0</v>
          </cell>
        </row>
        <row r="3497">
          <cell r="A3497" t="str">
            <v>212719</v>
          </cell>
          <cell r="B3497" t="str">
            <v xml:space="preserve">Haste de prolongamento FD L= 1,90 m 1.1/8" </v>
          </cell>
          <cell r="C3497" t="str">
            <v>ud</v>
          </cell>
          <cell r="D3497">
            <v>0</v>
          </cell>
        </row>
        <row r="3498">
          <cell r="A3498" t="str">
            <v>212720</v>
          </cell>
          <cell r="B3498" t="str">
            <v xml:space="preserve">Haste de prolongamento FD L= 1,90 m 1.3/4" </v>
          </cell>
          <cell r="C3498" t="str">
            <v>ud</v>
          </cell>
          <cell r="D3498">
            <v>0</v>
          </cell>
        </row>
        <row r="3499">
          <cell r="A3499" t="str">
            <v>212721</v>
          </cell>
          <cell r="B3499" t="str">
            <v xml:space="preserve">Haste de prolongamento FD L= 1,95 m 1.1/8" </v>
          </cell>
          <cell r="C3499" t="str">
            <v>ud</v>
          </cell>
          <cell r="D3499">
            <v>0</v>
          </cell>
        </row>
        <row r="3500">
          <cell r="A3500" t="str">
            <v>212722</v>
          </cell>
          <cell r="B3500" t="str">
            <v xml:space="preserve">Haste de prolongamento FD L= 2,00 m 1.1/8" </v>
          </cell>
          <cell r="C3500" t="str">
            <v>ud</v>
          </cell>
          <cell r="D3500">
            <v>0</v>
          </cell>
        </row>
        <row r="3501">
          <cell r="A3501" t="str">
            <v>212723</v>
          </cell>
          <cell r="B3501" t="str">
            <v xml:space="preserve">Haste de prolongamento FD L= 2,00 m 1.3/4" </v>
          </cell>
          <cell r="C3501" t="str">
            <v>ud</v>
          </cell>
          <cell r="D3501">
            <v>0</v>
          </cell>
        </row>
        <row r="3502">
          <cell r="A3502" t="str">
            <v>212724</v>
          </cell>
          <cell r="B3502" t="str">
            <v xml:space="preserve">Haste de prolongamento FD L= 2,10 m 1.1/8" </v>
          </cell>
          <cell r="C3502" t="str">
            <v>ud</v>
          </cell>
          <cell r="D3502">
            <v>0</v>
          </cell>
        </row>
        <row r="3503">
          <cell r="A3503" t="str">
            <v>212725</v>
          </cell>
          <cell r="B3503" t="str">
            <v xml:space="preserve">Haste de prolongamento FD L= 2,10 m 1.3/4" </v>
          </cell>
          <cell r="C3503" t="str">
            <v>ud</v>
          </cell>
          <cell r="D3503">
            <v>0</v>
          </cell>
        </row>
        <row r="3504">
          <cell r="A3504" t="str">
            <v>212726</v>
          </cell>
          <cell r="B3504" t="str">
            <v xml:space="preserve">Haste de prolongamento FD L= 2,30 m 1.3/4" </v>
          </cell>
          <cell r="C3504" t="str">
            <v>ud</v>
          </cell>
          <cell r="D3504">
            <v>0</v>
          </cell>
        </row>
        <row r="3505">
          <cell r="A3505" t="str">
            <v>212727</v>
          </cell>
          <cell r="B3505" t="str">
            <v xml:space="preserve">Haste de prolongamento FD L= 2,35 m 1.1/8" </v>
          </cell>
          <cell r="C3505" t="str">
            <v>ud</v>
          </cell>
          <cell r="D3505">
            <v>0</v>
          </cell>
        </row>
        <row r="3506">
          <cell r="A3506" t="str">
            <v>212728</v>
          </cell>
          <cell r="B3506" t="str">
            <v xml:space="preserve">Haste de prolongamento FD L= 2,40 m 1.1/8" </v>
          </cell>
          <cell r="C3506" t="str">
            <v>ud</v>
          </cell>
          <cell r="D3506">
            <v>0</v>
          </cell>
        </row>
        <row r="3507">
          <cell r="A3507" t="str">
            <v>212729</v>
          </cell>
          <cell r="B3507" t="str">
            <v xml:space="preserve">Haste de prolongamento FD L= 2,50 m 1.1/8" </v>
          </cell>
          <cell r="C3507" t="str">
            <v>ud</v>
          </cell>
          <cell r="D3507">
            <v>0</v>
          </cell>
        </row>
        <row r="3508">
          <cell r="A3508" t="str">
            <v>212730</v>
          </cell>
          <cell r="B3508" t="str">
            <v xml:space="preserve">Haste de prolongamento FD L= 2,50 m 1.1/8" </v>
          </cell>
          <cell r="C3508" t="str">
            <v>ud</v>
          </cell>
          <cell r="D3508">
            <v>0</v>
          </cell>
        </row>
        <row r="3509">
          <cell r="A3509" t="str">
            <v>212731</v>
          </cell>
          <cell r="B3509" t="str">
            <v xml:space="preserve">Haste de prolongamento FD L= 2,50 m 1.3/4" </v>
          </cell>
          <cell r="C3509" t="str">
            <v>ud</v>
          </cell>
          <cell r="D3509">
            <v>0</v>
          </cell>
        </row>
        <row r="3510">
          <cell r="A3510" t="str">
            <v>212732</v>
          </cell>
          <cell r="B3510" t="str">
            <v xml:space="preserve">Haste de prolongamento FD L= 2,70 m 1.1/8" </v>
          </cell>
          <cell r="C3510" t="str">
            <v>ud</v>
          </cell>
          <cell r="D3510">
            <v>0</v>
          </cell>
        </row>
        <row r="3511">
          <cell r="A3511" t="str">
            <v>212733</v>
          </cell>
          <cell r="B3511" t="str">
            <v xml:space="preserve">Haste de prolongamento FD L= 2,70 m 1.3/4" </v>
          </cell>
          <cell r="C3511" t="str">
            <v>ud</v>
          </cell>
          <cell r="D3511">
            <v>0</v>
          </cell>
        </row>
        <row r="3512">
          <cell r="A3512" t="str">
            <v>212734</v>
          </cell>
          <cell r="B3512" t="str">
            <v xml:space="preserve">Haste de prolongamento FD L= 2,80 m 1.1/8" </v>
          </cell>
          <cell r="C3512" t="str">
            <v>ud</v>
          </cell>
          <cell r="D3512">
            <v>0</v>
          </cell>
        </row>
        <row r="3513">
          <cell r="A3513" t="str">
            <v>212735</v>
          </cell>
          <cell r="B3513" t="str">
            <v xml:space="preserve">Haste de prolongamento FD L= 2,80 m 1.3/4" </v>
          </cell>
          <cell r="C3513" t="str">
            <v>ud</v>
          </cell>
          <cell r="D3513">
            <v>0</v>
          </cell>
        </row>
        <row r="3514">
          <cell r="A3514" t="str">
            <v>212736</v>
          </cell>
          <cell r="B3514" t="str">
            <v xml:space="preserve">Haste de prolongamento FD L= 2,90 m 1.1/4" </v>
          </cell>
          <cell r="C3514" t="str">
            <v>ud</v>
          </cell>
          <cell r="D3514">
            <v>0</v>
          </cell>
        </row>
        <row r="3515">
          <cell r="A3515" t="str">
            <v>212737</v>
          </cell>
          <cell r="B3515" t="str">
            <v xml:space="preserve">Haste de prolongamento FD L= 2,90 m 1.1/8" </v>
          </cell>
          <cell r="C3515" t="str">
            <v>ud</v>
          </cell>
          <cell r="D3515">
            <v>0</v>
          </cell>
        </row>
        <row r="3516">
          <cell r="A3516" t="str">
            <v>212738</v>
          </cell>
          <cell r="B3516" t="str">
            <v xml:space="preserve">Haste de prolongamento FD L= 2,90 m 1.3/4" </v>
          </cell>
          <cell r="C3516" t="str">
            <v>ud</v>
          </cell>
          <cell r="D3516">
            <v>0</v>
          </cell>
        </row>
        <row r="3517">
          <cell r="A3517" t="str">
            <v>212739</v>
          </cell>
          <cell r="B3517" t="str">
            <v xml:space="preserve">Haste de prolongamento FD L= 2,95 m 1.1/8" </v>
          </cell>
          <cell r="C3517" t="str">
            <v>ud</v>
          </cell>
          <cell r="D3517">
            <v>0</v>
          </cell>
        </row>
        <row r="3518">
          <cell r="A3518" t="str">
            <v>212740</v>
          </cell>
          <cell r="B3518" t="str">
            <v xml:space="preserve">Haste de prolongamento FD L= 3,00 m 1.1/8" </v>
          </cell>
          <cell r="C3518" t="str">
            <v>ud</v>
          </cell>
          <cell r="D3518">
            <v>0</v>
          </cell>
        </row>
        <row r="3519">
          <cell r="A3519" t="str">
            <v>212741</v>
          </cell>
          <cell r="B3519" t="str">
            <v xml:space="preserve">Haste de prolongamento FD L= 3,10 m 1" </v>
          </cell>
          <cell r="C3519" t="str">
            <v>ud</v>
          </cell>
          <cell r="D3519">
            <v>0</v>
          </cell>
        </row>
        <row r="3520">
          <cell r="A3520" t="str">
            <v>212742</v>
          </cell>
          <cell r="B3520" t="str">
            <v xml:space="preserve">Haste de prolongamento FD L= 3,25 m 1.1/8" </v>
          </cell>
          <cell r="C3520" t="str">
            <v>ud</v>
          </cell>
          <cell r="D3520">
            <v>0</v>
          </cell>
        </row>
        <row r="3521">
          <cell r="A3521" t="str">
            <v>212743</v>
          </cell>
          <cell r="B3521" t="str">
            <v xml:space="preserve">Haste de prolongamento FD L= 3,30 m 1.3/4" </v>
          </cell>
          <cell r="C3521" t="str">
            <v>ud</v>
          </cell>
          <cell r="D3521">
            <v>0</v>
          </cell>
        </row>
        <row r="3522">
          <cell r="A3522" t="str">
            <v>212744</v>
          </cell>
          <cell r="B3522" t="str">
            <v xml:space="preserve">Haste de prolongamento FD L= 3,40 m 1.1/8" </v>
          </cell>
          <cell r="C3522" t="str">
            <v>ud</v>
          </cell>
          <cell r="D3522">
            <v>0</v>
          </cell>
        </row>
        <row r="3523">
          <cell r="A3523" t="str">
            <v>212745</v>
          </cell>
          <cell r="B3523" t="str">
            <v xml:space="preserve">Haste de prolongamento FD L= 3,40 m 1.3/4" </v>
          </cell>
          <cell r="C3523" t="str">
            <v>ud</v>
          </cell>
          <cell r="D3523">
            <v>0</v>
          </cell>
        </row>
        <row r="3524">
          <cell r="A3524" t="str">
            <v>212746</v>
          </cell>
          <cell r="B3524" t="str">
            <v xml:space="preserve">Haste de prolongamento FD L= 3,45 m 1.1/8" </v>
          </cell>
          <cell r="C3524" t="str">
            <v>ud</v>
          </cell>
          <cell r="D3524">
            <v>0</v>
          </cell>
        </row>
        <row r="3525">
          <cell r="A3525" t="str">
            <v>212747</v>
          </cell>
          <cell r="B3525" t="str">
            <v xml:space="preserve">Haste de prolongamento FD L= 3,50 m 1.1/8" </v>
          </cell>
          <cell r="C3525" t="str">
            <v>ud</v>
          </cell>
          <cell r="D3525">
            <v>0</v>
          </cell>
        </row>
        <row r="3526">
          <cell r="A3526" t="str">
            <v>212748</v>
          </cell>
          <cell r="B3526" t="str">
            <v xml:space="preserve">Haste de prolongamento FD L= 3,50 m 1.3/4" </v>
          </cell>
          <cell r="C3526" t="str">
            <v>ud</v>
          </cell>
          <cell r="D3526">
            <v>0</v>
          </cell>
        </row>
        <row r="3527">
          <cell r="A3527" t="str">
            <v>212749</v>
          </cell>
          <cell r="B3527" t="str">
            <v xml:space="preserve">Haste de prolongamento FD L= 3,70 m 1.1/4" </v>
          </cell>
          <cell r="C3527" t="str">
            <v>ud</v>
          </cell>
          <cell r="D3527">
            <v>0</v>
          </cell>
        </row>
        <row r="3528">
          <cell r="A3528" t="str">
            <v>212750</v>
          </cell>
          <cell r="B3528" t="str">
            <v xml:space="preserve">Haste de prolongamento FD L= 3,80 m 1" </v>
          </cell>
          <cell r="C3528" t="str">
            <v>ud</v>
          </cell>
          <cell r="D3528">
            <v>0</v>
          </cell>
        </row>
        <row r="3529">
          <cell r="A3529" t="str">
            <v>212751</v>
          </cell>
          <cell r="B3529" t="str">
            <v xml:space="preserve">Haste de prolongamento FD L= 3,80 m 1.1/8" </v>
          </cell>
          <cell r="C3529" t="str">
            <v>ud</v>
          </cell>
          <cell r="D3529">
            <v>0</v>
          </cell>
        </row>
        <row r="3530">
          <cell r="A3530" t="str">
            <v>212752</v>
          </cell>
          <cell r="B3530" t="str">
            <v xml:space="preserve">Haste de prolongamento FD L= 3,80 m 1.3/4" </v>
          </cell>
          <cell r="C3530" t="str">
            <v>ud</v>
          </cell>
          <cell r="D3530">
            <v>0</v>
          </cell>
        </row>
        <row r="3531">
          <cell r="A3531" t="str">
            <v>212753</v>
          </cell>
          <cell r="B3531" t="str">
            <v xml:space="preserve">Haste de prolongamento FD L= 3,90 m 1.1/8" </v>
          </cell>
          <cell r="C3531" t="str">
            <v>ud</v>
          </cell>
          <cell r="D3531">
            <v>0</v>
          </cell>
        </row>
        <row r="3532">
          <cell r="A3532" t="str">
            <v>212754</v>
          </cell>
          <cell r="B3532" t="str">
            <v xml:space="preserve">Haste de prolongamento FD L= 3,95 m 1.1/8" </v>
          </cell>
          <cell r="C3532" t="str">
            <v>ud</v>
          </cell>
          <cell r="D3532">
            <v>0</v>
          </cell>
        </row>
        <row r="3533">
          <cell r="A3533" t="str">
            <v>212755</v>
          </cell>
          <cell r="B3533" t="str">
            <v xml:space="preserve">Haste de prolongamento FD L= 4,00 m 1.1/2" </v>
          </cell>
          <cell r="C3533" t="str">
            <v>ud</v>
          </cell>
          <cell r="D3533">
            <v>0</v>
          </cell>
        </row>
        <row r="3534">
          <cell r="A3534" t="str">
            <v>212756</v>
          </cell>
          <cell r="B3534" t="str">
            <v xml:space="preserve">Haste de prolongamento FD L= 4,00 m 1.1/8" </v>
          </cell>
          <cell r="C3534" t="str">
            <v>ud</v>
          </cell>
          <cell r="D3534">
            <v>0</v>
          </cell>
        </row>
        <row r="3535">
          <cell r="A3535" t="str">
            <v>212757</v>
          </cell>
          <cell r="B3535" t="str">
            <v xml:space="preserve">Haste de prolongamento FD L= 4,00 m 1.3/4" </v>
          </cell>
          <cell r="C3535" t="str">
            <v>ud</v>
          </cell>
          <cell r="D3535">
            <v>0</v>
          </cell>
        </row>
        <row r="3536">
          <cell r="A3536" t="str">
            <v>212758</v>
          </cell>
          <cell r="B3536" t="str">
            <v xml:space="preserve">Haste de prolongamento FD L= 4,10 m 2.1/2" </v>
          </cell>
          <cell r="C3536" t="str">
            <v>ud</v>
          </cell>
          <cell r="D3536">
            <v>0</v>
          </cell>
        </row>
        <row r="3537">
          <cell r="A3537" t="str">
            <v>212759</v>
          </cell>
          <cell r="B3537" t="str">
            <v xml:space="preserve">Haste de prolongamento FD L= 4,30 m 1.1/8" </v>
          </cell>
          <cell r="C3537" t="str">
            <v>ud</v>
          </cell>
          <cell r="D3537">
            <v>0</v>
          </cell>
        </row>
        <row r="3538">
          <cell r="A3538" t="str">
            <v>212760</v>
          </cell>
          <cell r="B3538" t="str">
            <v xml:space="preserve">Haste de prolongamento FD L= 4,45 m 1.1/8" </v>
          </cell>
          <cell r="C3538" t="str">
            <v>ud</v>
          </cell>
          <cell r="D3538">
            <v>0</v>
          </cell>
        </row>
        <row r="3539">
          <cell r="A3539" t="str">
            <v>212761</v>
          </cell>
          <cell r="B3539" t="str">
            <v xml:space="preserve">Haste de prolongamento FD L= 4,55 m 1.1/8" </v>
          </cell>
          <cell r="C3539" t="str">
            <v>ud</v>
          </cell>
          <cell r="D3539">
            <v>0</v>
          </cell>
        </row>
        <row r="3540">
          <cell r="A3540" t="str">
            <v>212762</v>
          </cell>
          <cell r="B3540" t="str">
            <v xml:space="preserve">Haste de prolongamento FD L= 4,65 m 1.1/8" </v>
          </cell>
          <cell r="C3540" t="str">
            <v>ud</v>
          </cell>
          <cell r="D3540">
            <v>0</v>
          </cell>
        </row>
        <row r="3541">
          <cell r="A3541" t="str">
            <v>212763</v>
          </cell>
          <cell r="B3541" t="str">
            <v xml:space="preserve">Haste de prolongamento FD L= 4,85 m 1.1/8" </v>
          </cell>
          <cell r="C3541" t="str">
            <v>ud</v>
          </cell>
          <cell r="D3541">
            <v>0</v>
          </cell>
        </row>
        <row r="3542">
          <cell r="A3542" t="str">
            <v>212764</v>
          </cell>
          <cell r="B3542" t="str">
            <v xml:space="preserve">Haste de prolongamento FD L= 5,00 m 1.1/8" </v>
          </cell>
          <cell r="C3542" t="str">
            <v>ud</v>
          </cell>
          <cell r="D3542">
            <v>0</v>
          </cell>
        </row>
        <row r="3543">
          <cell r="A3543" t="str">
            <v>212765</v>
          </cell>
          <cell r="B3543" t="str">
            <v xml:space="preserve">Haste de prolongamento FD L= 5,00 m 1.3/4" </v>
          </cell>
          <cell r="C3543" t="str">
            <v>ud</v>
          </cell>
          <cell r="D3543">
            <v>0</v>
          </cell>
        </row>
        <row r="3544">
          <cell r="A3544" t="str">
            <v>212766</v>
          </cell>
          <cell r="B3544" t="str">
            <v xml:space="preserve">Haste de prolongamento FD L= 5,10 m 1.1/8" </v>
          </cell>
          <cell r="C3544" t="str">
            <v>ud</v>
          </cell>
          <cell r="D3544">
            <v>0</v>
          </cell>
        </row>
        <row r="3545">
          <cell r="A3545" t="str">
            <v>212767</v>
          </cell>
          <cell r="B3545" t="str">
            <v xml:space="preserve">Haste de prolongamento FD L= 5,20 m 1.1/8" </v>
          </cell>
          <cell r="C3545" t="str">
            <v>ud</v>
          </cell>
          <cell r="D3545">
            <v>0</v>
          </cell>
        </row>
        <row r="3546">
          <cell r="A3546" t="str">
            <v>212768</v>
          </cell>
          <cell r="B3546" t="str">
            <v xml:space="preserve">Haste de prolongamento FD L= 5,75 m 1.1/8" </v>
          </cell>
          <cell r="C3546" t="str">
            <v>ud</v>
          </cell>
          <cell r="D3546">
            <v>0</v>
          </cell>
        </row>
        <row r="3547">
          <cell r="A3547" t="str">
            <v>212769</v>
          </cell>
          <cell r="B3547" t="str">
            <v xml:space="preserve">Haste de prolongamento FD L= 6,80 m 1.1/8" </v>
          </cell>
          <cell r="C3547" t="str">
            <v>ud</v>
          </cell>
          <cell r="D3547">
            <v>0</v>
          </cell>
        </row>
        <row r="3548">
          <cell r="A3548" t="str">
            <v>2128</v>
          </cell>
          <cell r="B3548" t="str">
            <v>HIDRANTE</v>
          </cell>
        </row>
        <row r="3549">
          <cell r="A3549" t="str">
            <v>212803</v>
          </cell>
          <cell r="B3549" t="str">
            <v>Hidrante de coluna DN75 com curva completo (59579)</v>
          </cell>
          <cell r="C3549" t="str">
            <v>ud</v>
          </cell>
          <cell r="D3549">
            <v>0</v>
          </cell>
        </row>
        <row r="3550">
          <cell r="A3550" t="str">
            <v>212804</v>
          </cell>
          <cell r="B3550" t="str">
            <v>Hidrante de coluna completo DN100 com curva dissimetrica com flanges ISO2531 PN-10 + registro de gaveta com cunha emborrachada + extremidade FB+JE/JE2GS + tampa para registro</v>
          </cell>
          <cell r="C3550" t="str">
            <v>ud</v>
          </cell>
          <cell r="D3550">
            <v>0</v>
          </cell>
        </row>
        <row r="3551">
          <cell r="A3551" t="str">
            <v>212805</v>
          </cell>
          <cell r="B3551" t="str">
            <v>Hidrante de coluna simples DN100 com flanges ISO2531 PN-10 (59587)</v>
          </cell>
          <cell r="C3551" t="str">
            <v>ud</v>
          </cell>
          <cell r="D3551">
            <v>0</v>
          </cell>
        </row>
        <row r="3552">
          <cell r="A3552" t="str">
            <v>212806</v>
          </cell>
          <cell r="B3552" t="str">
            <v xml:space="preserve">Hidrante subterrâneo FD c/ curva curta DN 75 60 </v>
          </cell>
          <cell r="C3552" t="str">
            <v>ud</v>
          </cell>
          <cell r="D3552">
            <v>0</v>
          </cell>
        </row>
        <row r="3553">
          <cell r="A3553" t="str">
            <v>212807</v>
          </cell>
          <cell r="B3553" t="str">
            <v xml:space="preserve">Hidrante subterrâneo FD c/ curva curta e caixa DN 75 60 </v>
          </cell>
          <cell r="C3553" t="str">
            <v>ud</v>
          </cell>
          <cell r="D3553">
            <v>0</v>
          </cell>
        </row>
        <row r="3554">
          <cell r="A3554" t="str">
            <v>212808</v>
          </cell>
          <cell r="B3554" t="str">
            <v>Hidrante subterrâneo FD c/ curva longa DN 75 60 (38512)</v>
          </cell>
          <cell r="C3554" t="str">
            <v>ud</v>
          </cell>
          <cell r="D3554">
            <v>0</v>
          </cell>
        </row>
        <row r="3555">
          <cell r="A3555" t="str">
            <v>212809</v>
          </cell>
          <cell r="B3555" t="str">
            <v>Hidrante subterrâneo FD c/ curva longa e caixa DN 75 60 (38504)</v>
          </cell>
          <cell r="C3555" t="str">
            <v>ud</v>
          </cell>
          <cell r="D3555">
            <v>0</v>
          </cell>
        </row>
        <row r="3556">
          <cell r="A3556" t="str">
            <v>212801</v>
          </cell>
          <cell r="B3556" t="str">
            <v>Hidrante de coluna DN75 com curva</v>
          </cell>
          <cell r="C3556" t="str">
            <v>ud</v>
          </cell>
          <cell r="D3556">
            <v>0</v>
          </cell>
        </row>
        <row r="3557">
          <cell r="A3557" t="str">
            <v>212802</v>
          </cell>
          <cell r="B3557" t="str">
            <v>Hidrante de coluna DN100 com curva dissimetrica com flanges ISO2531 PN-10</v>
          </cell>
          <cell r="C3557" t="str">
            <v>ud</v>
          </cell>
          <cell r="D3557">
            <v>0</v>
          </cell>
        </row>
        <row r="3558">
          <cell r="A3558" t="str">
            <v>2129</v>
          </cell>
          <cell r="B3558" t="str">
            <v>JUNÇÃO FD</v>
          </cell>
        </row>
        <row r="3559">
          <cell r="A3559" t="str">
            <v>212901</v>
          </cell>
          <cell r="B3559" t="str">
            <v>Junção FD 45° FFF PN-10 DN50 conforme NBR7675</v>
          </cell>
          <cell r="C3559" t="str">
            <v>ud</v>
          </cell>
          <cell r="D3559">
            <v>0</v>
          </cell>
        </row>
        <row r="3560">
          <cell r="A3560" t="str">
            <v>212902</v>
          </cell>
          <cell r="B3560" t="str">
            <v>Junção FD 45° FFF PN-10 DN75/80 conforme NBR7675 (6319)</v>
          </cell>
          <cell r="C3560" t="str">
            <v>ud</v>
          </cell>
          <cell r="D3560">
            <v>0</v>
          </cell>
          <cell r="E3560">
            <v>297.52999999999997</v>
          </cell>
          <cell r="F3560">
            <v>297.52999999999997</v>
          </cell>
        </row>
        <row r="3561">
          <cell r="A3561" t="str">
            <v>212903</v>
          </cell>
          <cell r="B3561" t="str">
            <v>Junção FD 45° FFF PN-10 DN100 conforme NBR7675</v>
          </cell>
          <cell r="C3561" t="str">
            <v>ud</v>
          </cell>
          <cell r="D3561">
            <v>0</v>
          </cell>
          <cell r="E3561">
            <v>448.61</v>
          </cell>
          <cell r="F3561">
            <v>448.61</v>
          </cell>
        </row>
        <row r="3562">
          <cell r="A3562" t="str">
            <v>212904</v>
          </cell>
          <cell r="B3562" t="str">
            <v>Junção FD 45° FFF PN-10 DN150 conforme NBR7675 (292322)</v>
          </cell>
          <cell r="C3562" t="str">
            <v>ud</v>
          </cell>
          <cell r="D3562">
            <v>0</v>
          </cell>
          <cell r="E3562">
            <v>652.53</v>
          </cell>
          <cell r="F3562">
            <v>652.53</v>
          </cell>
        </row>
        <row r="3563">
          <cell r="A3563" t="str">
            <v>212905</v>
          </cell>
          <cell r="B3563" t="str">
            <v>Junção FD 45° FFF PN-10 DN200 conforme NBR7675 (6734)</v>
          </cell>
          <cell r="C3563" t="str">
            <v>ud</v>
          </cell>
          <cell r="D3563">
            <v>0</v>
          </cell>
          <cell r="E3563">
            <v>781.88</v>
          </cell>
          <cell r="F3563">
            <v>781.88</v>
          </cell>
        </row>
        <row r="3564">
          <cell r="A3564" t="str">
            <v>212906</v>
          </cell>
          <cell r="B3564" t="str">
            <v>Junção FD 45° FFF PN-10 DN250 conforme NBR7675 (6823)</v>
          </cell>
          <cell r="C3564" t="str">
            <v>ud</v>
          </cell>
          <cell r="D3564">
            <v>0</v>
          </cell>
          <cell r="E3564">
            <v>1644.04</v>
          </cell>
          <cell r="F3564">
            <v>1644.04</v>
          </cell>
        </row>
        <row r="3565">
          <cell r="A3565" t="str">
            <v>212907</v>
          </cell>
          <cell r="B3565" t="str">
            <v>Junção FD 45° FFF PN-10 DN300 conforme NBR7675 (6874)</v>
          </cell>
          <cell r="C3565" t="str">
            <v>ud</v>
          </cell>
          <cell r="D3565">
            <v>0</v>
          </cell>
          <cell r="E3565">
            <v>2077.08</v>
          </cell>
          <cell r="F3565">
            <v>2077.08</v>
          </cell>
        </row>
        <row r="3566">
          <cell r="A3566" t="str">
            <v>212908</v>
          </cell>
          <cell r="B3566" t="str">
            <v>Junção FD 45° FFF PN-10 DN350 conforme NBR7675</v>
          </cell>
          <cell r="C3566" t="str">
            <v>ud</v>
          </cell>
          <cell r="D3566">
            <v>0</v>
          </cell>
          <cell r="E3566">
            <v>2230.16</v>
          </cell>
          <cell r="F3566">
            <v>2230.16</v>
          </cell>
        </row>
        <row r="3567">
          <cell r="A3567" t="str">
            <v>212909</v>
          </cell>
          <cell r="B3567" t="str">
            <v>Junção FD 45° FFF PN-10 DN400 conforme NBR7675 (6971)</v>
          </cell>
          <cell r="C3567" t="str">
            <v>ud</v>
          </cell>
          <cell r="D3567">
            <v>0</v>
          </cell>
          <cell r="E3567">
            <v>2615.46</v>
          </cell>
          <cell r="F3567">
            <v>2615.46</v>
          </cell>
        </row>
        <row r="3568">
          <cell r="A3568" t="str">
            <v>212910</v>
          </cell>
          <cell r="B3568" t="str">
            <v>Junção FD 45° FFF PN-16 DN50 conforme NBR7675</v>
          </cell>
          <cell r="C3568" t="str">
            <v>ud</v>
          </cell>
          <cell r="D3568">
            <v>0</v>
          </cell>
        </row>
        <row r="3569">
          <cell r="A3569" t="str">
            <v>212911</v>
          </cell>
          <cell r="B3569" t="str">
            <v>Junção FD 45° FFF PN-16 DN75 conforme NBR7675 (6327)</v>
          </cell>
          <cell r="C3569" t="str">
            <v>ud</v>
          </cell>
          <cell r="D3569">
            <v>0</v>
          </cell>
          <cell r="E3569">
            <v>297.52999999999997</v>
          </cell>
          <cell r="F3569">
            <v>297.52999999999997</v>
          </cell>
        </row>
        <row r="3570">
          <cell r="A3570" t="str">
            <v>212912</v>
          </cell>
          <cell r="B3570" t="str">
            <v>Junção FD 45° FFF PN-16 DN100 conforme NBR7675 (6424)</v>
          </cell>
          <cell r="C3570" t="str">
            <v>ud</v>
          </cell>
          <cell r="D3570">
            <v>0</v>
          </cell>
          <cell r="E3570">
            <v>448.61</v>
          </cell>
          <cell r="F3570">
            <v>448.61</v>
          </cell>
        </row>
        <row r="3571">
          <cell r="A3571" t="str">
            <v>212913</v>
          </cell>
          <cell r="B3571" t="str">
            <v>Junção FD 45° FFF PN-16 DN150 conforme NBR7675 (6602)</v>
          </cell>
          <cell r="C3571" t="str">
            <v>ud</v>
          </cell>
          <cell r="D3571">
            <v>0</v>
          </cell>
          <cell r="E3571">
            <v>652.53</v>
          </cell>
          <cell r="F3571">
            <v>652.53</v>
          </cell>
        </row>
        <row r="3572">
          <cell r="A3572" t="str">
            <v>212914</v>
          </cell>
          <cell r="B3572" t="str">
            <v>Junção FD 45° FFF PN-16 DN200 conforme NBR7675</v>
          </cell>
          <cell r="C3572" t="str">
            <v>ud</v>
          </cell>
          <cell r="D3572">
            <v>0</v>
          </cell>
          <cell r="E3572">
            <v>781.88</v>
          </cell>
          <cell r="F3572">
            <v>781.88</v>
          </cell>
        </row>
        <row r="3573">
          <cell r="A3573" t="str">
            <v>212915</v>
          </cell>
          <cell r="B3573" t="str">
            <v>Junção FD 45° FFF PN-16 DN250 conforme NBR7675 (156019)</v>
          </cell>
          <cell r="C3573" t="str">
            <v>ud</v>
          </cell>
          <cell r="D3573">
            <v>0</v>
          </cell>
          <cell r="E3573">
            <v>1644.04</v>
          </cell>
          <cell r="F3573">
            <v>1644.04</v>
          </cell>
        </row>
        <row r="3574">
          <cell r="A3574" t="str">
            <v>212916</v>
          </cell>
          <cell r="B3574" t="str">
            <v>Junção FD 45° FFF PN-16 DN300 conforme NBR7675</v>
          </cell>
          <cell r="C3574" t="str">
            <v>ud</v>
          </cell>
          <cell r="D3574">
            <v>0</v>
          </cell>
          <cell r="E3574">
            <v>2077.08</v>
          </cell>
          <cell r="F3574">
            <v>2077.08</v>
          </cell>
        </row>
        <row r="3575">
          <cell r="A3575" t="str">
            <v>212917</v>
          </cell>
          <cell r="B3575" t="str">
            <v>Junção FD 45° FFF PN-16 DN350 conforme NBR7675</v>
          </cell>
          <cell r="C3575" t="str">
            <v>ud</v>
          </cell>
          <cell r="D3575">
            <v>0</v>
          </cell>
          <cell r="E3575">
            <v>2230.16</v>
          </cell>
          <cell r="F3575">
            <v>2230.16</v>
          </cell>
        </row>
        <row r="3576">
          <cell r="A3576" t="str">
            <v>212918</v>
          </cell>
          <cell r="B3576" t="str">
            <v>Junção FD 45° FFF PN-16 DN400 conforme NBR7675</v>
          </cell>
          <cell r="C3576" t="str">
            <v>ud</v>
          </cell>
          <cell r="D3576">
            <v>0</v>
          </cell>
          <cell r="E3576">
            <v>2615.46</v>
          </cell>
          <cell r="F3576">
            <v>2615.46</v>
          </cell>
        </row>
        <row r="3577">
          <cell r="A3577" t="str">
            <v>212919</v>
          </cell>
          <cell r="B3577" t="str">
            <v>Junção FD 45° FFF PN-25 DN50 conforme NBR7675 (60232)</v>
          </cell>
          <cell r="C3577" t="str">
            <v>ud</v>
          </cell>
          <cell r="D3577">
            <v>0</v>
          </cell>
        </row>
        <row r="3578">
          <cell r="A3578" t="str">
            <v>212920</v>
          </cell>
          <cell r="B3578" t="str">
            <v>Junção FD 45° FFF PN-25 DN75/80 conforme NBR7675</v>
          </cell>
          <cell r="C3578" t="str">
            <v>ud</v>
          </cell>
          <cell r="D3578">
            <v>0</v>
          </cell>
          <cell r="E3578">
            <v>297.52999999999997</v>
          </cell>
          <cell r="F3578">
            <v>297.52999999999997</v>
          </cell>
        </row>
        <row r="3579">
          <cell r="A3579" t="str">
            <v>212921</v>
          </cell>
          <cell r="B3579" t="str">
            <v>Junção FD 45° FFF PN-25 DN100 conforme NBR7675</v>
          </cell>
          <cell r="C3579" t="str">
            <v>ud</v>
          </cell>
          <cell r="D3579">
            <v>0</v>
          </cell>
          <cell r="E3579">
            <v>448.61</v>
          </cell>
          <cell r="F3579">
            <v>448.61</v>
          </cell>
        </row>
        <row r="3580">
          <cell r="A3580" t="str">
            <v>212922</v>
          </cell>
          <cell r="B3580" t="str">
            <v>Junção FD 45° FFF PN-25 DN150 conforme NBR7675 (75850)</v>
          </cell>
          <cell r="C3580" t="str">
            <v>ud</v>
          </cell>
          <cell r="D3580">
            <v>0</v>
          </cell>
          <cell r="E3580">
            <v>652.53</v>
          </cell>
          <cell r="F3580">
            <v>652.53</v>
          </cell>
        </row>
        <row r="3581">
          <cell r="A3581" t="str">
            <v>212923</v>
          </cell>
          <cell r="B3581" t="str">
            <v>Junção FD 45° FFF PN-25 DN200 conforme NBR7675</v>
          </cell>
          <cell r="C3581" t="str">
            <v>ud</v>
          </cell>
          <cell r="D3581">
            <v>0</v>
          </cell>
          <cell r="E3581">
            <v>781.88</v>
          </cell>
          <cell r="F3581">
            <v>781.88</v>
          </cell>
        </row>
        <row r="3582">
          <cell r="A3582" t="str">
            <v>212924</v>
          </cell>
          <cell r="B3582" t="str">
            <v>Junção FD 45° FFF PN-25 DN250 conforme NBR7675</v>
          </cell>
          <cell r="C3582" t="str">
            <v>ud</v>
          </cell>
          <cell r="D3582">
            <v>0</v>
          </cell>
          <cell r="E3582">
            <v>1644.04</v>
          </cell>
          <cell r="F3582">
            <v>1644.04</v>
          </cell>
        </row>
        <row r="3583">
          <cell r="A3583" t="str">
            <v>212925</v>
          </cell>
          <cell r="B3583" t="str">
            <v>Junção FD 45° FFF PN-25 DN300 conforme NBR7675</v>
          </cell>
          <cell r="C3583" t="str">
            <v>ud</v>
          </cell>
          <cell r="D3583">
            <v>0</v>
          </cell>
          <cell r="E3583">
            <v>2077.08</v>
          </cell>
          <cell r="F3583">
            <v>2077.08</v>
          </cell>
        </row>
        <row r="3584">
          <cell r="A3584" t="str">
            <v>212926</v>
          </cell>
          <cell r="B3584" t="str">
            <v>Junção FD 45° FFF PN-25 DN350 conforme NBR7675</v>
          </cell>
          <cell r="C3584" t="str">
            <v>ud</v>
          </cell>
          <cell r="D3584">
            <v>0</v>
          </cell>
          <cell r="E3584">
            <v>2230.16</v>
          </cell>
          <cell r="F3584">
            <v>2230.16</v>
          </cell>
        </row>
        <row r="3585">
          <cell r="A3585" t="str">
            <v>212927</v>
          </cell>
          <cell r="B3585" t="str">
            <v>Junção FD 45° FFF PN-25 DN400 conforme NBR7675 (6483)</v>
          </cell>
          <cell r="C3585" t="str">
            <v>ud</v>
          </cell>
          <cell r="D3585">
            <v>0</v>
          </cell>
          <cell r="E3585">
            <v>2615.46</v>
          </cell>
          <cell r="F3585">
            <v>2615.46</v>
          </cell>
        </row>
        <row r="3586">
          <cell r="A3586" t="str">
            <v>212928</v>
          </cell>
          <cell r="B3586" t="str">
            <v>Junção FD 45° FFF PN-10 DN100x75/80 conforme NBR7675</v>
          </cell>
          <cell r="C3586" t="str">
            <v>ud</v>
          </cell>
          <cell r="D3586">
            <v>0</v>
          </cell>
        </row>
        <row r="3587">
          <cell r="A3587" t="str">
            <v>212929</v>
          </cell>
          <cell r="B3587" t="str">
            <v>Junção FD 45° FFF PN-10 DN150x100 conforme NBR7675</v>
          </cell>
          <cell r="C3587" t="str">
            <v>ud</v>
          </cell>
          <cell r="D3587">
            <v>0</v>
          </cell>
          <cell r="E3587">
            <v>543.77</v>
          </cell>
          <cell r="F3587">
            <v>543.77</v>
          </cell>
        </row>
        <row r="3588">
          <cell r="A3588" t="str">
            <v>212930</v>
          </cell>
          <cell r="B3588" t="str">
            <v>Junção FD 45° FFF PN-10 DN200x100 conforme NBR7675 (6670)</v>
          </cell>
          <cell r="C3588" t="str">
            <v>ud</v>
          </cell>
          <cell r="D3588">
            <v>0</v>
          </cell>
          <cell r="E3588">
            <v>655.19000000000005</v>
          </cell>
          <cell r="F3588">
            <v>655.19000000000005</v>
          </cell>
        </row>
        <row r="3589">
          <cell r="A3589" t="str">
            <v>212931</v>
          </cell>
          <cell r="B3589" t="str">
            <v>Junção FD 45° FFF PN-10 DN200x150 conforme NBR7675 (6700)</v>
          </cell>
          <cell r="C3589" t="str">
            <v>ud</v>
          </cell>
          <cell r="D3589">
            <v>0</v>
          </cell>
          <cell r="E3589">
            <v>684.98</v>
          </cell>
          <cell r="F3589">
            <v>684.98</v>
          </cell>
        </row>
        <row r="3590">
          <cell r="A3590" t="str">
            <v>212932</v>
          </cell>
          <cell r="B3590" t="str">
            <v>Junção FD 45° FFF PN-10 DN250x150 conforme NBR7675 (6807)</v>
          </cell>
          <cell r="C3590" t="str">
            <v>ud</v>
          </cell>
          <cell r="D3590">
            <v>0</v>
          </cell>
          <cell r="E3590">
            <v>1093.27</v>
          </cell>
          <cell r="F3590">
            <v>1093.27</v>
          </cell>
        </row>
        <row r="3591">
          <cell r="A3591" t="str">
            <v>212933</v>
          </cell>
          <cell r="B3591" t="str">
            <v>Junção FD 45° FFF PN-10 DN250x200 conforme NBR7675 (38962)</v>
          </cell>
          <cell r="C3591" t="str">
            <v>ud</v>
          </cell>
          <cell r="D3591">
            <v>0</v>
          </cell>
        </row>
        <row r="3592">
          <cell r="A3592" t="str">
            <v>212934</v>
          </cell>
          <cell r="B3592" t="str">
            <v>Junção FD 45° FFF PN-10 DN300x200 conforme NBR7675 (6840)</v>
          </cell>
          <cell r="C3592" t="str">
            <v>ud</v>
          </cell>
          <cell r="D3592">
            <v>0</v>
          </cell>
          <cell r="E3592">
            <v>1929.93</v>
          </cell>
          <cell r="F3592">
            <v>1929.93</v>
          </cell>
        </row>
        <row r="3593">
          <cell r="A3593" t="str">
            <v>212935</v>
          </cell>
          <cell r="B3593" t="str">
            <v>Junção FD 45° FFF PN-10 DN300x250 conforme NBR7675 (6866)</v>
          </cell>
          <cell r="C3593" t="str">
            <v>ud</v>
          </cell>
          <cell r="D3593">
            <v>0</v>
          </cell>
        </row>
        <row r="3594">
          <cell r="A3594" t="str">
            <v>212936</v>
          </cell>
          <cell r="B3594" t="str">
            <v>Junção FD 45° FFF PN-10 DN400x300 conforme NBR7675 (6980)</v>
          </cell>
          <cell r="C3594" t="str">
            <v>ud</v>
          </cell>
          <cell r="D3594">
            <v>0</v>
          </cell>
          <cell r="E3594">
            <v>2414.7800000000002</v>
          </cell>
          <cell r="F3594">
            <v>2414.7800000000002</v>
          </cell>
        </row>
        <row r="3595">
          <cell r="A3595" t="str">
            <v>212937</v>
          </cell>
          <cell r="B3595" t="str">
            <v>Junção FD 45° FFF PN-10 DN400x350 conforme NBR7675</v>
          </cell>
          <cell r="C3595" t="str">
            <v>ud</v>
          </cell>
          <cell r="D3595">
            <v>0</v>
          </cell>
        </row>
        <row r="3596">
          <cell r="A3596" t="str">
            <v>212938</v>
          </cell>
          <cell r="B3596" t="str">
            <v>Junção FD 45° FFF PN-16 DN100x75/80 conforme NBR7675 (6394)</v>
          </cell>
          <cell r="C3596" t="str">
            <v>ud</v>
          </cell>
          <cell r="D3596">
            <v>0</v>
          </cell>
        </row>
        <row r="3597">
          <cell r="A3597" t="str">
            <v>212939</v>
          </cell>
          <cell r="B3597" t="str">
            <v>Junção FD 45° FFF PN-16 DN150x100 conforme NBR7675 (6572)</v>
          </cell>
          <cell r="C3597" t="str">
            <v>ud</v>
          </cell>
          <cell r="D3597">
            <v>0</v>
          </cell>
          <cell r="E3597">
            <v>543.77</v>
          </cell>
          <cell r="F3597">
            <v>543.77</v>
          </cell>
        </row>
        <row r="3598">
          <cell r="A3598" t="str">
            <v>212940</v>
          </cell>
          <cell r="B3598" t="str">
            <v>Junção FD 45° FFF PN-16 DN200x100 conforme NBR7675</v>
          </cell>
          <cell r="C3598" t="str">
            <v>ud</v>
          </cell>
          <cell r="D3598">
            <v>0</v>
          </cell>
          <cell r="E3598">
            <v>655.19000000000005</v>
          </cell>
          <cell r="F3598">
            <v>655.19000000000005</v>
          </cell>
        </row>
        <row r="3599">
          <cell r="A3599" t="str">
            <v>212941</v>
          </cell>
          <cell r="B3599" t="str">
            <v>Junção FD 45° FFF PN-16 DN200x150 conforme NBR7675 (7153)</v>
          </cell>
          <cell r="C3599" t="str">
            <v>ud</v>
          </cell>
          <cell r="D3599">
            <v>0</v>
          </cell>
          <cell r="E3599">
            <v>684.98</v>
          </cell>
          <cell r="F3599">
            <v>684.98</v>
          </cell>
        </row>
        <row r="3600">
          <cell r="A3600" t="str">
            <v>212942</v>
          </cell>
          <cell r="B3600" t="str">
            <v>Junção FD 45° FFF PN-16 DN250x150 conforme NBR7675</v>
          </cell>
          <cell r="C3600" t="str">
            <v>ud</v>
          </cell>
          <cell r="D3600">
            <v>0</v>
          </cell>
          <cell r="E3600">
            <v>1093.27</v>
          </cell>
          <cell r="F3600">
            <v>1093.27</v>
          </cell>
        </row>
        <row r="3601">
          <cell r="A3601" t="str">
            <v>212943</v>
          </cell>
          <cell r="B3601" t="str">
            <v>Junção FD 45° FFF PN-16 DN250x200 conforme NBR7675</v>
          </cell>
          <cell r="C3601" t="str">
            <v>ud</v>
          </cell>
          <cell r="D3601">
            <v>0</v>
          </cell>
        </row>
        <row r="3602">
          <cell r="A3602" t="str">
            <v>212944</v>
          </cell>
          <cell r="B3602" t="str">
            <v>Junção FD 45° FFF PN-16 DN300x200 conforme NBR7675</v>
          </cell>
          <cell r="C3602" t="str">
            <v>ud</v>
          </cell>
          <cell r="D3602">
            <v>0</v>
          </cell>
          <cell r="E3602">
            <v>1929.93</v>
          </cell>
          <cell r="F3602">
            <v>1929.93</v>
          </cell>
        </row>
        <row r="3603">
          <cell r="A3603" t="str">
            <v>212945</v>
          </cell>
          <cell r="B3603" t="str">
            <v>Junção FD 45° FFF PN-16 DN300x250 conforme NBR7675</v>
          </cell>
          <cell r="C3603" t="str">
            <v>ud</v>
          </cell>
          <cell r="D3603">
            <v>0</v>
          </cell>
        </row>
        <row r="3604">
          <cell r="A3604" t="str">
            <v>212946</v>
          </cell>
          <cell r="B3604" t="str">
            <v>Junção FD 45° FFF PN-16 DN400x300 conforme NBR7675</v>
          </cell>
          <cell r="C3604" t="str">
            <v>ud</v>
          </cell>
          <cell r="D3604">
            <v>0</v>
          </cell>
          <cell r="E3604">
            <v>2414.7800000000002</v>
          </cell>
          <cell r="F3604">
            <v>2414.7800000000002</v>
          </cell>
        </row>
        <row r="3605">
          <cell r="A3605" t="str">
            <v>212947</v>
          </cell>
          <cell r="B3605" t="str">
            <v>Junção FD 45° FFF PN-16 DN400x350 conforme NBR7675</v>
          </cell>
          <cell r="C3605" t="str">
            <v>ud</v>
          </cell>
          <cell r="D3605">
            <v>0</v>
          </cell>
        </row>
        <row r="3606">
          <cell r="A3606" t="str">
            <v>212948</v>
          </cell>
          <cell r="B3606" t="str">
            <v>Junção FD 45° FFF PN-25 DN100x75/80 conforme NBR7675</v>
          </cell>
          <cell r="C3606" t="str">
            <v>ud</v>
          </cell>
          <cell r="D3606">
            <v>0</v>
          </cell>
        </row>
        <row r="3607">
          <cell r="A3607" t="str">
            <v>212949</v>
          </cell>
          <cell r="B3607" t="str">
            <v>Junção FD 45° FFF PN-25 DN150x100 conforme NBR7675</v>
          </cell>
          <cell r="C3607" t="str">
            <v>ud</v>
          </cell>
          <cell r="D3607">
            <v>0</v>
          </cell>
        </row>
        <row r="3608">
          <cell r="A3608" t="str">
            <v>212950</v>
          </cell>
          <cell r="B3608" t="str">
            <v>Junção FD 45° FFF PN-25 DN200x100 conforme NBR7675 (178632)</v>
          </cell>
          <cell r="C3608" t="str">
            <v>ud</v>
          </cell>
          <cell r="D3608">
            <v>0</v>
          </cell>
        </row>
        <row r="3609">
          <cell r="A3609" t="str">
            <v>212951</v>
          </cell>
          <cell r="B3609" t="str">
            <v>Junção FD 45° FFF PN-25 DN200x150 conforme NBR7675 (115169)</v>
          </cell>
          <cell r="C3609" t="str">
            <v>ud</v>
          </cell>
          <cell r="D3609">
            <v>0</v>
          </cell>
        </row>
        <row r="3610">
          <cell r="A3610" t="str">
            <v>212952</v>
          </cell>
          <cell r="B3610" t="str">
            <v>Junção FD 45° FFF PN-25 DN250x150 conforme NBR7675</v>
          </cell>
          <cell r="C3610" t="str">
            <v>ud</v>
          </cell>
          <cell r="D3610">
            <v>0</v>
          </cell>
        </row>
        <row r="3611">
          <cell r="A3611" t="str">
            <v>212953</v>
          </cell>
          <cell r="B3611" t="str">
            <v>Junção FD 45° FFF PN-25 DN250x200 conforme NBR7675</v>
          </cell>
          <cell r="C3611" t="str">
            <v>ud</v>
          </cell>
          <cell r="D3611">
            <v>0</v>
          </cell>
        </row>
        <row r="3612">
          <cell r="A3612" t="str">
            <v>212954</v>
          </cell>
          <cell r="B3612" t="str">
            <v>Junção FD 45° FFF PN-25 DN300x200 conforme NBR7675</v>
          </cell>
          <cell r="C3612" t="str">
            <v>ud</v>
          </cell>
          <cell r="D3612">
            <v>0</v>
          </cell>
        </row>
        <row r="3613">
          <cell r="A3613" t="str">
            <v>212955</v>
          </cell>
          <cell r="B3613" t="str">
            <v>Junção FD 45° FFF PN-25 DN300x250 conforme NBR7675</v>
          </cell>
          <cell r="C3613" t="str">
            <v>ud</v>
          </cell>
          <cell r="D3613">
            <v>0</v>
          </cell>
        </row>
        <row r="3614">
          <cell r="A3614" t="str">
            <v>212956</v>
          </cell>
          <cell r="B3614" t="str">
            <v>Junção FD 45° FFF PN-25 DN400x300 conforme NBR7675 (282517)</v>
          </cell>
          <cell r="C3614" t="str">
            <v>ud</v>
          </cell>
          <cell r="D3614">
            <v>0</v>
          </cell>
        </row>
        <row r="3615">
          <cell r="A3615" t="str">
            <v>212957</v>
          </cell>
          <cell r="B3615" t="str">
            <v>Junção FD 45° FFF PN-25 DN400x350 conforme NBR7675</v>
          </cell>
          <cell r="C3615" t="str">
            <v>ud</v>
          </cell>
          <cell r="D3615">
            <v>0</v>
          </cell>
        </row>
        <row r="3616">
          <cell r="A3616" t="str">
            <v>2130</v>
          </cell>
          <cell r="B3616" t="str">
            <v>JUNTA DE DESMONTAGEM TRAVADA</v>
          </cell>
        </row>
        <row r="3617">
          <cell r="A3617" t="str">
            <v>213001</v>
          </cell>
          <cell r="B3617" t="str">
            <v>Junta de desmontagem travada axialmente FF PN-10 DN50</v>
          </cell>
          <cell r="C3617" t="str">
            <v>ud</v>
          </cell>
          <cell r="D3617">
            <v>0</v>
          </cell>
        </row>
        <row r="3618">
          <cell r="A3618" t="str">
            <v>213002</v>
          </cell>
          <cell r="B3618" t="str">
            <v>Junta de desmontagem travada axialmente FF PN-10 DN75/80</v>
          </cell>
          <cell r="C3618" t="str">
            <v>ud</v>
          </cell>
          <cell r="D3618">
            <v>0</v>
          </cell>
        </row>
        <row r="3619">
          <cell r="A3619" t="str">
            <v>213003</v>
          </cell>
          <cell r="B3619" t="str">
            <v>Junta de desmontagem travada axialmente FF PN-10 DN100</v>
          </cell>
          <cell r="C3619" t="str">
            <v>ud</v>
          </cell>
          <cell r="D3619">
            <v>0</v>
          </cell>
        </row>
        <row r="3620">
          <cell r="A3620" t="str">
            <v>213004</v>
          </cell>
          <cell r="B3620" t="str">
            <v>Junta de desmontagem travada axialmente FF PN-10 DN150</v>
          </cell>
          <cell r="C3620" t="str">
            <v>ud</v>
          </cell>
          <cell r="D3620">
            <v>0</v>
          </cell>
        </row>
        <row r="3621">
          <cell r="A3621" t="str">
            <v>213005</v>
          </cell>
          <cell r="B3621" t="str">
            <v>Junta de desmontagem travada axialmente FF PN-10 DN200 (202983)</v>
          </cell>
          <cell r="C3621" t="str">
            <v>ud</v>
          </cell>
          <cell r="D3621">
            <v>0</v>
          </cell>
        </row>
        <row r="3622">
          <cell r="A3622" t="str">
            <v>213006</v>
          </cell>
          <cell r="B3622" t="str">
            <v>Junta de desmontagem travada axialmente FF PN-10 DN250 (250147)</v>
          </cell>
          <cell r="C3622" t="str">
            <v>ud</v>
          </cell>
          <cell r="D3622">
            <v>0</v>
          </cell>
        </row>
        <row r="3623">
          <cell r="A3623" t="str">
            <v>213007</v>
          </cell>
          <cell r="B3623" t="str">
            <v>Junta de desmontagem travada axialmente FF PN-10 DN300 (202991)</v>
          </cell>
          <cell r="C3623" t="str">
            <v>ud</v>
          </cell>
          <cell r="D3623">
            <v>0</v>
          </cell>
        </row>
        <row r="3624">
          <cell r="A3624" t="str">
            <v>213008</v>
          </cell>
          <cell r="B3624" t="str">
            <v>Junta de desmontagem travada axialmente FF PN-10 DN350</v>
          </cell>
          <cell r="C3624" t="str">
            <v>ud</v>
          </cell>
          <cell r="D3624">
            <v>0</v>
          </cell>
        </row>
        <row r="3625">
          <cell r="A3625" t="str">
            <v>213009</v>
          </cell>
          <cell r="B3625" t="str">
            <v>Junta de desmontagem travada axialmente FF PN-10 DN400 (203050)</v>
          </cell>
          <cell r="C3625" t="str">
            <v>ud</v>
          </cell>
          <cell r="D3625">
            <v>0</v>
          </cell>
        </row>
        <row r="3626">
          <cell r="A3626" t="str">
            <v>213010</v>
          </cell>
          <cell r="B3626" t="str">
            <v xml:space="preserve">Junta de desmontagem travada axialmente FF PN-10 DN450 </v>
          </cell>
          <cell r="C3626" t="str">
            <v>ud</v>
          </cell>
          <cell r="D3626">
            <v>0</v>
          </cell>
        </row>
        <row r="3627">
          <cell r="A3627" t="str">
            <v>213011</v>
          </cell>
          <cell r="B3627" t="str">
            <v>Junta de desmontagem travada axialmente FF PN-10 DN500 (203017)</v>
          </cell>
          <cell r="C3627" t="str">
            <v>ud</v>
          </cell>
          <cell r="D3627">
            <v>0</v>
          </cell>
        </row>
        <row r="3628">
          <cell r="A3628" t="str">
            <v>213012</v>
          </cell>
          <cell r="B3628" t="str">
            <v>Junta de desmontagem travada axialmente FF PN-10 DN600 (252727)</v>
          </cell>
          <cell r="C3628" t="str">
            <v>ud</v>
          </cell>
          <cell r="D3628">
            <v>0</v>
          </cell>
        </row>
        <row r="3629">
          <cell r="A3629" t="str">
            <v>213013</v>
          </cell>
          <cell r="B3629" t="str">
            <v>Junta de desmontagem travada axialmente FF PN-16 DN50</v>
          </cell>
          <cell r="C3629" t="str">
            <v>ud</v>
          </cell>
          <cell r="D3629">
            <v>0</v>
          </cell>
        </row>
        <row r="3630">
          <cell r="A3630" t="str">
            <v>213014</v>
          </cell>
          <cell r="B3630" t="str">
            <v>Junta de desmontagem travada axialmente FF PN-16 DN75/80 (227226)</v>
          </cell>
          <cell r="C3630" t="str">
            <v>ud</v>
          </cell>
          <cell r="D3630">
            <v>0</v>
          </cell>
        </row>
        <row r="3631">
          <cell r="A3631" t="str">
            <v>213015</v>
          </cell>
          <cell r="B3631" t="str">
            <v>Junta de desmontagem travada axialmente FF PN-16 DN100 (227463)</v>
          </cell>
          <cell r="C3631" t="str">
            <v>ud</v>
          </cell>
          <cell r="D3631">
            <v>0</v>
          </cell>
        </row>
        <row r="3632">
          <cell r="A3632" t="str">
            <v>213016</v>
          </cell>
          <cell r="B3632" t="str">
            <v>Junta de desmontagem travada axialmente FF PN-16 DN150 (203025)</v>
          </cell>
          <cell r="C3632" t="str">
            <v>ud</v>
          </cell>
          <cell r="D3632">
            <v>0</v>
          </cell>
        </row>
        <row r="3633">
          <cell r="A3633" t="str">
            <v>213017</v>
          </cell>
          <cell r="B3633" t="str">
            <v>Junta de desmontagem travada axialmente FF PN-16 DN200 (203033)</v>
          </cell>
          <cell r="C3633" t="str">
            <v>ud</v>
          </cell>
          <cell r="D3633">
            <v>0</v>
          </cell>
        </row>
        <row r="3634">
          <cell r="A3634" t="str">
            <v>213018</v>
          </cell>
          <cell r="B3634" t="str">
            <v>Junta de desmontagem travada axialmente FF PN-16 DN250</v>
          </cell>
          <cell r="C3634" t="str">
            <v>ud</v>
          </cell>
          <cell r="D3634">
            <v>0</v>
          </cell>
        </row>
        <row r="3635">
          <cell r="A3635" t="str">
            <v>213019</v>
          </cell>
          <cell r="B3635" t="str">
            <v>Junta de desmontagem travada axialmente FF PN-16 DN300</v>
          </cell>
          <cell r="C3635" t="str">
            <v>ud</v>
          </cell>
          <cell r="D3635">
            <v>0</v>
          </cell>
        </row>
        <row r="3636">
          <cell r="A3636" t="str">
            <v>213020</v>
          </cell>
          <cell r="B3636" t="str">
            <v>Junta de desmontagem travada axialmente FF PN-16 DN350</v>
          </cell>
          <cell r="C3636" t="str">
            <v>ud</v>
          </cell>
          <cell r="D3636">
            <v>0</v>
          </cell>
        </row>
        <row r="3637">
          <cell r="A3637" t="str">
            <v>213021</v>
          </cell>
          <cell r="B3637" t="str">
            <v>Junta de desmontagem travada axialmente FF PN-16 DN400 (244031)</v>
          </cell>
          <cell r="C3637" t="str">
            <v>ud</v>
          </cell>
          <cell r="D3637">
            <v>0</v>
          </cell>
        </row>
        <row r="3638">
          <cell r="A3638" t="str">
            <v>213022</v>
          </cell>
          <cell r="B3638" t="str">
            <v>Junta de desmontagem travada axialmente FF PN-16 DN450</v>
          </cell>
          <cell r="C3638" t="str">
            <v>ud</v>
          </cell>
          <cell r="D3638">
            <v>0</v>
          </cell>
        </row>
        <row r="3639">
          <cell r="A3639" t="str">
            <v>213023</v>
          </cell>
          <cell r="B3639" t="str">
            <v>Junta de desmontagem travada axialmente FF PN-16 DN500 (203068)</v>
          </cell>
          <cell r="C3639" t="str">
            <v>ud</v>
          </cell>
          <cell r="D3639">
            <v>0</v>
          </cell>
        </row>
        <row r="3640">
          <cell r="A3640" t="str">
            <v>213024</v>
          </cell>
          <cell r="B3640" t="str">
            <v>Junta de desmontagem travada axialmente FF PN-16 DN600</v>
          </cell>
          <cell r="C3640" t="str">
            <v>ud</v>
          </cell>
          <cell r="D3640">
            <v>0</v>
          </cell>
        </row>
        <row r="3641">
          <cell r="A3641" t="str">
            <v>213025</v>
          </cell>
          <cell r="B3641" t="str">
            <v>Junta de desmontagem travada axialmente FF PN-25 DN50</v>
          </cell>
          <cell r="C3641" t="str">
            <v>ud</v>
          </cell>
          <cell r="D3641">
            <v>0</v>
          </cell>
        </row>
        <row r="3642">
          <cell r="A3642" t="str">
            <v>213026</v>
          </cell>
          <cell r="B3642" t="str">
            <v>Junta de desmontagem travada axialmente FF PN-25 DN75/80</v>
          </cell>
          <cell r="C3642" t="str">
            <v>ud</v>
          </cell>
          <cell r="D3642">
            <v>0</v>
          </cell>
        </row>
        <row r="3643">
          <cell r="A3643" t="str">
            <v>213027</v>
          </cell>
          <cell r="B3643" t="str">
            <v>Junta de desmontagem travada axialmente FF PN-25 DN100</v>
          </cell>
          <cell r="C3643" t="str">
            <v>ud</v>
          </cell>
          <cell r="D3643">
            <v>0</v>
          </cell>
        </row>
        <row r="3644">
          <cell r="A3644" t="str">
            <v>213028</v>
          </cell>
          <cell r="B3644" t="str">
            <v>Junta de desmontagem travada axialmente FF PN-25 DN150</v>
          </cell>
          <cell r="C3644" t="str">
            <v>ud</v>
          </cell>
          <cell r="D3644">
            <v>0</v>
          </cell>
        </row>
        <row r="3645">
          <cell r="A3645" t="str">
            <v>213029</v>
          </cell>
          <cell r="B3645" t="str">
            <v>Junta de desmontagem travada axialmente FF PN-25 DN200</v>
          </cell>
          <cell r="C3645" t="str">
            <v>ud</v>
          </cell>
          <cell r="D3645">
            <v>0</v>
          </cell>
        </row>
        <row r="3646">
          <cell r="A3646" t="str">
            <v>213030</v>
          </cell>
          <cell r="B3646" t="str">
            <v>Junta de desmontagem travada axialmente FF PN-25 DN250 (234656)</v>
          </cell>
          <cell r="C3646" t="str">
            <v>ud</v>
          </cell>
          <cell r="D3646">
            <v>0</v>
          </cell>
        </row>
        <row r="3647">
          <cell r="A3647" t="str">
            <v>213031</v>
          </cell>
          <cell r="B3647" t="str">
            <v>Junta de desmontagem travada axialmente FF PN-25 DN300 (234664)</v>
          </cell>
          <cell r="C3647" t="str">
            <v>ud</v>
          </cell>
          <cell r="D3647">
            <v>0</v>
          </cell>
        </row>
        <row r="3648">
          <cell r="A3648" t="str">
            <v>213032</v>
          </cell>
          <cell r="B3648" t="str">
            <v>Junta de desmontagem travada axialmente FF PN-25 DN350</v>
          </cell>
          <cell r="C3648" t="str">
            <v>ud</v>
          </cell>
          <cell r="D3648">
            <v>0</v>
          </cell>
        </row>
        <row r="3649">
          <cell r="A3649" t="str">
            <v>213033</v>
          </cell>
          <cell r="B3649" t="str">
            <v>Junta de desmontagem travada axialmente FF PN-25 DN400</v>
          </cell>
          <cell r="C3649" t="str">
            <v>ud</v>
          </cell>
          <cell r="D3649">
            <v>0</v>
          </cell>
        </row>
        <row r="3650">
          <cell r="A3650" t="str">
            <v>213034</v>
          </cell>
          <cell r="B3650" t="str">
            <v>Junta de desmontagem travada axialmente FF PN-25 DN450</v>
          </cell>
          <cell r="C3650" t="str">
            <v>ud</v>
          </cell>
          <cell r="D3650">
            <v>0</v>
          </cell>
        </row>
        <row r="3651">
          <cell r="A3651" t="str">
            <v>213035</v>
          </cell>
          <cell r="B3651" t="str">
            <v>Junta de desmontagem travada axialmente FF PN-25 DN500</v>
          </cell>
          <cell r="C3651" t="str">
            <v>ud</v>
          </cell>
          <cell r="D3651">
            <v>0</v>
          </cell>
        </row>
        <row r="3652">
          <cell r="A3652" t="str">
            <v>213036</v>
          </cell>
          <cell r="B3652" t="str">
            <v>Junta de desmontagem travada axialmente FF PN-25 DN600</v>
          </cell>
          <cell r="C3652" t="str">
            <v>ud</v>
          </cell>
          <cell r="D3652">
            <v>0</v>
          </cell>
        </row>
        <row r="3653">
          <cell r="A3653" t="str">
            <v>2131</v>
          </cell>
          <cell r="B3653" t="str">
            <v>JUNTA DRESSER</v>
          </cell>
        </row>
        <row r="3654">
          <cell r="A3654" t="str">
            <v>213101</v>
          </cell>
          <cell r="B3654" t="str">
            <v>Junta Dresser FD DN   50  conforme especificação</v>
          </cell>
          <cell r="C3654" t="str">
            <v>ud</v>
          </cell>
          <cell r="D3654">
            <v>0</v>
          </cell>
        </row>
        <row r="3655">
          <cell r="A3655" t="str">
            <v>213102</v>
          </cell>
          <cell r="B3655" t="str">
            <v>Junta Dresser FD DN   75/80  conforme especificação</v>
          </cell>
          <cell r="C3655" t="str">
            <v>ud</v>
          </cell>
          <cell r="D3655">
            <v>0</v>
          </cell>
        </row>
        <row r="3656">
          <cell r="A3656" t="str">
            <v>213103</v>
          </cell>
          <cell r="B3656" t="str">
            <v>Junta Dresser FD DN  100  conforme especificação</v>
          </cell>
          <cell r="C3656" t="str">
            <v>ud</v>
          </cell>
          <cell r="D3656">
            <v>0</v>
          </cell>
        </row>
        <row r="3657">
          <cell r="A3657" t="str">
            <v>213104</v>
          </cell>
          <cell r="B3657" t="str">
            <v>Junta Dresser FD DN  150 conforme especificação</v>
          </cell>
          <cell r="C3657" t="str">
            <v>ud</v>
          </cell>
          <cell r="D3657">
            <v>0</v>
          </cell>
        </row>
        <row r="3658">
          <cell r="A3658" t="str">
            <v>213105</v>
          </cell>
          <cell r="B3658" t="str">
            <v>Junta Dresser FD DN  200 conforme especificação</v>
          </cell>
          <cell r="C3658" t="str">
            <v>ud</v>
          </cell>
          <cell r="D3658">
            <v>0</v>
          </cell>
        </row>
        <row r="3659">
          <cell r="A3659" t="str">
            <v>213106</v>
          </cell>
          <cell r="B3659" t="str">
            <v>Junta Dresser FD DN  250 conforme especificação</v>
          </cell>
          <cell r="C3659" t="str">
            <v>ud</v>
          </cell>
          <cell r="D3659">
            <v>0</v>
          </cell>
        </row>
        <row r="3660">
          <cell r="A3660" t="str">
            <v>213107</v>
          </cell>
          <cell r="B3660" t="str">
            <v>Junta Dresser FD DN  300 conforme especificação</v>
          </cell>
          <cell r="C3660" t="str">
            <v>ud</v>
          </cell>
          <cell r="D3660">
            <v>0</v>
          </cell>
        </row>
        <row r="3661">
          <cell r="A3661" t="str">
            <v>213108</v>
          </cell>
          <cell r="B3661" t="str">
            <v>Junta Dresser FD DN  350 conforme especificação</v>
          </cell>
          <cell r="C3661" t="str">
            <v>ud</v>
          </cell>
          <cell r="D3661">
            <v>0</v>
          </cell>
        </row>
        <row r="3662">
          <cell r="A3662" t="str">
            <v>213109</v>
          </cell>
          <cell r="B3662" t="str">
            <v>Junta Dresser FD DN  400 conforme especificação</v>
          </cell>
          <cell r="C3662" t="str">
            <v>ud</v>
          </cell>
          <cell r="D3662">
            <v>0</v>
          </cell>
        </row>
        <row r="3663">
          <cell r="A3663" t="str">
            <v>213110</v>
          </cell>
          <cell r="B3663" t="str">
            <v>Junta Dresser FD DN  450 conforme especificação</v>
          </cell>
          <cell r="C3663" t="str">
            <v>ud</v>
          </cell>
          <cell r="D3663">
            <v>0</v>
          </cell>
        </row>
        <row r="3664">
          <cell r="A3664" t="str">
            <v>213111</v>
          </cell>
          <cell r="B3664" t="str">
            <v>Junta Dresser FD DN  500 conforme especificação</v>
          </cell>
          <cell r="C3664" t="str">
            <v>ud</v>
          </cell>
          <cell r="D3664">
            <v>0</v>
          </cell>
        </row>
        <row r="3665">
          <cell r="A3665" t="str">
            <v>213112</v>
          </cell>
          <cell r="B3665" t="str">
            <v>Junta Dresser FD DN  600 conforme especificação</v>
          </cell>
          <cell r="C3665" t="str">
            <v>ud</v>
          </cell>
          <cell r="D3665">
            <v>0</v>
          </cell>
        </row>
        <row r="3666">
          <cell r="A3666" t="str">
            <v>213113</v>
          </cell>
          <cell r="B3666" t="str">
            <v>Junta Dresser FD DN  700 conforme especificação</v>
          </cell>
          <cell r="C3666" t="str">
            <v>ud</v>
          </cell>
          <cell r="D3666">
            <v>0</v>
          </cell>
        </row>
        <row r="3667">
          <cell r="A3667" t="str">
            <v>213114</v>
          </cell>
          <cell r="B3667" t="str">
            <v>Junta Dresser FD DN  800 conforme especificação</v>
          </cell>
          <cell r="C3667" t="str">
            <v>ud</v>
          </cell>
          <cell r="D3667">
            <v>0</v>
          </cell>
        </row>
        <row r="3668">
          <cell r="A3668" t="str">
            <v>213115</v>
          </cell>
          <cell r="B3668" t="str">
            <v>Junta Dresser FD DN  900 conforme especificação</v>
          </cell>
          <cell r="C3668" t="str">
            <v>ud</v>
          </cell>
          <cell r="D3668">
            <v>0</v>
          </cell>
        </row>
        <row r="3669">
          <cell r="A3669" t="str">
            <v>213116</v>
          </cell>
          <cell r="B3669" t="str">
            <v>Junta Dresser FD DN 1000 conforme especificação</v>
          </cell>
          <cell r="C3669" t="str">
            <v>ud</v>
          </cell>
          <cell r="D3669">
            <v>0</v>
          </cell>
        </row>
        <row r="3670">
          <cell r="A3670" t="str">
            <v>213117</v>
          </cell>
          <cell r="B3670" t="str">
            <v>Junta Dresser FD DN 1100 conforme especificação</v>
          </cell>
          <cell r="C3670" t="str">
            <v>ud</v>
          </cell>
          <cell r="D3670">
            <v>0</v>
          </cell>
        </row>
        <row r="3671">
          <cell r="A3671" t="str">
            <v>213118</v>
          </cell>
          <cell r="B3671" t="str">
            <v>Junta Dresser FD DN 1200 conforme especificação</v>
          </cell>
          <cell r="C3671" t="str">
            <v>ud</v>
          </cell>
          <cell r="D3671">
            <v>0</v>
          </cell>
        </row>
        <row r="3672">
          <cell r="A3672" t="str">
            <v>2132</v>
          </cell>
          <cell r="B3672" t="str">
            <v>JUNTA DE EXPANSÃO</v>
          </cell>
        </row>
        <row r="3673">
          <cell r="A3673" t="str">
            <v>213201</v>
          </cell>
          <cell r="B3673" t="str">
            <v xml:space="preserve">Junta de expansão FD FF PN-10  DN 50 </v>
          </cell>
          <cell r="C3673" t="str">
            <v>ud</v>
          </cell>
          <cell r="D3673">
            <v>0</v>
          </cell>
        </row>
        <row r="3674">
          <cell r="A3674" t="str">
            <v>213202</v>
          </cell>
          <cell r="B3674" t="str">
            <v>Junta de expansão FD FF PN-10 DN  75/80</v>
          </cell>
          <cell r="C3674" t="str">
            <v>ud</v>
          </cell>
          <cell r="D3674">
            <v>0</v>
          </cell>
        </row>
        <row r="3675">
          <cell r="A3675" t="str">
            <v>213203</v>
          </cell>
          <cell r="B3675" t="str">
            <v xml:space="preserve">Junta de expansão FD FF PN-10 DN 100 </v>
          </cell>
          <cell r="C3675" t="str">
            <v>ud</v>
          </cell>
          <cell r="D3675">
            <v>0</v>
          </cell>
        </row>
        <row r="3676">
          <cell r="A3676" t="str">
            <v>213204</v>
          </cell>
          <cell r="B3676" t="str">
            <v xml:space="preserve">Junta de expansão FD FF PN-10 DN 150 </v>
          </cell>
          <cell r="C3676" t="str">
            <v>ud</v>
          </cell>
          <cell r="D3676">
            <v>0</v>
          </cell>
        </row>
        <row r="3677">
          <cell r="A3677" t="str">
            <v>213205</v>
          </cell>
          <cell r="B3677" t="str">
            <v>Junta de expansão FD FF PN-10 DN 200 (225061)</v>
          </cell>
          <cell r="C3677" t="str">
            <v>ud</v>
          </cell>
          <cell r="D3677">
            <v>0</v>
          </cell>
        </row>
        <row r="3678">
          <cell r="A3678" t="str">
            <v>213206</v>
          </cell>
          <cell r="B3678" t="str">
            <v>Junta de expansão FD FF PN-10 DN 250 (7323)</v>
          </cell>
          <cell r="C3678" t="str">
            <v>ud</v>
          </cell>
          <cell r="D3678">
            <v>0</v>
          </cell>
        </row>
        <row r="3679">
          <cell r="A3679" t="str">
            <v>213207</v>
          </cell>
          <cell r="B3679" t="str">
            <v xml:space="preserve">Junta de expansão FD FF PN-10 DN 300 </v>
          </cell>
          <cell r="C3679" t="str">
            <v>ud</v>
          </cell>
          <cell r="D3679">
            <v>0</v>
          </cell>
        </row>
        <row r="3680">
          <cell r="A3680" t="str">
            <v>213208</v>
          </cell>
          <cell r="B3680" t="str">
            <v xml:space="preserve">Junta de expansão FD FF PN-10 DN 350 </v>
          </cell>
          <cell r="C3680" t="str">
            <v>ud</v>
          </cell>
          <cell r="D3680">
            <v>0</v>
          </cell>
        </row>
        <row r="3681">
          <cell r="A3681" t="str">
            <v>213209</v>
          </cell>
          <cell r="B3681" t="str">
            <v xml:space="preserve">Junta de expansão FD FF PN-10 DN 400 </v>
          </cell>
          <cell r="C3681" t="str">
            <v>ud</v>
          </cell>
          <cell r="D3681">
            <v>0</v>
          </cell>
        </row>
        <row r="3682">
          <cell r="A3682" t="str">
            <v>213210</v>
          </cell>
          <cell r="B3682" t="str">
            <v xml:space="preserve">Junta de expansão FD FF PN-10 DN 450 </v>
          </cell>
          <cell r="C3682" t="str">
            <v>ud</v>
          </cell>
          <cell r="D3682">
            <v>0</v>
          </cell>
        </row>
        <row r="3683">
          <cell r="A3683" t="str">
            <v>213211</v>
          </cell>
          <cell r="B3683" t="str">
            <v xml:space="preserve">Junta de expansão FD FF PN-10 DN 500 </v>
          </cell>
          <cell r="C3683" t="str">
            <v>ud</v>
          </cell>
          <cell r="D3683">
            <v>0</v>
          </cell>
        </row>
        <row r="3684">
          <cell r="A3684" t="str">
            <v>213212</v>
          </cell>
          <cell r="B3684" t="str">
            <v xml:space="preserve">Junta de expansão FD FF PN-10 DN 600 </v>
          </cell>
          <cell r="C3684" t="str">
            <v>ud</v>
          </cell>
          <cell r="D3684">
            <v>0</v>
          </cell>
        </row>
        <row r="3685">
          <cell r="A3685" t="str">
            <v>213213</v>
          </cell>
          <cell r="B3685" t="str">
            <v xml:space="preserve">Junta de expansão FD FF PN-16 DN  50 </v>
          </cell>
          <cell r="C3685" t="str">
            <v>ud</v>
          </cell>
          <cell r="D3685">
            <v>0</v>
          </cell>
        </row>
        <row r="3686">
          <cell r="A3686" t="str">
            <v>213214</v>
          </cell>
          <cell r="B3686" t="str">
            <v>Junta de expansão FD FF PN-16 DN  75/80 (7277)</v>
          </cell>
          <cell r="C3686" t="str">
            <v>ud</v>
          </cell>
          <cell r="D3686">
            <v>0</v>
          </cell>
        </row>
        <row r="3687">
          <cell r="A3687" t="str">
            <v>213215</v>
          </cell>
          <cell r="B3687" t="str">
            <v>Junta de expansão FD FF PN-16 DN 100 (7285)</v>
          </cell>
          <cell r="C3687" t="str">
            <v>ud</v>
          </cell>
          <cell r="D3687">
            <v>0</v>
          </cell>
        </row>
        <row r="3688">
          <cell r="A3688" t="str">
            <v>213216</v>
          </cell>
          <cell r="B3688" t="str">
            <v>Junta de expansão FD FF PN-16 DN 150 (7307)</v>
          </cell>
          <cell r="C3688" t="str">
            <v>ud</v>
          </cell>
          <cell r="D3688">
            <v>0</v>
          </cell>
        </row>
        <row r="3689">
          <cell r="A3689" t="str">
            <v>213217</v>
          </cell>
          <cell r="B3689" t="str">
            <v xml:space="preserve">Junta de expansão FD FF PN-16 DN 200 </v>
          </cell>
          <cell r="C3689" t="str">
            <v>ud</v>
          </cell>
          <cell r="D3689">
            <v>0</v>
          </cell>
        </row>
        <row r="3690">
          <cell r="A3690" t="str">
            <v>213218</v>
          </cell>
          <cell r="B3690" t="str">
            <v xml:space="preserve">Junta de expansão FD FF PN-16 DN 250 </v>
          </cell>
          <cell r="C3690" t="str">
            <v>ud</v>
          </cell>
          <cell r="D3690">
            <v>0</v>
          </cell>
        </row>
        <row r="3691">
          <cell r="A3691" t="str">
            <v>213219</v>
          </cell>
          <cell r="B3691" t="str">
            <v xml:space="preserve">Junta de expansão FD FF PN-16 DN 300 </v>
          </cell>
          <cell r="C3691" t="str">
            <v>ud</v>
          </cell>
          <cell r="D3691">
            <v>0</v>
          </cell>
        </row>
        <row r="3692">
          <cell r="A3692" t="str">
            <v>213220</v>
          </cell>
          <cell r="B3692" t="str">
            <v xml:space="preserve">Junta de expansão FD FF PN-16 DN 350 </v>
          </cell>
          <cell r="C3692" t="str">
            <v>ud</v>
          </cell>
          <cell r="D3692">
            <v>0</v>
          </cell>
        </row>
        <row r="3693">
          <cell r="A3693" t="str">
            <v>213221</v>
          </cell>
          <cell r="B3693" t="str">
            <v xml:space="preserve">Junta de expansão FD FF PN-16 DN 400 </v>
          </cell>
          <cell r="C3693" t="str">
            <v>ud</v>
          </cell>
          <cell r="D3693">
            <v>0</v>
          </cell>
        </row>
        <row r="3694">
          <cell r="A3694" t="str">
            <v>213222</v>
          </cell>
          <cell r="B3694" t="str">
            <v xml:space="preserve">Junta de expansão FD FF PN-16 DN 450 </v>
          </cell>
          <cell r="C3694" t="str">
            <v>ud</v>
          </cell>
          <cell r="D3694">
            <v>0</v>
          </cell>
        </row>
        <row r="3695">
          <cell r="A3695" t="str">
            <v>213223</v>
          </cell>
          <cell r="B3695" t="str">
            <v xml:space="preserve">Junta de expansão FD FF PN-16 DN 500 </v>
          </cell>
          <cell r="C3695" t="str">
            <v>ud</v>
          </cell>
          <cell r="D3695">
            <v>0</v>
          </cell>
        </row>
        <row r="3696">
          <cell r="A3696" t="str">
            <v>213224</v>
          </cell>
          <cell r="B3696" t="str">
            <v xml:space="preserve">Junta de expansão FD FF PN-16 DN 600 </v>
          </cell>
          <cell r="C3696" t="str">
            <v>ud</v>
          </cell>
          <cell r="D3696">
            <v>0</v>
          </cell>
        </row>
        <row r="3697">
          <cell r="A3697" t="str">
            <v>213225</v>
          </cell>
          <cell r="B3697" t="str">
            <v>Junta de expansão FD FF PN-25 DN  50 (7250)</v>
          </cell>
          <cell r="C3697" t="str">
            <v>ud</v>
          </cell>
          <cell r="D3697">
            <v>0</v>
          </cell>
        </row>
        <row r="3698">
          <cell r="A3698" t="str">
            <v>213226</v>
          </cell>
          <cell r="B3698" t="str">
            <v>Junta de expansão FD FF PN-25 DN  75/80</v>
          </cell>
          <cell r="C3698" t="str">
            <v>ud</v>
          </cell>
          <cell r="D3698">
            <v>0</v>
          </cell>
        </row>
        <row r="3699">
          <cell r="A3699" t="str">
            <v>213227</v>
          </cell>
          <cell r="B3699" t="str">
            <v xml:space="preserve">Junta de expansão FD FF PN-25 DN 100 </v>
          </cell>
          <cell r="C3699" t="str">
            <v>ud</v>
          </cell>
          <cell r="D3699">
            <v>0</v>
          </cell>
        </row>
        <row r="3700">
          <cell r="A3700" t="str">
            <v>213228</v>
          </cell>
          <cell r="B3700" t="str">
            <v xml:space="preserve">Junta de expansão FD FF PN-25 DN 150 </v>
          </cell>
          <cell r="C3700" t="str">
            <v>ud</v>
          </cell>
          <cell r="D3700">
            <v>0</v>
          </cell>
        </row>
        <row r="3701">
          <cell r="A3701" t="str">
            <v>213229</v>
          </cell>
          <cell r="B3701" t="str">
            <v xml:space="preserve">Junta de expansão FD FF PN-25 DN 200 </v>
          </cell>
          <cell r="C3701" t="str">
            <v>ud</v>
          </cell>
          <cell r="D3701">
            <v>0</v>
          </cell>
        </row>
        <row r="3702">
          <cell r="A3702" t="str">
            <v>213230</v>
          </cell>
          <cell r="B3702" t="str">
            <v xml:space="preserve">Junta de expansão FD FF PN-25 DN 250 </v>
          </cell>
          <cell r="C3702" t="str">
            <v>ud</v>
          </cell>
          <cell r="D3702">
            <v>0</v>
          </cell>
        </row>
        <row r="3703">
          <cell r="A3703" t="str">
            <v>213231</v>
          </cell>
          <cell r="B3703" t="str">
            <v xml:space="preserve">Junta de expansão FD FF PN-25 DN 300 </v>
          </cell>
          <cell r="C3703" t="str">
            <v>ud</v>
          </cell>
          <cell r="D3703">
            <v>0</v>
          </cell>
        </row>
        <row r="3704">
          <cell r="A3704" t="str">
            <v>213232</v>
          </cell>
          <cell r="B3704" t="str">
            <v xml:space="preserve">Junta de expansão FD FF PN-25 DN 350 </v>
          </cell>
          <cell r="C3704" t="str">
            <v>ud</v>
          </cell>
          <cell r="D3704">
            <v>0</v>
          </cell>
        </row>
        <row r="3705">
          <cell r="A3705" t="str">
            <v>213233</v>
          </cell>
          <cell r="B3705" t="str">
            <v xml:space="preserve">Junta de expansão FD FF PN-25 DN 400 </v>
          </cell>
          <cell r="C3705" t="str">
            <v>ud</v>
          </cell>
          <cell r="D3705">
            <v>0</v>
          </cell>
        </row>
        <row r="3706">
          <cell r="A3706" t="str">
            <v>213234</v>
          </cell>
          <cell r="B3706" t="str">
            <v xml:space="preserve">Junta de expansão FD FF PN-25 DN 450 </v>
          </cell>
          <cell r="C3706" t="str">
            <v>ud</v>
          </cell>
          <cell r="D3706">
            <v>0</v>
          </cell>
        </row>
        <row r="3707">
          <cell r="A3707" t="str">
            <v>213235</v>
          </cell>
          <cell r="B3707" t="str">
            <v xml:space="preserve">Junta de expansão FD FF PN-25 DN 500 </v>
          </cell>
          <cell r="C3707" t="str">
            <v>ud</v>
          </cell>
          <cell r="D3707">
            <v>0</v>
          </cell>
        </row>
        <row r="3708">
          <cell r="A3708" t="str">
            <v>213236</v>
          </cell>
          <cell r="B3708" t="str">
            <v xml:space="preserve">Junta de expansão FD FF PN-25 DN 600 </v>
          </cell>
          <cell r="C3708" t="str">
            <v>ud</v>
          </cell>
          <cell r="D3708">
            <v>0</v>
          </cell>
        </row>
        <row r="3709">
          <cell r="A3709" t="str">
            <v>2133</v>
          </cell>
          <cell r="B3709" t="str">
            <v>JUNTA GIBAULT</v>
          </cell>
        </row>
        <row r="3710">
          <cell r="A3710" t="str">
            <v>213301</v>
          </cell>
          <cell r="B3710" t="str">
            <v>Junta FD tipo gibault DN50 conforme NBR14243 (7390)</v>
          </cell>
          <cell r="C3710" t="str">
            <v>ud</v>
          </cell>
          <cell r="D3710">
            <v>0</v>
          </cell>
          <cell r="E3710">
            <v>72.69</v>
          </cell>
          <cell r="F3710">
            <v>72.69</v>
          </cell>
        </row>
        <row r="3711">
          <cell r="A3711" t="str">
            <v>213302</v>
          </cell>
          <cell r="B3711" t="str">
            <v>Junta FD tipo gibault DN75/80 conforme NBR14243 (38970)</v>
          </cell>
          <cell r="C3711" t="str">
            <v>ud</v>
          </cell>
          <cell r="D3711">
            <v>0</v>
          </cell>
          <cell r="E3711">
            <v>96.9</v>
          </cell>
          <cell r="F3711">
            <v>96.9</v>
          </cell>
        </row>
        <row r="3712">
          <cell r="A3712" t="str">
            <v>213303</v>
          </cell>
          <cell r="B3712" t="str">
            <v>Junta FD tipo gibault DN100 conforme NBR14243 (7412)</v>
          </cell>
          <cell r="C3712" t="str">
            <v>ud</v>
          </cell>
          <cell r="D3712">
            <v>0</v>
          </cell>
          <cell r="E3712">
            <v>110.72</v>
          </cell>
          <cell r="F3712">
            <v>110.72</v>
          </cell>
        </row>
        <row r="3713">
          <cell r="A3713" t="str">
            <v>213304</v>
          </cell>
          <cell r="B3713" t="str">
            <v>Junta FD tipo gibault DN150 conforme NBR14243 (7439)</v>
          </cell>
          <cell r="C3713" t="str">
            <v>ud</v>
          </cell>
          <cell r="D3713">
            <v>0</v>
          </cell>
          <cell r="E3713">
            <v>187.3</v>
          </cell>
          <cell r="F3713">
            <v>187.3</v>
          </cell>
        </row>
        <row r="3714">
          <cell r="A3714" t="str">
            <v>213305</v>
          </cell>
          <cell r="B3714" t="str">
            <v>Junta FD tipo gibault DN200 conforme NBR14243 (7447)</v>
          </cell>
          <cell r="C3714" t="str">
            <v>ud</v>
          </cell>
          <cell r="D3714">
            <v>0</v>
          </cell>
          <cell r="E3714">
            <v>259.47000000000003</v>
          </cell>
          <cell r="F3714">
            <v>259.47000000000003</v>
          </cell>
        </row>
        <row r="3715">
          <cell r="A3715" t="str">
            <v>213306</v>
          </cell>
          <cell r="B3715" t="str">
            <v>Junta FD tipo gibault DN250 conforme NBR14243 (7455)</v>
          </cell>
          <cell r="C3715" t="str">
            <v>ud</v>
          </cell>
          <cell r="D3715">
            <v>0</v>
          </cell>
          <cell r="E3715">
            <v>351.62</v>
          </cell>
          <cell r="F3715">
            <v>351.62</v>
          </cell>
        </row>
        <row r="3716">
          <cell r="A3716" t="str">
            <v>213307</v>
          </cell>
          <cell r="B3716" t="str">
            <v>Junta FD tipo gibault DN300 conforme NBR14243 (7463)</v>
          </cell>
          <cell r="C3716" t="str">
            <v>ud</v>
          </cell>
          <cell r="D3716">
            <v>0</v>
          </cell>
          <cell r="E3716">
            <v>525.13</v>
          </cell>
          <cell r="F3716">
            <v>525.13</v>
          </cell>
        </row>
        <row r="3717">
          <cell r="A3717" t="str">
            <v>213308</v>
          </cell>
          <cell r="B3717" t="str">
            <v>Junta FD tipo gibault DN350 conforme NBR14243 (7471)</v>
          </cell>
          <cell r="C3717" t="str">
            <v>ud</v>
          </cell>
          <cell r="D3717">
            <v>0</v>
          </cell>
          <cell r="E3717">
            <v>829.9</v>
          </cell>
          <cell r="F3717">
            <v>829.9</v>
          </cell>
        </row>
        <row r="3718">
          <cell r="A3718" t="str">
            <v>213309</v>
          </cell>
          <cell r="B3718" t="str">
            <v>Junta FD tipo gibault DN400 conforme NBR14243 (7480)</v>
          </cell>
          <cell r="C3718" t="str">
            <v>ud</v>
          </cell>
          <cell r="D3718">
            <v>0</v>
          </cell>
          <cell r="E3718">
            <v>918.98</v>
          </cell>
          <cell r="F3718">
            <v>918.98</v>
          </cell>
        </row>
        <row r="3719">
          <cell r="A3719" t="str">
            <v>213310</v>
          </cell>
          <cell r="B3719" t="str">
            <v>Junta FD tipo gibault DN450 conforme NBR14243 (7498)</v>
          </cell>
          <cell r="C3719" t="str">
            <v>ud</v>
          </cell>
          <cell r="D3719">
            <v>0</v>
          </cell>
          <cell r="E3719">
            <v>1064.31</v>
          </cell>
          <cell r="F3719">
            <v>1064.31</v>
          </cell>
        </row>
        <row r="3720">
          <cell r="A3720" t="str">
            <v>213311</v>
          </cell>
          <cell r="B3720" t="str">
            <v>Junta FD tipo gibault DN500 conforme NBR14243 (7501)</v>
          </cell>
          <cell r="C3720" t="str">
            <v>ud</v>
          </cell>
          <cell r="D3720">
            <v>0</v>
          </cell>
          <cell r="E3720">
            <v>1289.3900000000001</v>
          </cell>
          <cell r="F3720">
            <v>1289.3900000000001</v>
          </cell>
        </row>
        <row r="3721">
          <cell r="A3721" t="str">
            <v>213312</v>
          </cell>
          <cell r="B3721" t="str">
            <v>Junta FD tipo gibault DN600 conforme NBR14243 (7510)</v>
          </cell>
          <cell r="C3721" t="str">
            <v>ud</v>
          </cell>
          <cell r="D3721">
            <v>0</v>
          </cell>
          <cell r="E3721">
            <v>1791.09</v>
          </cell>
          <cell r="F3721">
            <v>1791.09</v>
          </cell>
        </row>
        <row r="3722">
          <cell r="A3722" t="str">
            <v>2134</v>
          </cell>
          <cell r="B3722" t="str">
            <v>LUVA FD</v>
          </cell>
        </row>
        <row r="3723">
          <cell r="A3723" t="str">
            <v>213401</v>
          </cell>
          <cell r="B3723" t="str">
            <v>Luva FD BB JE/JE2GS DN50 conforme NBR 7675</v>
          </cell>
          <cell r="C3723" t="str">
            <v>ud</v>
          </cell>
          <cell r="D3723">
            <v>0</v>
          </cell>
          <cell r="E3723">
            <v>62.28</v>
          </cell>
          <cell r="F3723">
            <v>62.28</v>
          </cell>
        </row>
        <row r="3724">
          <cell r="A3724" t="str">
            <v>213402</v>
          </cell>
          <cell r="B3724" t="str">
            <v>Luva FD BB JE/JE2GS DN75/80 conforme NBR 7675</v>
          </cell>
          <cell r="C3724" t="str">
            <v>ud</v>
          </cell>
          <cell r="D3724">
            <v>0</v>
          </cell>
          <cell r="E3724">
            <v>95.16</v>
          </cell>
          <cell r="F3724">
            <v>95.16</v>
          </cell>
        </row>
        <row r="3725">
          <cell r="A3725" t="str">
            <v>213403</v>
          </cell>
          <cell r="B3725" t="str">
            <v>Luva FD BB JE/JE2GS DN100 conforme NBR 7675</v>
          </cell>
          <cell r="C3725" t="str">
            <v>ud</v>
          </cell>
          <cell r="D3725">
            <v>0</v>
          </cell>
          <cell r="E3725">
            <v>110.72</v>
          </cell>
          <cell r="F3725">
            <v>110.72</v>
          </cell>
        </row>
        <row r="3726">
          <cell r="A3726" t="str">
            <v>213404</v>
          </cell>
          <cell r="B3726" t="str">
            <v>Luva FD BB JE/JE2GS DN150 conforme NBR 7675</v>
          </cell>
          <cell r="C3726" t="str">
            <v>ud</v>
          </cell>
          <cell r="D3726">
            <v>0</v>
          </cell>
          <cell r="E3726">
            <v>179.89</v>
          </cell>
          <cell r="F3726">
            <v>179.89</v>
          </cell>
        </row>
        <row r="3727">
          <cell r="A3727" t="str">
            <v>213405</v>
          </cell>
          <cell r="B3727" t="str">
            <v>Luva FD BB JE/JE2GS DN200 conforme NBR 7675</v>
          </cell>
          <cell r="C3727" t="str">
            <v>ud</v>
          </cell>
          <cell r="D3727">
            <v>0</v>
          </cell>
          <cell r="E3727">
            <v>252.55</v>
          </cell>
          <cell r="F3727">
            <v>252.55</v>
          </cell>
        </row>
        <row r="3728">
          <cell r="A3728" t="str">
            <v>213406</v>
          </cell>
          <cell r="B3728" t="str">
            <v>Luva FD BB JE/JE2GS DN250 conforme NBR 7675</v>
          </cell>
          <cell r="C3728" t="str">
            <v>ud</v>
          </cell>
          <cell r="D3728">
            <v>0</v>
          </cell>
          <cell r="E3728">
            <v>363.28</v>
          </cell>
          <cell r="F3728">
            <v>363.28</v>
          </cell>
        </row>
        <row r="3729">
          <cell r="A3729" t="str">
            <v>213407</v>
          </cell>
          <cell r="B3729" t="str">
            <v>Luva FD BB JE/JE2GS DN300 conforme NBR 7675</v>
          </cell>
          <cell r="C3729" t="str">
            <v>ud</v>
          </cell>
          <cell r="D3729">
            <v>0</v>
          </cell>
          <cell r="E3729">
            <v>505.11</v>
          </cell>
          <cell r="F3729">
            <v>505.11</v>
          </cell>
        </row>
        <row r="3730">
          <cell r="A3730" t="str">
            <v>213408</v>
          </cell>
          <cell r="B3730" t="str">
            <v>Luva FD BB JE/JE2GS DN350 conforme NBR 7675</v>
          </cell>
          <cell r="C3730" t="str">
            <v>ud</v>
          </cell>
          <cell r="D3730">
            <v>0</v>
          </cell>
          <cell r="E3730">
            <v>664.24</v>
          </cell>
          <cell r="F3730">
            <v>664.24</v>
          </cell>
        </row>
        <row r="3731">
          <cell r="A3731" t="str">
            <v>213409</v>
          </cell>
          <cell r="B3731" t="str">
            <v>Luva FD BB JE/JE2GS DN400 conforme NBR 7675</v>
          </cell>
          <cell r="C3731" t="str">
            <v>ud</v>
          </cell>
          <cell r="D3731">
            <v>0</v>
          </cell>
          <cell r="E3731">
            <v>781.87</v>
          </cell>
          <cell r="F3731">
            <v>781.87</v>
          </cell>
        </row>
        <row r="3732">
          <cell r="A3732" t="str">
            <v>213410</v>
          </cell>
          <cell r="B3732" t="str">
            <v>Luva FD BB JE/JE2GS DN450 conforme NBR 7675</v>
          </cell>
          <cell r="C3732" t="str">
            <v>ud</v>
          </cell>
          <cell r="D3732">
            <v>0</v>
          </cell>
          <cell r="E3732">
            <v>909.88</v>
          </cell>
          <cell r="F3732">
            <v>909.88</v>
          </cell>
        </row>
        <row r="3733">
          <cell r="A3733" t="str">
            <v>213411</v>
          </cell>
          <cell r="B3733" t="str">
            <v>Luva FD BB JE/JE2GS DN500 conforme NBR 7675</v>
          </cell>
          <cell r="C3733" t="str">
            <v>ud</v>
          </cell>
          <cell r="D3733">
            <v>0</v>
          </cell>
          <cell r="E3733">
            <v>1169.33</v>
          </cell>
          <cell r="F3733">
            <v>1169.33</v>
          </cell>
        </row>
        <row r="3734">
          <cell r="A3734" t="str">
            <v>213412</v>
          </cell>
          <cell r="B3734" t="str">
            <v>Luva FD BB JE/JE2GS DN600 conforme NBR 7675</v>
          </cell>
          <cell r="C3734" t="str">
            <v>ud</v>
          </cell>
          <cell r="D3734">
            <v>0</v>
          </cell>
          <cell r="E3734">
            <v>1702.12</v>
          </cell>
          <cell r="F3734">
            <v>1702.12</v>
          </cell>
        </row>
        <row r="3735">
          <cell r="A3735" t="str">
            <v>213413</v>
          </cell>
          <cell r="B3735" t="str">
            <v>Luva FD BB JE/JE2GS DN700 conforme NBR 7675</v>
          </cell>
          <cell r="C3735" t="str">
            <v>ud</v>
          </cell>
          <cell r="D3735">
            <v>0</v>
          </cell>
        </row>
        <row r="3736">
          <cell r="A3736" t="str">
            <v>213414</v>
          </cell>
          <cell r="B3736" t="str">
            <v>Luva FD BB JE/JE2GS DN800 conforme NBR 7675</v>
          </cell>
          <cell r="C3736" t="str">
            <v>ud</v>
          </cell>
          <cell r="D3736">
            <v>0</v>
          </cell>
        </row>
        <row r="3737">
          <cell r="A3737" t="str">
            <v>213415</v>
          </cell>
          <cell r="B3737" t="str">
            <v>Luva FD BB JE/JE2GS DN900 conforme NBR 7675</v>
          </cell>
          <cell r="C3737" t="str">
            <v>ud</v>
          </cell>
          <cell r="D3737">
            <v>0</v>
          </cell>
        </row>
        <row r="3738">
          <cell r="A3738" t="str">
            <v>213416</v>
          </cell>
          <cell r="B3738" t="str">
            <v>Luva FD BB JE/JE2GS DN1000 conforme NBR 7675</v>
          </cell>
          <cell r="C3738" t="str">
            <v>ud</v>
          </cell>
          <cell r="D3738">
            <v>0</v>
          </cell>
        </row>
        <row r="3739">
          <cell r="A3739" t="str">
            <v>213417</v>
          </cell>
          <cell r="B3739" t="str">
            <v>Luva FD BB JE/JE2GS DN1100 conforme NBR 7675</v>
          </cell>
          <cell r="C3739" t="str">
            <v>ud</v>
          </cell>
          <cell r="D3739">
            <v>0</v>
          </cell>
        </row>
        <row r="3740">
          <cell r="A3740" t="str">
            <v>213418</v>
          </cell>
          <cell r="B3740" t="str">
            <v>Luva FD BB JE/JE2GS DN1200 conforme NBR 7675</v>
          </cell>
          <cell r="C3740" t="str">
            <v>ud</v>
          </cell>
          <cell r="D3740">
            <v>0</v>
          </cell>
        </row>
        <row r="3741">
          <cell r="A3741" t="str">
            <v>213419</v>
          </cell>
          <cell r="B3741" t="str">
            <v>Luva de correr FD JE DN   50  (7536)</v>
          </cell>
          <cell r="C3741" t="str">
            <v>ud</v>
          </cell>
          <cell r="D3741">
            <v>0</v>
          </cell>
          <cell r="E3741">
            <v>62.28</v>
          </cell>
          <cell r="F3741">
            <v>62.28</v>
          </cell>
        </row>
        <row r="3742">
          <cell r="A3742" t="str">
            <v>213420</v>
          </cell>
          <cell r="B3742" t="str">
            <v>Luva de correr FD JE DN   60 (7773)</v>
          </cell>
          <cell r="C3742" t="str">
            <v>ud</v>
          </cell>
          <cell r="D3742">
            <v>0</v>
          </cell>
          <cell r="E3742">
            <v>76.11</v>
          </cell>
          <cell r="F3742">
            <v>76.11</v>
          </cell>
        </row>
        <row r="3743">
          <cell r="A3743" t="str">
            <v>213421</v>
          </cell>
          <cell r="B3743" t="str">
            <v>Luva de correr FD JE DN   75/80 (7560)</v>
          </cell>
          <cell r="C3743" t="str">
            <v>ud</v>
          </cell>
          <cell r="D3743">
            <v>0</v>
          </cell>
          <cell r="E3743">
            <v>95.16</v>
          </cell>
          <cell r="F3743">
            <v>95.16</v>
          </cell>
        </row>
        <row r="3744">
          <cell r="A3744" t="str">
            <v>213422</v>
          </cell>
          <cell r="B3744" t="str">
            <v>Luva de correr FD JE DN  100 (7587)</v>
          </cell>
          <cell r="C3744" t="str">
            <v>ud</v>
          </cell>
          <cell r="D3744">
            <v>0</v>
          </cell>
          <cell r="E3744">
            <v>110.72</v>
          </cell>
          <cell r="F3744">
            <v>110.72</v>
          </cell>
        </row>
        <row r="3745">
          <cell r="A3745" t="str">
            <v>213423</v>
          </cell>
          <cell r="B3745" t="str">
            <v>Luva de correr FD JE DN  150 (7617)</v>
          </cell>
          <cell r="C3745" t="str">
            <v>ud</v>
          </cell>
          <cell r="D3745">
            <v>0</v>
          </cell>
          <cell r="E3745">
            <v>179.89</v>
          </cell>
          <cell r="F3745">
            <v>179.89</v>
          </cell>
        </row>
        <row r="3746">
          <cell r="A3746" t="str">
            <v>213424</v>
          </cell>
          <cell r="B3746" t="str">
            <v>Luva de correr FD JE DN  200 (7633)</v>
          </cell>
          <cell r="C3746" t="str">
            <v>ud</v>
          </cell>
          <cell r="D3746">
            <v>0</v>
          </cell>
          <cell r="E3746">
            <v>252.55</v>
          </cell>
          <cell r="F3746">
            <v>252.55</v>
          </cell>
        </row>
        <row r="3747">
          <cell r="A3747" t="str">
            <v>213425</v>
          </cell>
          <cell r="B3747" t="str">
            <v>Luva de correr FD JE DN  250 (77801)</v>
          </cell>
          <cell r="C3747" t="str">
            <v>ud</v>
          </cell>
          <cell r="D3747">
            <v>0</v>
          </cell>
          <cell r="E3747">
            <v>363.28</v>
          </cell>
          <cell r="F3747">
            <v>363.28</v>
          </cell>
        </row>
        <row r="3748">
          <cell r="A3748" t="str">
            <v>213426</v>
          </cell>
          <cell r="B3748" t="str">
            <v>Luva de correr FD JE DN  300 (77666)</v>
          </cell>
          <cell r="C3748" t="str">
            <v>ud</v>
          </cell>
          <cell r="D3748">
            <v>0</v>
          </cell>
          <cell r="E3748">
            <v>505.11</v>
          </cell>
          <cell r="F3748">
            <v>505.11</v>
          </cell>
        </row>
        <row r="3749">
          <cell r="A3749" t="str">
            <v>213427</v>
          </cell>
          <cell r="B3749" t="str">
            <v>Luva de correr FD JE DN  350 (84395)</v>
          </cell>
          <cell r="C3749" t="str">
            <v>ud</v>
          </cell>
          <cell r="D3749">
            <v>0</v>
          </cell>
          <cell r="E3749">
            <v>664.24</v>
          </cell>
          <cell r="F3749">
            <v>664.24</v>
          </cell>
        </row>
        <row r="3750">
          <cell r="A3750" t="str">
            <v>213428</v>
          </cell>
          <cell r="B3750" t="str">
            <v>Luva de correr FD JE DN  400 (87181)</v>
          </cell>
          <cell r="C3750" t="str">
            <v>ud</v>
          </cell>
          <cell r="D3750">
            <v>0</v>
          </cell>
          <cell r="E3750">
            <v>781.87</v>
          </cell>
          <cell r="F3750">
            <v>781.87</v>
          </cell>
        </row>
        <row r="3751">
          <cell r="A3751" t="str">
            <v>213429</v>
          </cell>
          <cell r="B3751" t="str">
            <v>Luva de correr FD JE DN  450 (94307)</v>
          </cell>
          <cell r="C3751" t="str">
            <v>ud</v>
          </cell>
          <cell r="D3751">
            <v>0</v>
          </cell>
          <cell r="E3751">
            <v>909.88</v>
          </cell>
          <cell r="F3751">
            <v>909.88</v>
          </cell>
        </row>
        <row r="3752">
          <cell r="A3752" t="str">
            <v>213430</v>
          </cell>
          <cell r="B3752" t="str">
            <v>Luva de correr FD JE DN  500 (87190)</v>
          </cell>
          <cell r="C3752" t="str">
            <v>ud</v>
          </cell>
          <cell r="D3752">
            <v>0</v>
          </cell>
          <cell r="E3752">
            <v>1169.33</v>
          </cell>
          <cell r="F3752">
            <v>1169.33</v>
          </cell>
        </row>
        <row r="3753">
          <cell r="A3753" t="str">
            <v>213431</v>
          </cell>
          <cell r="B3753" t="str">
            <v>Luva de correr FD JE DN  600 (87203)</v>
          </cell>
          <cell r="C3753" t="str">
            <v>ud</v>
          </cell>
          <cell r="D3753">
            <v>0</v>
          </cell>
          <cell r="E3753">
            <v>1702.12</v>
          </cell>
          <cell r="F3753">
            <v>1702.12</v>
          </cell>
        </row>
        <row r="3754">
          <cell r="A3754" t="str">
            <v>213432</v>
          </cell>
          <cell r="B3754" t="str">
            <v>Luva de correr FD JE DN  700 (198099)</v>
          </cell>
          <cell r="C3754" t="str">
            <v>ud</v>
          </cell>
          <cell r="D3754">
            <v>0</v>
          </cell>
        </row>
        <row r="3755">
          <cell r="A3755" t="str">
            <v>213433</v>
          </cell>
          <cell r="B3755" t="str">
            <v>Luva de correr FD JE DN  800 (198102)</v>
          </cell>
          <cell r="C3755" t="str">
            <v>ud</v>
          </cell>
          <cell r="D3755">
            <v>0</v>
          </cell>
        </row>
        <row r="3756">
          <cell r="A3756" t="str">
            <v>213434</v>
          </cell>
          <cell r="B3756" t="str">
            <v>Luva de correr FD JE DN  900 (198110)</v>
          </cell>
          <cell r="C3756" t="str">
            <v>ud</v>
          </cell>
          <cell r="D3756">
            <v>0</v>
          </cell>
        </row>
        <row r="3757">
          <cell r="A3757" t="str">
            <v>213435</v>
          </cell>
          <cell r="B3757" t="str">
            <v xml:space="preserve">Luva de correr FD JE DN 1000 </v>
          </cell>
          <cell r="C3757" t="str">
            <v>ud</v>
          </cell>
          <cell r="D3757">
            <v>0</v>
          </cell>
        </row>
        <row r="3758">
          <cell r="A3758" t="str">
            <v>213436</v>
          </cell>
          <cell r="B3758" t="str">
            <v xml:space="preserve">Luva de correr FD JE DN 1100 </v>
          </cell>
          <cell r="C3758" t="str">
            <v>ud</v>
          </cell>
          <cell r="D3758">
            <v>0</v>
          </cell>
        </row>
        <row r="3759">
          <cell r="A3759" t="str">
            <v>213437</v>
          </cell>
          <cell r="B3759" t="str">
            <v xml:space="preserve">Luva de correr FD JE DN 1200 </v>
          </cell>
          <cell r="C3759" t="str">
            <v>ud</v>
          </cell>
          <cell r="D3759">
            <v>0</v>
          </cell>
        </row>
        <row r="3760">
          <cell r="A3760" t="str">
            <v>213438</v>
          </cell>
          <cell r="B3760" t="str">
            <v>Luva de correr FD BB/JM DN 50 conforme NBR 7677 (138894)</v>
          </cell>
          <cell r="C3760" t="str">
            <v>ud</v>
          </cell>
          <cell r="D3760">
            <v>0</v>
          </cell>
          <cell r="E3760">
            <v>207.6</v>
          </cell>
          <cell r="F3760">
            <v>207.6</v>
          </cell>
        </row>
        <row r="3761">
          <cell r="A3761" t="str">
            <v>213439</v>
          </cell>
          <cell r="B3761" t="str">
            <v>Luva de correr FD BB/JM DN 75/80 conforme NBR 7677 (138908)</v>
          </cell>
          <cell r="C3761" t="str">
            <v>ud</v>
          </cell>
          <cell r="D3761">
            <v>0</v>
          </cell>
          <cell r="E3761">
            <v>235.27</v>
          </cell>
          <cell r="F3761">
            <v>235.27</v>
          </cell>
        </row>
        <row r="3762">
          <cell r="A3762" t="str">
            <v>213440</v>
          </cell>
          <cell r="B3762" t="str">
            <v>Luva de correr FD BB/JM DN 100 conforme NBR 7677 (138916)</v>
          </cell>
          <cell r="C3762" t="str">
            <v>ud</v>
          </cell>
          <cell r="D3762">
            <v>0</v>
          </cell>
          <cell r="E3762">
            <v>287.14999999999998</v>
          </cell>
          <cell r="F3762">
            <v>287.14999999999998</v>
          </cell>
        </row>
        <row r="3763">
          <cell r="A3763" t="str">
            <v>213441</v>
          </cell>
          <cell r="B3763" t="str">
            <v>Luva de correr FD BB/JM DN 150 conforme NBR 7677 (99279)</v>
          </cell>
          <cell r="C3763" t="str">
            <v>ud</v>
          </cell>
          <cell r="D3763">
            <v>0</v>
          </cell>
          <cell r="E3763">
            <v>408.25</v>
          </cell>
          <cell r="F3763">
            <v>408.25</v>
          </cell>
        </row>
        <row r="3764">
          <cell r="A3764" t="str">
            <v>213442</v>
          </cell>
          <cell r="B3764" t="str">
            <v>Luva de correr FD BB/JM DN 200 conforme NBR 7677 (80861)</v>
          </cell>
          <cell r="C3764" t="str">
            <v>ud</v>
          </cell>
          <cell r="D3764">
            <v>0</v>
          </cell>
          <cell r="E3764">
            <v>525.84</v>
          </cell>
          <cell r="F3764">
            <v>525.84</v>
          </cell>
        </row>
        <row r="3765">
          <cell r="A3765" t="str">
            <v>213443</v>
          </cell>
          <cell r="B3765" t="str">
            <v>Luva de correr FD BB/JM DN 250 conforme NBR 7677 (7650)</v>
          </cell>
          <cell r="C3765" t="str">
            <v>ud</v>
          </cell>
          <cell r="D3765">
            <v>0</v>
          </cell>
          <cell r="E3765">
            <v>684.98</v>
          </cell>
          <cell r="F3765">
            <v>684.98</v>
          </cell>
        </row>
        <row r="3766">
          <cell r="A3766" t="str">
            <v>213444</v>
          </cell>
          <cell r="B3766" t="str">
            <v>Luva de correr FD BB/JM DN 300 conforme NBR 7677 (7684)</v>
          </cell>
          <cell r="C3766" t="str">
            <v>ud</v>
          </cell>
          <cell r="D3766">
            <v>0</v>
          </cell>
          <cell r="E3766">
            <v>996.37</v>
          </cell>
          <cell r="F3766">
            <v>996.37</v>
          </cell>
        </row>
        <row r="3767">
          <cell r="A3767" t="str">
            <v>213445</v>
          </cell>
          <cell r="B3767" t="str">
            <v>Luva de correr FD BB/JM DN 350 conforme NBR 7677 (7706)</v>
          </cell>
          <cell r="C3767" t="str">
            <v>ud</v>
          </cell>
          <cell r="D3767">
            <v>0</v>
          </cell>
          <cell r="E3767">
            <v>1269.6600000000001</v>
          </cell>
          <cell r="F3767">
            <v>1269.6600000000001</v>
          </cell>
        </row>
        <row r="3768">
          <cell r="A3768" t="str">
            <v>213446</v>
          </cell>
          <cell r="B3768" t="str">
            <v>Luva de correr FD BB/JM DN 400 conforme NBR 7677 (7714)</v>
          </cell>
          <cell r="C3768" t="str">
            <v>ud</v>
          </cell>
          <cell r="D3768">
            <v>0</v>
          </cell>
          <cell r="E3768">
            <v>1646.78</v>
          </cell>
          <cell r="F3768">
            <v>1646.78</v>
          </cell>
        </row>
        <row r="3769">
          <cell r="A3769" t="str">
            <v>213447</v>
          </cell>
          <cell r="B3769" t="str">
            <v>Luva de correr FD BB/JM DN 450 conforme NBR 7677 (7722)</v>
          </cell>
          <cell r="C3769" t="str">
            <v>ud</v>
          </cell>
          <cell r="D3769">
            <v>0</v>
          </cell>
          <cell r="E3769">
            <v>2034.25</v>
          </cell>
          <cell r="F3769">
            <v>2034.25</v>
          </cell>
        </row>
        <row r="3770">
          <cell r="A3770" t="str">
            <v>213448</v>
          </cell>
          <cell r="B3770" t="str">
            <v>Luva de correr FD BB/JM DN 500 conforme NBR 7677 (8079)</v>
          </cell>
          <cell r="C3770" t="str">
            <v>ud</v>
          </cell>
          <cell r="D3770">
            <v>0</v>
          </cell>
          <cell r="E3770">
            <v>2414.7800000000002</v>
          </cell>
          <cell r="F3770">
            <v>2414.7800000000002</v>
          </cell>
        </row>
        <row r="3771">
          <cell r="A3771" t="str">
            <v>213449</v>
          </cell>
          <cell r="B3771" t="str">
            <v>Luva de correr FD BB/JM DN 600 conforme NBR 7677 (8087)</v>
          </cell>
          <cell r="C3771" t="str">
            <v>ud</v>
          </cell>
          <cell r="D3771">
            <v>0</v>
          </cell>
          <cell r="E3771">
            <v>3757.13</v>
          </cell>
          <cell r="F3771">
            <v>3757.13</v>
          </cell>
        </row>
        <row r="3772">
          <cell r="A3772" t="str">
            <v>213450</v>
          </cell>
          <cell r="B3772" t="str">
            <v>Luva de correr FD BB/JM DN 700 conforme NBR 7677 (7749)</v>
          </cell>
          <cell r="C3772" t="str">
            <v>ud</v>
          </cell>
          <cell r="D3772">
            <v>0</v>
          </cell>
          <cell r="E3772">
            <v>5016.43</v>
          </cell>
          <cell r="F3772">
            <v>5016.43</v>
          </cell>
        </row>
        <row r="3773">
          <cell r="A3773" t="str">
            <v>213451</v>
          </cell>
          <cell r="B3773" t="str">
            <v>Luva de correr FD BB/JM DN 800 conforme NBR 7677 (7951)</v>
          </cell>
          <cell r="C3773" t="str">
            <v>ud</v>
          </cell>
          <cell r="D3773">
            <v>0</v>
          </cell>
          <cell r="E3773">
            <v>6504.04</v>
          </cell>
          <cell r="F3773">
            <v>6504.04</v>
          </cell>
        </row>
        <row r="3774">
          <cell r="A3774" t="str">
            <v>213452</v>
          </cell>
          <cell r="B3774" t="str">
            <v>Luva de correr FD BB/JM DN 900 conforme NBR 7677 (132560)</v>
          </cell>
          <cell r="C3774" t="str">
            <v>ud</v>
          </cell>
          <cell r="D3774">
            <v>0</v>
          </cell>
        </row>
        <row r="3775">
          <cell r="A3775" t="str">
            <v>213453</v>
          </cell>
          <cell r="B3775" t="str">
            <v>Luva de correr FD BB/JM DN 1000 conforme NBR 7677 (280852)</v>
          </cell>
          <cell r="C3775" t="str">
            <v>ud</v>
          </cell>
          <cell r="D3775">
            <v>0</v>
          </cell>
        </row>
        <row r="3776">
          <cell r="A3776" t="str">
            <v>213454</v>
          </cell>
          <cell r="B3776" t="str">
            <v>Luva de correr FD BB/JM DN 1100 conforme NBR 7677</v>
          </cell>
          <cell r="C3776" t="str">
            <v>ud</v>
          </cell>
          <cell r="D3776">
            <v>0</v>
          </cell>
        </row>
        <row r="3777">
          <cell r="A3777" t="str">
            <v>213455</v>
          </cell>
          <cell r="B3777" t="str">
            <v>Luva de correr FD BB/JM DN 1200 conforme NBR 7677 (280860)</v>
          </cell>
          <cell r="C3777" t="str">
            <v>ud</v>
          </cell>
          <cell r="D3777">
            <v>0</v>
          </cell>
          <cell r="E3777">
            <v>16675.22</v>
          </cell>
          <cell r="F3777">
            <v>16675.22</v>
          </cell>
        </row>
        <row r="3778">
          <cell r="A3778" t="str">
            <v>213456</v>
          </cell>
          <cell r="B3778" t="str">
            <v>Luva para haste FD diametro 1.1/8"</v>
          </cell>
          <cell r="C3778" t="str">
            <v>ud</v>
          </cell>
          <cell r="D3778">
            <v>0</v>
          </cell>
          <cell r="E3778">
            <v>56.39</v>
          </cell>
          <cell r="F3778">
            <v>56.39</v>
          </cell>
        </row>
        <row r="3779">
          <cell r="A3779" t="str">
            <v>213457</v>
          </cell>
          <cell r="B3779" t="str">
            <v>Luva para haste FD diametro 1.3/4"</v>
          </cell>
          <cell r="C3779" t="str">
            <v>ud</v>
          </cell>
          <cell r="D3779">
            <v>0</v>
          </cell>
          <cell r="E3779">
            <v>75.11</v>
          </cell>
          <cell r="F3779">
            <v>75.11</v>
          </cell>
        </row>
        <row r="3780">
          <cell r="A3780" t="str">
            <v>213458</v>
          </cell>
          <cell r="B3780" t="str">
            <v>Luva para haste FD diametro 2"</v>
          </cell>
          <cell r="C3780" t="str">
            <v>ud</v>
          </cell>
          <cell r="D3780">
            <v>0</v>
          </cell>
          <cell r="E3780">
            <v>98.6</v>
          </cell>
          <cell r="F3780">
            <v>98.6</v>
          </cell>
        </row>
        <row r="3781">
          <cell r="A3781" t="str">
            <v>213459</v>
          </cell>
          <cell r="B3781" t="str">
            <v>Luva para haste FD diametro 2.1/2"</v>
          </cell>
          <cell r="C3781" t="str">
            <v>ud</v>
          </cell>
          <cell r="D3781">
            <v>0</v>
          </cell>
          <cell r="E3781">
            <v>103.12</v>
          </cell>
          <cell r="F3781">
            <v>103.12</v>
          </cell>
        </row>
        <row r="3782">
          <cell r="A3782" t="str">
            <v>2135</v>
          </cell>
          <cell r="B3782" t="str">
            <v>MANCAL INTERMEDIÁRIO P/ HASTE DE PROLONGAMENTO</v>
          </cell>
        </row>
        <row r="3783">
          <cell r="A3783" t="str">
            <v>213501</v>
          </cell>
          <cell r="B3783" t="str">
            <v>Mancal intermediario para haste diametro 1.1/8"</v>
          </cell>
          <cell r="C3783" t="str">
            <v>ud</v>
          </cell>
          <cell r="D3783">
            <v>0</v>
          </cell>
          <cell r="E3783">
            <v>187.59</v>
          </cell>
          <cell r="F3783">
            <v>187.59</v>
          </cell>
        </row>
        <row r="3784">
          <cell r="A3784" t="str">
            <v>213502</v>
          </cell>
          <cell r="B3784" t="str">
            <v>Mancal intermediario para haste diametro 1.3/4"</v>
          </cell>
          <cell r="C3784" t="str">
            <v>ud</v>
          </cell>
          <cell r="D3784">
            <v>0</v>
          </cell>
          <cell r="E3784">
            <v>211.02</v>
          </cell>
          <cell r="F3784">
            <v>211.02</v>
          </cell>
        </row>
        <row r="3785">
          <cell r="A3785" t="str">
            <v>213503</v>
          </cell>
          <cell r="B3785" t="str">
            <v>Mancal intermediario para haste diametro 2"</v>
          </cell>
          <cell r="C3785" t="str">
            <v>ud</v>
          </cell>
          <cell r="D3785">
            <v>0</v>
          </cell>
        </row>
        <row r="3786">
          <cell r="A3786" t="str">
            <v>213504</v>
          </cell>
          <cell r="B3786" t="str">
            <v>Mancal intermediario para haste diametro de 2.1/2"</v>
          </cell>
          <cell r="C3786" t="str">
            <v>ud</v>
          </cell>
          <cell r="D3786">
            <v>0</v>
          </cell>
        </row>
        <row r="3787">
          <cell r="A3787" t="str">
            <v>2136</v>
          </cell>
          <cell r="B3787" t="str">
            <v>PLACA DE REDUÇÃO FD</v>
          </cell>
        </row>
        <row r="3788">
          <cell r="A3788" t="str">
            <v>213601</v>
          </cell>
          <cell r="B3788" t="str">
            <v>Placa de redução FD PN-10 DN 100x50 conforme NBR 7675 (255386)</v>
          </cell>
          <cell r="C3788" t="str">
            <v>ud</v>
          </cell>
          <cell r="D3788">
            <v>0</v>
          </cell>
          <cell r="E3788">
            <v>124.55</v>
          </cell>
          <cell r="F3788">
            <v>124.55</v>
          </cell>
        </row>
        <row r="3789">
          <cell r="A3789" t="str">
            <v>213602</v>
          </cell>
          <cell r="B3789" t="str">
            <v>Placa de redução FD PN-10 DN 200x75/80 conforme NBR 7675</v>
          </cell>
          <cell r="C3789" t="str">
            <v>ud</v>
          </cell>
          <cell r="D3789">
            <v>0</v>
          </cell>
          <cell r="E3789">
            <v>243.83</v>
          </cell>
          <cell r="F3789">
            <v>243.83</v>
          </cell>
        </row>
        <row r="3790">
          <cell r="A3790" t="str">
            <v>213603</v>
          </cell>
          <cell r="B3790" t="str">
            <v>Placa de redução FD PN-10 DN 200x100 conforme NBR 7675 (40088)</v>
          </cell>
          <cell r="C3790" t="str">
            <v>ud</v>
          </cell>
          <cell r="D3790">
            <v>0</v>
          </cell>
          <cell r="E3790">
            <v>251.5</v>
          </cell>
          <cell r="F3790">
            <v>251.5</v>
          </cell>
        </row>
        <row r="3791">
          <cell r="A3791" t="str">
            <v>213604</v>
          </cell>
          <cell r="B3791" t="str">
            <v>Placa de redução FD PN-10 DN 250x200 conforme NBR 7675</v>
          </cell>
          <cell r="C3791" t="str">
            <v>ud</v>
          </cell>
          <cell r="D3791">
            <v>0</v>
          </cell>
          <cell r="E3791">
            <v>600.13</v>
          </cell>
          <cell r="F3791">
            <v>600.13</v>
          </cell>
        </row>
        <row r="3792">
          <cell r="A3792" t="str">
            <v>213605</v>
          </cell>
          <cell r="B3792" t="str">
            <v>Placa de redução FD PN-10 DN 350x150 conforme NBR 7675</v>
          </cell>
          <cell r="C3792" t="str">
            <v>ud</v>
          </cell>
          <cell r="D3792">
            <v>0</v>
          </cell>
          <cell r="E3792">
            <v>622.95000000000005</v>
          </cell>
          <cell r="F3792">
            <v>622.95000000000005</v>
          </cell>
        </row>
        <row r="3793">
          <cell r="A3793" t="str">
            <v>213606</v>
          </cell>
          <cell r="B3793" t="str">
            <v>Placa de redução FD PN-10 DN 350x250 conforme NBR 7675</v>
          </cell>
          <cell r="C3793" t="str">
            <v>ud</v>
          </cell>
          <cell r="D3793">
            <v>0</v>
          </cell>
          <cell r="E3793">
            <v>572.04</v>
          </cell>
          <cell r="F3793">
            <v>572.04</v>
          </cell>
        </row>
        <row r="3794">
          <cell r="A3794" t="str">
            <v>213607</v>
          </cell>
          <cell r="B3794" t="str">
            <v>Placa de redução FD PN-10 DN 400x150 conforme NBR 7675 (83437)</v>
          </cell>
          <cell r="C3794" t="str">
            <v>ud</v>
          </cell>
          <cell r="D3794">
            <v>0</v>
          </cell>
        </row>
        <row r="3795">
          <cell r="A3795" t="str">
            <v>213608</v>
          </cell>
          <cell r="B3795" t="str">
            <v>Placa de redução FD PN-10 DN 400x200 conforme NBR 7675</v>
          </cell>
          <cell r="C3795" t="str">
            <v>ud</v>
          </cell>
          <cell r="D3795">
            <v>0</v>
          </cell>
        </row>
        <row r="3796">
          <cell r="A3796" t="str">
            <v>213609</v>
          </cell>
          <cell r="B3796" t="str">
            <v>Placa de redução FD PN-10 DN 400x250 conforme NBR 7675</v>
          </cell>
          <cell r="C3796" t="str">
            <v>ud</v>
          </cell>
          <cell r="D3796">
            <v>0</v>
          </cell>
        </row>
        <row r="3797">
          <cell r="A3797" t="str">
            <v>213610</v>
          </cell>
          <cell r="B3797" t="str">
            <v>Placa de redução FD PN-10 DN 400x300 conforme NBR 7675</v>
          </cell>
          <cell r="C3797" t="str">
            <v>ud</v>
          </cell>
          <cell r="D3797">
            <v>0</v>
          </cell>
        </row>
        <row r="3798">
          <cell r="A3798" t="str">
            <v>213611</v>
          </cell>
          <cell r="B3798" t="str">
            <v>Placa de redução FD PN-10 DN 400x350 conforme NBR 7675</v>
          </cell>
          <cell r="C3798" t="str">
            <v>ud</v>
          </cell>
          <cell r="D3798">
            <v>0</v>
          </cell>
        </row>
        <row r="3799">
          <cell r="A3799" t="str">
            <v>213612</v>
          </cell>
          <cell r="B3799" t="str">
            <v>Placa de redução FD PN-10 DN 500x350 conforme NBR 7675</v>
          </cell>
          <cell r="C3799" t="str">
            <v>ud</v>
          </cell>
          <cell r="D3799">
            <v>0</v>
          </cell>
        </row>
        <row r="3800">
          <cell r="A3800" t="str">
            <v>213613</v>
          </cell>
          <cell r="B3800" t="str">
            <v>Placa de redução FD PN-10 DN 500x400 conforme NBR 7675</v>
          </cell>
          <cell r="C3800" t="str">
            <v>ud</v>
          </cell>
          <cell r="D3800">
            <v>0</v>
          </cell>
        </row>
        <row r="3801">
          <cell r="A3801" t="str">
            <v>213614</v>
          </cell>
          <cell r="B3801" t="str">
            <v>Placa de redução FD PN-10 DN 600x150 conforme NBR 7675</v>
          </cell>
          <cell r="C3801" t="str">
            <v>ud</v>
          </cell>
          <cell r="D3801">
            <v>0</v>
          </cell>
        </row>
        <row r="3802">
          <cell r="A3802" t="str">
            <v>213615</v>
          </cell>
          <cell r="B3802" t="str">
            <v>Placa de redução FD PN-10 DN 600x450 conforme NBR 7675</v>
          </cell>
          <cell r="C3802" t="str">
            <v>ud</v>
          </cell>
          <cell r="D3802">
            <v>0</v>
          </cell>
        </row>
        <row r="3803">
          <cell r="A3803" t="str">
            <v>213616</v>
          </cell>
          <cell r="B3803" t="str">
            <v>Placa de redução FD PN-10 DN 700x500 conforme NBR 7675</v>
          </cell>
          <cell r="C3803" t="str">
            <v>ud</v>
          </cell>
          <cell r="D3803">
            <v>0</v>
          </cell>
        </row>
        <row r="3804">
          <cell r="A3804" t="str">
            <v>213617</v>
          </cell>
          <cell r="B3804" t="str">
            <v>Placa de redução FD PN-10 DN 900x700 conforme NBR 7675</v>
          </cell>
          <cell r="C3804" t="str">
            <v>ud</v>
          </cell>
          <cell r="D3804">
            <v>0</v>
          </cell>
        </row>
        <row r="3805">
          <cell r="A3805" t="str">
            <v>213618</v>
          </cell>
          <cell r="B3805" t="str">
            <v>Placa de redução FD PN-10 DN 1000x700 conforme NBR 7675</v>
          </cell>
          <cell r="C3805" t="str">
            <v>ud</v>
          </cell>
          <cell r="D3805">
            <v>0</v>
          </cell>
        </row>
        <row r="3806">
          <cell r="A3806" t="str">
            <v>213619</v>
          </cell>
          <cell r="B3806" t="str">
            <v>Placa de redução FD PN-10 DN 1000x800 conforme NBR 7675</v>
          </cell>
          <cell r="C3806" t="str">
            <v>ud</v>
          </cell>
          <cell r="D3806">
            <v>0</v>
          </cell>
        </row>
        <row r="3807">
          <cell r="A3807" t="str">
            <v>213620</v>
          </cell>
          <cell r="B3807" t="str">
            <v>Placa de redução FD PN-16 DN 100x50 conforme NBR 7675 (255386)</v>
          </cell>
          <cell r="C3807" t="str">
            <v>ud</v>
          </cell>
          <cell r="D3807">
            <v>0</v>
          </cell>
          <cell r="E3807">
            <v>124.55</v>
          </cell>
          <cell r="F3807">
            <v>124.55</v>
          </cell>
        </row>
        <row r="3808">
          <cell r="A3808" t="str">
            <v>213621</v>
          </cell>
          <cell r="B3808" t="str">
            <v>Placa de redução FD PN-16 DN 200x75/80 conforme NBR 7675 (282713)</v>
          </cell>
          <cell r="C3808" t="str">
            <v>ud</v>
          </cell>
          <cell r="D3808">
            <v>0</v>
          </cell>
          <cell r="E3808">
            <v>243.83</v>
          </cell>
          <cell r="F3808">
            <v>243.83</v>
          </cell>
        </row>
        <row r="3809">
          <cell r="A3809" t="str">
            <v>213622</v>
          </cell>
          <cell r="B3809" t="str">
            <v>Placa de redução FD PN-16 DN 200x100 conforme NBR 7675 (260150)</v>
          </cell>
          <cell r="C3809" t="str">
            <v>ud</v>
          </cell>
          <cell r="D3809">
            <v>0</v>
          </cell>
          <cell r="E3809">
            <v>251.5</v>
          </cell>
          <cell r="F3809">
            <v>251.5</v>
          </cell>
        </row>
        <row r="3810">
          <cell r="A3810" t="str">
            <v>213623</v>
          </cell>
          <cell r="B3810" t="str">
            <v>Placa de redução FD PN-16 DN 250x200 conforme NBR 7675</v>
          </cell>
          <cell r="C3810" t="str">
            <v>ud</v>
          </cell>
          <cell r="D3810">
            <v>0</v>
          </cell>
          <cell r="E3810">
            <v>618.07000000000005</v>
          </cell>
          <cell r="F3810">
            <v>618.07000000000005</v>
          </cell>
        </row>
        <row r="3811">
          <cell r="A3811" t="str">
            <v>213624</v>
          </cell>
          <cell r="B3811" t="str">
            <v>Placa de redução FD PN-16 DN 350x150 conforme NBR 7675</v>
          </cell>
          <cell r="C3811" t="str">
            <v>ud</v>
          </cell>
          <cell r="D3811">
            <v>0</v>
          </cell>
          <cell r="E3811">
            <v>622.95000000000005</v>
          </cell>
          <cell r="F3811">
            <v>622.95000000000005</v>
          </cell>
        </row>
        <row r="3812">
          <cell r="A3812" t="str">
            <v>213625</v>
          </cell>
          <cell r="B3812" t="str">
            <v>Placa de redução FD PN-16 DN 350x250 conforme NBR 7675</v>
          </cell>
          <cell r="C3812" t="str">
            <v>ud</v>
          </cell>
          <cell r="D3812">
            <v>0</v>
          </cell>
          <cell r="E3812">
            <v>572.04</v>
          </cell>
          <cell r="F3812">
            <v>572.04</v>
          </cell>
        </row>
        <row r="3813">
          <cell r="A3813" t="str">
            <v>213626</v>
          </cell>
          <cell r="B3813" t="str">
            <v>Placa de redução FD PN-16 DN 400x150 conforme NBR 7675 (285602)</v>
          </cell>
          <cell r="C3813" t="str">
            <v>ud</v>
          </cell>
          <cell r="D3813">
            <v>0</v>
          </cell>
        </row>
        <row r="3814">
          <cell r="A3814" t="str">
            <v>213627</v>
          </cell>
          <cell r="B3814" t="str">
            <v>Placa de redução FD PN-16 DN 400x200 conforme NBR 7675</v>
          </cell>
          <cell r="C3814" t="str">
            <v>ud</v>
          </cell>
          <cell r="D3814">
            <v>0</v>
          </cell>
        </row>
        <row r="3815">
          <cell r="A3815" t="str">
            <v>213628</v>
          </cell>
          <cell r="B3815" t="str">
            <v>Placa de redução FD PN-16 DN 400x250 conforme NBR 7675</v>
          </cell>
          <cell r="C3815" t="str">
            <v>ud</v>
          </cell>
          <cell r="D3815">
            <v>0</v>
          </cell>
        </row>
        <row r="3816">
          <cell r="A3816" t="str">
            <v>213629</v>
          </cell>
          <cell r="B3816" t="str">
            <v>Placa de redução FD PN-16 DN 400x300 conforme NBR 7675</v>
          </cell>
          <cell r="C3816" t="str">
            <v>ud</v>
          </cell>
          <cell r="D3816">
            <v>0</v>
          </cell>
        </row>
        <row r="3817">
          <cell r="A3817" t="str">
            <v>213630</v>
          </cell>
          <cell r="B3817" t="str">
            <v>Placa de redução FD PN-16 DN 400x350 conforme NBR 7675</v>
          </cell>
          <cell r="C3817" t="str">
            <v>ud</v>
          </cell>
          <cell r="D3817">
            <v>0</v>
          </cell>
        </row>
        <row r="3818">
          <cell r="A3818" t="str">
            <v>213631</v>
          </cell>
          <cell r="B3818" t="str">
            <v>Placa de redução FD PN-16 DN 500x350 conforme NBR 7675</v>
          </cell>
          <cell r="C3818" t="str">
            <v>ud</v>
          </cell>
          <cell r="D3818">
            <v>0</v>
          </cell>
        </row>
        <row r="3819">
          <cell r="A3819" t="str">
            <v>213632</v>
          </cell>
          <cell r="B3819" t="str">
            <v>Placa de redução FD PN-16 DN 500x400 conforme NBR 7675</v>
          </cell>
          <cell r="C3819" t="str">
            <v>ud</v>
          </cell>
          <cell r="D3819">
            <v>0</v>
          </cell>
        </row>
        <row r="3820">
          <cell r="A3820" t="str">
            <v>213633</v>
          </cell>
          <cell r="B3820" t="str">
            <v>Placa de redução FD PN-16 DN 600x150 conforme NBR 7675</v>
          </cell>
          <cell r="C3820" t="str">
            <v>ud</v>
          </cell>
          <cell r="D3820">
            <v>0</v>
          </cell>
        </row>
        <row r="3821">
          <cell r="A3821" t="str">
            <v>213634</v>
          </cell>
          <cell r="B3821" t="str">
            <v>Placa de redução FD PN-16 DN 600x450 conforme NBR 7675</v>
          </cell>
          <cell r="C3821" t="str">
            <v>ud</v>
          </cell>
          <cell r="D3821">
            <v>0</v>
          </cell>
        </row>
        <row r="3822">
          <cell r="A3822" t="str">
            <v>213635</v>
          </cell>
          <cell r="B3822" t="str">
            <v>Placa de redução FD PN-16 DN 700x500 conforme NBR 7675</v>
          </cell>
          <cell r="C3822" t="str">
            <v>ud</v>
          </cell>
          <cell r="D3822">
            <v>0</v>
          </cell>
        </row>
        <row r="3823">
          <cell r="A3823" t="str">
            <v>213636</v>
          </cell>
          <cell r="B3823" t="str">
            <v>Placa de redução FD PN-16 DN 900x700 conforme NBR 7675</v>
          </cell>
          <cell r="C3823" t="str">
            <v>ud</v>
          </cell>
          <cell r="D3823">
            <v>0</v>
          </cell>
        </row>
        <row r="3824">
          <cell r="A3824" t="str">
            <v>213637</v>
          </cell>
          <cell r="B3824" t="str">
            <v>Placa de redução FD PN-16 DN 1000x700 conforme NBR 7675</v>
          </cell>
          <cell r="C3824" t="str">
            <v>ud</v>
          </cell>
          <cell r="D3824">
            <v>0</v>
          </cell>
        </row>
        <row r="3825">
          <cell r="A3825" t="str">
            <v>213638</v>
          </cell>
          <cell r="B3825" t="str">
            <v>Placa de redução FD PN-16 DN 1000x800 conforme NBR 7675</v>
          </cell>
          <cell r="C3825" t="str">
            <v>ud</v>
          </cell>
          <cell r="D3825">
            <v>0</v>
          </cell>
        </row>
        <row r="3826">
          <cell r="A3826" t="str">
            <v>213639</v>
          </cell>
          <cell r="B3826" t="str">
            <v>Placa de redução FD PN-25 DN 100x50 conforme NBR 7675</v>
          </cell>
          <cell r="C3826" t="str">
            <v>ud</v>
          </cell>
          <cell r="D3826">
            <v>0</v>
          </cell>
        </row>
        <row r="3827">
          <cell r="A3827" t="str">
            <v>213640</v>
          </cell>
          <cell r="B3827" t="str">
            <v>Placa de redução FD PN-25 DN 200x75/80 conforme NBR 7675</v>
          </cell>
          <cell r="C3827" t="str">
            <v>ud</v>
          </cell>
          <cell r="D3827">
            <v>0</v>
          </cell>
        </row>
        <row r="3828">
          <cell r="A3828" t="str">
            <v>213641</v>
          </cell>
          <cell r="B3828" t="str">
            <v>Placa de redução FD PN-25 DN 200x100 conforme NBR 7675</v>
          </cell>
          <cell r="C3828" t="str">
            <v>ud</v>
          </cell>
          <cell r="D3828">
            <v>0</v>
          </cell>
        </row>
        <row r="3829">
          <cell r="A3829" t="str">
            <v>213642</v>
          </cell>
          <cell r="B3829" t="str">
            <v>Placa de redução FD PN-25 DN 250x200 conforme NBR 7675</v>
          </cell>
          <cell r="C3829" t="str">
            <v>ud</v>
          </cell>
          <cell r="D3829">
            <v>0</v>
          </cell>
        </row>
        <row r="3830">
          <cell r="A3830" t="str">
            <v>213643</v>
          </cell>
          <cell r="B3830" t="str">
            <v>Placa de redução FD PN-25 DN 350x150 conforme NBR 7675</v>
          </cell>
          <cell r="C3830" t="str">
            <v>ud</v>
          </cell>
          <cell r="D3830">
            <v>0</v>
          </cell>
        </row>
        <row r="3831">
          <cell r="A3831" t="str">
            <v>213644</v>
          </cell>
          <cell r="B3831" t="str">
            <v>Placa de redução FD PN-25 DN 350x250 conforme NBR 7675</v>
          </cell>
          <cell r="C3831" t="str">
            <v>ud</v>
          </cell>
          <cell r="D3831">
            <v>0</v>
          </cell>
        </row>
        <row r="3832">
          <cell r="A3832" t="str">
            <v>213645</v>
          </cell>
          <cell r="B3832" t="str">
            <v>Placa de redução FD PN-25 DN 400x150 conforme NBR 7675</v>
          </cell>
          <cell r="C3832" t="str">
            <v>ud</v>
          </cell>
          <cell r="D3832">
            <v>0</v>
          </cell>
        </row>
        <row r="3833">
          <cell r="A3833" t="str">
            <v>213646</v>
          </cell>
          <cell r="B3833" t="str">
            <v>Placa de redução FD PN-25 DN 400x200 conforme NBR 7675</v>
          </cell>
          <cell r="C3833" t="str">
            <v>ud</v>
          </cell>
          <cell r="D3833">
            <v>0</v>
          </cell>
        </row>
        <row r="3834">
          <cell r="A3834" t="str">
            <v>213647</v>
          </cell>
          <cell r="B3834" t="str">
            <v>Placa de redução FD PN-25 DN 400x250 conforme NBR 7675</v>
          </cell>
          <cell r="C3834" t="str">
            <v>ud</v>
          </cell>
          <cell r="D3834">
            <v>0</v>
          </cell>
        </row>
        <row r="3835">
          <cell r="A3835" t="str">
            <v>213648</v>
          </cell>
          <cell r="B3835" t="str">
            <v>Placa de redução FD PN-25 DN 400x300 conforme NBR 7675</v>
          </cell>
          <cell r="C3835" t="str">
            <v>ud</v>
          </cell>
          <cell r="D3835">
            <v>0</v>
          </cell>
        </row>
        <row r="3836">
          <cell r="A3836" t="str">
            <v>213649</v>
          </cell>
          <cell r="B3836" t="str">
            <v>Placa de redução FD PN-25 DN 400x350 conforme NBR 7675</v>
          </cell>
          <cell r="C3836" t="str">
            <v>ud</v>
          </cell>
          <cell r="D3836">
            <v>0</v>
          </cell>
        </row>
        <row r="3837">
          <cell r="A3837" t="str">
            <v>213650</v>
          </cell>
          <cell r="B3837" t="str">
            <v>Placa de redução FD PN-25 DN 500x350 conforme NBR 7675</v>
          </cell>
          <cell r="C3837" t="str">
            <v>ud</v>
          </cell>
          <cell r="D3837">
            <v>0</v>
          </cell>
        </row>
        <row r="3838">
          <cell r="A3838" t="str">
            <v>213651</v>
          </cell>
          <cell r="B3838" t="str">
            <v>Placa de redução FD PN-25 DN 500x400 conforme NBR 7675</v>
          </cell>
          <cell r="C3838" t="str">
            <v>ud</v>
          </cell>
          <cell r="D3838">
            <v>0</v>
          </cell>
        </row>
        <row r="3839">
          <cell r="A3839" t="str">
            <v>213652</v>
          </cell>
          <cell r="B3839" t="str">
            <v>Placa de redução FD PN-25 DN 600x150 conforme NBR 7675</v>
          </cell>
          <cell r="C3839" t="str">
            <v>ud</v>
          </cell>
          <cell r="D3839">
            <v>0</v>
          </cell>
        </row>
        <row r="3840">
          <cell r="A3840" t="str">
            <v>213653</v>
          </cell>
          <cell r="B3840" t="str">
            <v>Placa de redução FD PN-25 DN 600x450 conforme NBR 7675</v>
          </cell>
          <cell r="C3840" t="str">
            <v>ud</v>
          </cell>
          <cell r="D3840">
            <v>0</v>
          </cell>
        </row>
        <row r="3841">
          <cell r="A3841" t="str">
            <v>213654</v>
          </cell>
          <cell r="B3841" t="str">
            <v>Placa de redução FD PN-25 DN 700x500 conforme NBR 7675</v>
          </cell>
          <cell r="C3841" t="str">
            <v>ud</v>
          </cell>
          <cell r="D3841">
            <v>0</v>
          </cell>
        </row>
        <row r="3842">
          <cell r="A3842" t="str">
            <v>213655</v>
          </cell>
          <cell r="B3842" t="str">
            <v>Placa de redução FD PN-25 DN 900x700 conforme NBR 7675</v>
          </cell>
          <cell r="C3842" t="str">
            <v>ud</v>
          </cell>
          <cell r="D3842">
            <v>0</v>
          </cell>
        </row>
        <row r="3843">
          <cell r="A3843" t="str">
            <v>213656</v>
          </cell>
          <cell r="B3843" t="str">
            <v>Placa de redução FD PN-25 DN 1000x700 conforme NBR 7675</v>
          </cell>
          <cell r="C3843" t="str">
            <v>ud</v>
          </cell>
          <cell r="D3843">
            <v>0</v>
          </cell>
        </row>
        <row r="3844">
          <cell r="A3844" t="str">
            <v>213657</v>
          </cell>
          <cell r="B3844" t="str">
            <v>Placa de redução FD PN-25 DN 1000x800 conforme NBR 7675</v>
          </cell>
          <cell r="C3844" t="str">
            <v>ud</v>
          </cell>
          <cell r="D3844">
            <v>0</v>
          </cell>
        </row>
        <row r="3845">
          <cell r="A3845" t="str">
            <v>2137</v>
          </cell>
          <cell r="B3845" t="str">
            <v>REDUÇÃO EXCÊNTRICA FD COM FLANGES</v>
          </cell>
        </row>
        <row r="3846">
          <cell r="A3846" t="str">
            <v>213701</v>
          </cell>
          <cell r="B3846" t="str">
            <v>Redução excentrica FD FF PN-10 DN 75/80x50 conforme NBR 7675</v>
          </cell>
          <cell r="C3846" t="str">
            <v>ud</v>
          </cell>
          <cell r="D3846">
            <v>0</v>
          </cell>
          <cell r="E3846">
            <v>131.47999999999999</v>
          </cell>
          <cell r="F3846">
            <v>131.47999999999999</v>
          </cell>
        </row>
        <row r="3847">
          <cell r="A3847" t="str">
            <v>213702</v>
          </cell>
          <cell r="B3847" t="str">
            <v>Redução excentrica FD FF PN-10 DN 100x50 conforme NBR 7675</v>
          </cell>
          <cell r="C3847" t="str">
            <v>ud</v>
          </cell>
          <cell r="D3847">
            <v>0</v>
          </cell>
          <cell r="E3847">
            <v>179.89</v>
          </cell>
          <cell r="F3847">
            <v>179.89</v>
          </cell>
        </row>
        <row r="3848">
          <cell r="A3848" t="str">
            <v>213703</v>
          </cell>
          <cell r="B3848" t="str">
            <v>Redução excentrica FD FF PN-10 DN 100x75/80 conforme NBR 7675 (132250)</v>
          </cell>
          <cell r="C3848" t="str">
            <v>ud</v>
          </cell>
          <cell r="D3848">
            <v>0</v>
          </cell>
          <cell r="E3848">
            <v>183.34</v>
          </cell>
          <cell r="F3848">
            <v>183.34</v>
          </cell>
        </row>
        <row r="3849">
          <cell r="A3849" t="str">
            <v>213704</v>
          </cell>
          <cell r="B3849" t="str">
            <v>Redução excentrica FD FF PN-10 DN 150x50 conforme NBR 7675</v>
          </cell>
          <cell r="C3849" t="str">
            <v>ud</v>
          </cell>
          <cell r="D3849">
            <v>0</v>
          </cell>
        </row>
        <row r="3850">
          <cell r="A3850" t="str">
            <v>213705</v>
          </cell>
          <cell r="B3850" t="str">
            <v>Redução excentrica FD FF PN-10 DN 150x75/80 conforme NBR 7675</v>
          </cell>
          <cell r="C3850" t="str">
            <v>ud</v>
          </cell>
          <cell r="D3850">
            <v>0</v>
          </cell>
          <cell r="E3850">
            <v>269.87</v>
          </cell>
          <cell r="F3850">
            <v>269.87</v>
          </cell>
        </row>
        <row r="3851">
          <cell r="A3851" t="str">
            <v>213706</v>
          </cell>
          <cell r="B3851" t="str">
            <v>Redução excentrica FD FF PN-10 DN 150x100 conforme NBR 7675</v>
          </cell>
          <cell r="C3851" t="str">
            <v>ud</v>
          </cell>
          <cell r="D3851">
            <v>0</v>
          </cell>
          <cell r="E3851">
            <v>297.52999999999997</v>
          </cell>
          <cell r="F3851">
            <v>297.52999999999997</v>
          </cell>
        </row>
        <row r="3852">
          <cell r="A3852" t="str">
            <v>213707</v>
          </cell>
          <cell r="B3852" t="str">
            <v>Redução excentrica FD FF PN-10 DN 150x125 conforme NBR 7675</v>
          </cell>
          <cell r="C3852" t="str">
            <v>ud</v>
          </cell>
          <cell r="D3852">
            <v>0</v>
          </cell>
          <cell r="E3852">
            <v>271.64</v>
          </cell>
          <cell r="F3852">
            <v>271.64</v>
          </cell>
        </row>
        <row r="3853">
          <cell r="A3853" t="str">
            <v>213708</v>
          </cell>
          <cell r="B3853" t="str">
            <v>Redução excentrica FD FF PN-10 DN 200x75/80 conforme NBR 7675</v>
          </cell>
          <cell r="C3853" t="str">
            <v>ud</v>
          </cell>
          <cell r="D3853">
            <v>0</v>
          </cell>
          <cell r="E3853">
            <v>418.91</v>
          </cell>
          <cell r="F3853">
            <v>418.91</v>
          </cell>
        </row>
        <row r="3854">
          <cell r="A3854" t="str">
            <v>213709</v>
          </cell>
          <cell r="B3854" t="str">
            <v>Redução excentrica FD FF PN-10 DN 200x100 conforme NBR 7675 (10073)</v>
          </cell>
          <cell r="C3854" t="str">
            <v>ud</v>
          </cell>
          <cell r="D3854">
            <v>0</v>
          </cell>
          <cell r="E3854">
            <v>605.44000000000005</v>
          </cell>
          <cell r="F3854">
            <v>605.44000000000005</v>
          </cell>
        </row>
        <row r="3855">
          <cell r="A3855" t="str">
            <v>213710</v>
          </cell>
          <cell r="B3855" t="str">
            <v>Redução excentrica FD FF PN-10 DN 200x150 conforme NBR 7675 (10120)</v>
          </cell>
          <cell r="C3855" t="str">
            <v>ud</v>
          </cell>
          <cell r="D3855">
            <v>0</v>
          </cell>
          <cell r="E3855">
            <v>387.47</v>
          </cell>
          <cell r="F3855">
            <v>387.47</v>
          </cell>
        </row>
        <row r="3856">
          <cell r="A3856" t="str">
            <v>213711</v>
          </cell>
          <cell r="B3856" t="str">
            <v>Redução excentrica FD FF PN-10 DN 250x150 conforme NBR 7675 (10170)</v>
          </cell>
          <cell r="C3856" t="str">
            <v>ud</v>
          </cell>
          <cell r="D3856">
            <v>0</v>
          </cell>
          <cell r="E3856">
            <v>539.70000000000005</v>
          </cell>
          <cell r="F3856">
            <v>539.70000000000005</v>
          </cell>
        </row>
        <row r="3857">
          <cell r="A3857" t="str">
            <v>213712</v>
          </cell>
          <cell r="B3857" t="str">
            <v>Redução excentrica FD FF PN-10 DN 250x200 conforme NBR 7675</v>
          </cell>
          <cell r="C3857" t="str">
            <v>ud</v>
          </cell>
          <cell r="D3857">
            <v>0</v>
          </cell>
          <cell r="E3857">
            <v>570.84</v>
          </cell>
          <cell r="F3857">
            <v>570.84</v>
          </cell>
        </row>
        <row r="3858">
          <cell r="A3858" t="str">
            <v>213713</v>
          </cell>
          <cell r="B3858" t="str">
            <v>Redução excentrica FD FF PN-10 DN 300x150 conforme NBR 7675 (10260)</v>
          </cell>
          <cell r="C3858" t="str">
            <v>ud</v>
          </cell>
          <cell r="D3858">
            <v>0</v>
          </cell>
          <cell r="E3858">
            <v>664.24</v>
          </cell>
          <cell r="F3858">
            <v>664.24</v>
          </cell>
        </row>
        <row r="3859">
          <cell r="A3859" t="str">
            <v>213714</v>
          </cell>
          <cell r="B3859" t="str">
            <v>Redução excentrica FD FF PN-10 DN 300x200 conforme NBR 7675 (10235)</v>
          </cell>
          <cell r="C3859" t="str">
            <v>ud</v>
          </cell>
          <cell r="D3859">
            <v>0</v>
          </cell>
          <cell r="E3859">
            <v>802.63</v>
          </cell>
          <cell r="F3859">
            <v>802.63</v>
          </cell>
        </row>
        <row r="3860">
          <cell r="A3860" t="str">
            <v>213715</v>
          </cell>
          <cell r="B3860" t="str">
            <v>Redução excentrica FD FF PN-10 DN 300x250 conforme NBR 7675 (10251)</v>
          </cell>
          <cell r="C3860" t="str">
            <v>ud</v>
          </cell>
          <cell r="D3860">
            <v>0</v>
          </cell>
          <cell r="E3860">
            <v>712.7</v>
          </cell>
          <cell r="F3860">
            <v>712.7</v>
          </cell>
        </row>
        <row r="3861">
          <cell r="A3861" t="str">
            <v>213716</v>
          </cell>
          <cell r="B3861" t="str">
            <v>Redução excentrica FD FF PN-10 DN 400x200 conforme NBR 7675</v>
          </cell>
          <cell r="C3861" t="str">
            <v>ud</v>
          </cell>
          <cell r="D3861">
            <v>0</v>
          </cell>
          <cell r="E3861">
            <v>916.81</v>
          </cell>
          <cell r="F3861">
            <v>916.81</v>
          </cell>
        </row>
        <row r="3862">
          <cell r="A3862" t="str">
            <v>213717</v>
          </cell>
          <cell r="B3862" t="str">
            <v>Redução excentrica FD FF PN-10 DN 400x250 conforme NBR 7675 (10391)</v>
          </cell>
          <cell r="C3862" t="str">
            <v>ud</v>
          </cell>
          <cell r="D3862">
            <v>0</v>
          </cell>
        </row>
        <row r="3863">
          <cell r="A3863" t="str">
            <v>213718</v>
          </cell>
          <cell r="B3863" t="str">
            <v>Redução excentrica FD FF PN-10 DN 400x300 conforme NBR 7675 (144282)</v>
          </cell>
          <cell r="C3863" t="str">
            <v>ud</v>
          </cell>
          <cell r="D3863">
            <v>0</v>
          </cell>
        </row>
        <row r="3864">
          <cell r="A3864" t="str">
            <v>213719</v>
          </cell>
          <cell r="B3864" t="str">
            <v>Redução excentrica FD FF PN-16 DN 75/80x50 conforme NBR 7675 (9768)</v>
          </cell>
          <cell r="C3864" t="str">
            <v>ud</v>
          </cell>
          <cell r="D3864">
            <v>0</v>
          </cell>
          <cell r="E3864">
            <v>131.47999999999999</v>
          </cell>
          <cell r="F3864">
            <v>131.47999999999999</v>
          </cell>
        </row>
        <row r="3865">
          <cell r="A3865" t="str">
            <v>213720</v>
          </cell>
          <cell r="B3865" t="str">
            <v>Redução excentrica FD FF PN-16 DN 100x50 conforme NBR 7675 (9806)</v>
          </cell>
          <cell r="C3865" t="str">
            <v>ud</v>
          </cell>
          <cell r="D3865">
            <v>0</v>
          </cell>
          <cell r="E3865">
            <v>179.89</v>
          </cell>
          <cell r="F3865">
            <v>179.89</v>
          </cell>
        </row>
        <row r="3866">
          <cell r="A3866" t="str">
            <v>213721</v>
          </cell>
          <cell r="B3866" t="str">
            <v>Redução excentrica FD FF PN-16 DN 100x75/80 conforme NBR 7675 (9857)</v>
          </cell>
          <cell r="C3866" t="str">
            <v>ud</v>
          </cell>
          <cell r="D3866">
            <v>0</v>
          </cell>
          <cell r="E3866">
            <v>183.34</v>
          </cell>
          <cell r="F3866">
            <v>183.34</v>
          </cell>
        </row>
        <row r="3867">
          <cell r="A3867" t="str">
            <v>213722</v>
          </cell>
          <cell r="B3867" t="str">
            <v>Redução excentrica FD FF PN-16 DN 150x50 conforme NBR 7675 (201863)</v>
          </cell>
          <cell r="C3867" t="str">
            <v>ud</v>
          </cell>
          <cell r="D3867">
            <v>0</v>
          </cell>
        </row>
        <row r="3868">
          <cell r="A3868" t="str">
            <v>213723</v>
          </cell>
          <cell r="B3868" t="str">
            <v>Redução excentrica FD FF PN-16 DN 150x75/80 conforme NBR 7675 (10006)</v>
          </cell>
          <cell r="C3868" t="str">
            <v>ud</v>
          </cell>
          <cell r="D3868">
            <v>0</v>
          </cell>
          <cell r="E3868">
            <v>269.87</v>
          </cell>
          <cell r="F3868">
            <v>269.87</v>
          </cell>
        </row>
        <row r="3869">
          <cell r="A3869" t="str">
            <v>213724</v>
          </cell>
          <cell r="B3869" t="str">
            <v>Redução excentrica FD FF PN-16 DN 150x100 conforme NBR 7675 (10030)</v>
          </cell>
          <cell r="C3869" t="str">
            <v>ud</v>
          </cell>
          <cell r="D3869">
            <v>0</v>
          </cell>
          <cell r="E3869">
            <v>297.52999999999997</v>
          </cell>
          <cell r="F3869">
            <v>297.52999999999997</v>
          </cell>
        </row>
        <row r="3870">
          <cell r="A3870" t="str">
            <v>213725</v>
          </cell>
          <cell r="B3870" t="str">
            <v>Redução excentrica FD FF PN-16 DN 150x125 conforme NBR 7675</v>
          </cell>
          <cell r="C3870" t="str">
            <v>ud</v>
          </cell>
          <cell r="D3870">
            <v>0</v>
          </cell>
          <cell r="E3870">
            <v>271.64</v>
          </cell>
          <cell r="F3870">
            <v>271.64</v>
          </cell>
        </row>
        <row r="3871">
          <cell r="A3871" t="str">
            <v>213726</v>
          </cell>
          <cell r="B3871" t="str">
            <v>Redução excentrica FD FF PN-16 DN 200x75 conforme NBR 7675</v>
          </cell>
          <cell r="C3871" t="str">
            <v>ud</v>
          </cell>
          <cell r="D3871">
            <v>0</v>
          </cell>
          <cell r="E3871">
            <v>418.91</v>
          </cell>
          <cell r="F3871">
            <v>418.91</v>
          </cell>
        </row>
        <row r="3872">
          <cell r="A3872" t="str">
            <v>213727</v>
          </cell>
          <cell r="B3872" t="str">
            <v>Redução excentrica FD FF PN-16 DN 200x100 conforme NBR 7675 (143367)</v>
          </cell>
          <cell r="C3872" t="str">
            <v>ud</v>
          </cell>
          <cell r="D3872">
            <v>0</v>
          </cell>
          <cell r="E3872">
            <v>605.44000000000005</v>
          </cell>
          <cell r="F3872">
            <v>605.44000000000005</v>
          </cell>
        </row>
        <row r="3873">
          <cell r="A3873" t="str">
            <v>213728</v>
          </cell>
          <cell r="B3873" t="str">
            <v>Redução excentrica FD FF PN-16 DN 200x150 conforme NBR 7675 (141992)</v>
          </cell>
          <cell r="C3873" t="str">
            <v>ud</v>
          </cell>
          <cell r="D3873">
            <v>0</v>
          </cell>
          <cell r="E3873">
            <v>387.47</v>
          </cell>
          <cell r="F3873">
            <v>387.47</v>
          </cell>
        </row>
        <row r="3874">
          <cell r="A3874" t="str">
            <v>213729</v>
          </cell>
          <cell r="B3874" t="str">
            <v>Redução excentrica FD FF PN-16 DN 250x150 conforme NBR 7675 (143391)</v>
          </cell>
          <cell r="C3874" t="str">
            <v>ud</v>
          </cell>
          <cell r="D3874">
            <v>0</v>
          </cell>
          <cell r="E3874">
            <v>539.70000000000005</v>
          </cell>
          <cell r="F3874">
            <v>539.70000000000005</v>
          </cell>
        </row>
        <row r="3875">
          <cell r="A3875" t="str">
            <v>213730</v>
          </cell>
          <cell r="B3875" t="str">
            <v>Redução excentrica FD FF PN-16 DN 250x200 conforme NBR 7675</v>
          </cell>
          <cell r="C3875" t="str">
            <v>ud</v>
          </cell>
          <cell r="D3875">
            <v>0</v>
          </cell>
          <cell r="E3875">
            <v>570.84</v>
          </cell>
          <cell r="F3875">
            <v>570.84</v>
          </cell>
        </row>
        <row r="3876">
          <cell r="A3876" t="str">
            <v>213731</v>
          </cell>
          <cell r="B3876" t="str">
            <v>Redução excentrica FD FF PN-16 DN 300x150 conforme NBR 7675 (143430)</v>
          </cell>
          <cell r="C3876" t="str">
            <v>ud</v>
          </cell>
          <cell r="D3876">
            <v>0</v>
          </cell>
          <cell r="E3876">
            <v>664.24</v>
          </cell>
          <cell r="F3876">
            <v>664.24</v>
          </cell>
        </row>
        <row r="3877">
          <cell r="A3877" t="str">
            <v>213732</v>
          </cell>
          <cell r="B3877" t="str">
            <v>Redução excentrica FD FF PN-16 DN 300x200 conforme NBR 7675</v>
          </cell>
          <cell r="C3877" t="str">
            <v>ud</v>
          </cell>
          <cell r="D3877">
            <v>0</v>
          </cell>
          <cell r="E3877">
            <v>802.63</v>
          </cell>
          <cell r="F3877">
            <v>802.63</v>
          </cell>
        </row>
        <row r="3878">
          <cell r="A3878" t="str">
            <v>213733</v>
          </cell>
          <cell r="B3878" t="str">
            <v>Redução excentrica FD FF PN-16 DN 300x250 conforme NBR 7675</v>
          </cell>
          <cell r="C3878" t="str">
            <v>ud</v>
          </cell>
          <cell r="D3878">
            <v>0</v>
          </cell>
          <cell r="E3878">
            <v>712.7</v>
          </cell>
          <cell r="F3878">
            <v>712.7</v>
          </cell>
        </row>
        <row r="3879">
          <cell r="A3879" t="str">
            <v>213734</v>
          </cell>
          <cell r="B3879" t="str">
            <v>Redução excentrica FD FF PN-16 DN 400x200 conforme NBR 7675</v>
          </cell>
          <cell r="C3879" t="str">
            <v>ud</v>
          </cell>
          <cell r="D3879">
            <v>0</v>
          </cell>
          <cell r="E3879">
            <v>916.81</v>
          </cell>
          <cell r="F3879">
            <v>916.81</v>
          </cell>
        </row>
        <row r="3880">
          <cell r="A3880" t="str">
            <v>213735</v>
          </cell>
          <cell r="B3880" t="str">
            <v>Redução excentrica FD FF PN-16 DN 400x250 conforme NBR 7675</v>
          </cell>
          <cell r="C3880" t="str">
            <v>ud</v>
          </cell>
          <cell r="D3880">
            <v>0</v>
          </cell>
        </row>
        <row r="3881">
          <cell r="A3881" t="str">
            <v>213736</v>
          </cell>
          <cell r="B3881" t="str">
            <v>Redução excentrica FD FF PN-16 DN 400x300 conforme NBR 7675 (10421)</v>
          </cell>
          <cell r="C3881" t="str">
            <v>ud</v>
          </cell>
          <cell r="D3881">
            <v>0</v>
          </cell>
        </row>
        <row r="3882">
          <cell r="A3882" t="str">
            <v>213737</v>
          </cell>
          <cell r="B3882" t="str">
            <v>Redução excentrica FD FF PN-25 DN 75/80x50 conforme NBR 7675</v>
          </cell>
          <cell r="C3882" t="str">
            <v>ud</v>
          </cell>
          <cell r="D3882">
            <v>0</v>
          </cell>
        </row>
        <row r="3883">
          <cell r="A3883" t="str">
            <v>213738</v>
          </cell>
          <cell r="B3883" t="str">
            <v>Redução excentrica FD FF PN-25 DN 100x50 conforme NBR 7675 (143324)</v>
          </cell>
          <cell r="C3883" t="str">
            <v>ud</v>
          </cell>
          <cell r="D3883">
            <v>0</v>
          </cell>
        </row>
        <row r="3884">
          <cell r="A3884" t="str">
            <v>213739</v>
          </cell>
          <cell r="B3884" t="str">
            <v>Redução excentrica FD FF PN-25 DN 100x75/80 conforme NBR 7675 (143332)</v>
          </cell>
          <cell r="C3884" t="str">
            <v>ud</v>
          </cell>
          <cell r="D3884">
            <v>0</v>
          </cell>
        </row>
        <row r="3885">
          <cell r="A3885" t="str">
            <v>213740</v>
          </cell>
          <cell r="B3885" t="str">
            <v>Redução excentrica FD FF PN-25 DN 150x50 conforme NBR 7675</v>
          </cell>
          <cell r="C3885" t="str">
            <v>ud</v>
          </cell>
          <cell r="D3885">
            <v>0</v>
          </cell>
        </row>
        <row r="3886">
          <cell r="A3886" t="str">
            <v>213741</v>
          </cell>
          <cell r="B3886" t="str">
            <v>Redução excentrica FD FF PN-25 DN 150x75/80 conforme NBR 7675 (143340)</v>
          </cell>
          <cell r="C3886" t="str">
            <v>ud</v>
          </cell>
          <cell r="D3886">
            <v>0</v>
          </cell>
        </row>
        <row r="3887">
          <cell r="A3887" t="str">
            <v>213742</v>
          </cell>
          <cell r="B3887" t="str">
            <v>Redução excentrica FD FF PN-25 DN 150x100 conforme NBR 7675 (143359)</v>
          </cell>
          <cell r="C3887" t="str">
            <v>ud</v>
          </cell>
          <cell r="D3887">
            <v>0</v>
          </cell>
        </row>
        <row r="3888">
          <cell r="A3888" t="str">
            <v>213743</v>
          </cell>
          <cell r="B3888" t="str">
            <v>Redução excentrica FD FF PN-25 DN 150x125 conforme NBR 7675</v>
          </cell>
          <cell r="C3888" t="str">
            <v>ud</v>
          </cell>
          <cell r="D3888">
            <v>0</v>
          </cell>
        </row>
        <row r="3889">
          <cell r="A3889" t="str">
            <v>213744</v>
          </cell>
          <cell r="B3889" t="str">
            <v>Redução excentrica FD FF PN-25 DN 200x75/80 conforme NBR 7675</v>
          </cell>
          <cell r="C3889" t="str">
            <v>ud</v>
          </cell>
          <cell r="D3889">
            <v>0</v>
          </cell>
        </row>
        <row r="3890">
          <cell r="A3890" t="str">
            <v>213745</v>
          </cell>
          <cell r="B3890" t="str">
            <v>Redução excentrica FD FF PN-25 DN 200x100 conforme NBR 7675 (143375)</v>
          </cell>
          <cell r="C3890" t="str">
            <v>ud</v>
          </cell>
          <cell r="D3890">
            <v>0</v>
          </cell>
        </row>
        <row r="3891">
          <cell r="A3891" t="str">
            <v>213746</v>
          </cell>
          <cell r="B3891" t="str">
            <v>Redução excentrica FD FF PN-25 DN 200x150 conforme NBR 7675 (143383)</v>
          </cell>
          <cell r="C3891" t="str">
            <v>ud</v>
          </cell>
          <cell r="D3891">
            <v>0</v>
          </cell>
        </row>
        <row r="3892">
          <cell r="A3892" t="str">
            <v>213747</v>
          </cell>
          <cell r="B3892" t="str">
            <v xml:space="preserve">Redução excentrica FD FF PN-25 DN 250x150 conforme NBR 7675 </v>
          </cell>
          <cell r="C3892" t="str">
            <v>ud</v>
          </cell>
          <cell r="D3892">
            <v>0</v>
          </cell>
        </row>
        <row r="3893">
          <cell r="A3893" t="str">
            <v>213748</v>
          </cell>
          <cell r="B3893" t="str">
            <v>Redução excentrica FD FF PN-25 DN 250x200 conforme NBR 7675</v>
          </cell>
          <cell r="C3893" t="str">
            <v>ud</v>
          </cell>
          <cell r="D3893">
            <v>0</v>
          </cell>
        </row>
        <row r="3894">
          <cell r="A3894" t="str">
            <v>213749</v>
          </cell>
          <cell r="B3894" t="str">
            <v>Redução excentrica FD FF PN-25 DN 300x150 conforme NBR 7675 (143448)</v>
          </cell>
          <cell r="C3894" t="str">
            <v>ud</v>
          </cell>
          <cell r="D3894">
            <v>0</v>
          </cell>
        </row>
        <row r="3895">
          <cell r="A3895" t="str">
            <v>213750</v>
          </cell>
          <cell r="B3895" t="str">
            <v>Redução excentrica FD FF PN-25 DN 300x200 conforme NBR 7675</v>
          </cell>
          <cell r="C3895" t="str">
            <v>ud</v>
          </cell>
          <cell r="D3895">
            <v>0</v>
          </cell>
        </row>
        <row r="3896">
          <cell r="A3896" t="str">
            <v>213751</v>
          </cell>
          <cell r="B3896" t="str">
            <v>Redução excentrica FD FF PN-25 DN 300x250 conforme NBR 7675</v>
          </cell>
          <cell r="C3896" t="str">
            <v>ud</v>
          </cell>
          <cell r="D3896">
            <v>0</v>
          </cell>
        </row>
        <row r="3897">
          <cell r="A3897" t="str">
            <v>213752</v>
          </cell>
          <cell r="B3897" t="str">
            <v>Redução excentrica FD FF PN-25 DN 400x200 conforme NBR 7675</v>
          </cell>
          <cell r="C3897" t="str">
            <v>ud</v>
          </cell>
          <cell r="D3897">
            <v>0</v>
          </cell>
        </row>
        <row r="3898">
          <cell r="A3898" t="str">
            <v>213753</v>
          </cell>
          <cell r="B3898" t="str">
            <v>Redução excentrica FD FF PN-25 DN 400x250 conforme NBR 7675</v>
          </cell>
          <cell r="C3898" t="str">
            <v>ud</v>
          </cell>
          <cell r="D3898">
            <v>0</v>
          </cell>
        </row>
        <row r="3899">
          <cell r="A3899" t="str">
            <v>213754</v>
          </cell>
          <cell r="B3899" t="str">
            <v>Redução excentrica FD FF PN-25 DN 400x300 conforme NBR 7675</v>
          </cell>
          <cell r="C3899" t="str">
            <v>ud</v>
          </cell>
          <cell r="D3899">
            <v>0</v>
          </cell>
        </row>
        <row r="3900">
          <cell r="A3900" t="str">
            <v>2138</v>
          </cell>
          <cell r="B3900" t="str">
            <v>REDUÇÃO FD COM FLANGES PN 10</v>
          </cell>
        </row>
        <row r="3901">
          <cell r="A3901" t="str">
            <v>213820</v>
          </cell>
          <cell r="B3901" t="str">
            <v>Redução FD FF PN-10 DN 400 300 conforme NBR 7675 (10405)</v>
          </cell>
          <cell r="C3901" t="str">
            <v>ud</v>
          </cell>
          <cell r="D3901">
            <v>0</v>
          </cell>
          <cell r="E3901">
            <v>1577.55</v>
          </cell>
          <cell r="F3901">
            <v>1577.55</v>
          </cell>
        </row>
        <row r="3902">
          <cell r="A3902" t="str">
            <v>213821</v>
          </cell>
          <cell r="B3902" t="str">
            <v>Redução FD FF PN-10 DN 400 350 conforme NBR 7675 (10430)</v>
          </cell>
          <cell r="C3902" t="str">
            <v>ud</v>
          </cell>
          <cell r="D3902">
            <v>0</v>
          </cell>
          <cell r="E3902">
            <v>1003.3</v>
          </cell>
          <cell r="F3902">
            <v>1003.3</v>
          </cell>
        </row>
        <row r="3903">
          <cell r="A3903" t="str">
            <v>213822</v>
          </cell>
          <cell r="B3903" t="str">
            <v>Redução FD FF PN-10 DN 450 300 conforme NBR 7675 (10472)</v>
          </cell>
          <cell r="C3903" t="str">
            <v>ud</v>
          </cell>
          <cell r="D3903">
            <v>0</v>
          </cell>
          <cell r="E3903">
            <v>0</v>
          </cell>
          <cell r="F3903">
            <v>0</v>
          </cell>
        </row>
        <row r="3904">
          <cell r="A3904" t="str">
            <v>213823</v>
          </cell>
          <cell r="B3904" t="str">
            <v>Redução FD FF PN-10 DN 450 350 conforme NBR 7675</v>
          </cell>
          <cell r="C3904" t="str">
            <v>ud</v>
          </cell>
          <cell r="D3904">
            <v>0</v>
          </cell>
          <cell r="E3904">
            <v>0</v>
          </cell>
          <cell r="F3904">
            <v>0</v>
          </cell>
        </row>
        <row r="3905">
          <cell r="A3905" t="str">
            <v>213824</v>
          </cell>
          <cell r="B3905" t="str">
            <v>Redução FD FF PN-10 DN 450 400 conforme NBR 7675</v>
          </cell>
          <cell r="C3905" t="str">
            <v>ud</v>
          </cell>
          <cell r="D3905">
            <v>0</v>
          </cell>
          <cell r="E3905">
            <v>0</v>
          </cell>
          <cell r="F3905">
            <v>0</v>
          </cell>
        </row>
        <row r="3906">
          <cell r="A3906" t="str">
            <v>213825</v>
          </cell>
          <cell r="B3906" t="str">
            <v>Redução FD FF PN-10 DN 500 350 conforme NBR 7675</v>
          </cell>
          <cell r="C3906" t="str">
            <v>ud</v>
          </cell>
          <cell r="D3906">
            <v>0</v>
          </cell>
          <cell r="E3906">
            <v>0</v>
          </cell>
          <cell r="F3906">
            <v>0</v>
          </cell>
        </row>
        <row r="3907">
          <cell r="A3907" t="str">
            <v>213826</v>
          </cell>
          <cell r="B3907" t="str">
            <v>Redução FD FF PN-10 DN 500 400 conforme NBR 7675 (10588)</v>
          </cell>
          <cell r="C3907" t="str">
            <v>ud</v>
          </cell>
          <cell r="D3907">
            <v>0</v>
          </cell>
          <cell r="E3907">
            <v>1854.34</v>
          </cell>
          <cell r="F3907">
            <v>1854.34</v>
          </cell>
        </row>
        <row r="3908">
          <cell r="A3908" t="str">
            <v>213827</v>
          </cell>
          <cell r="B3908" t="str">
            <v>Redução FD FF PN-10 DN 500 450 conforme NBR 7675</v>
          </cell>
          <cell r="C3908" t="str">
            <v>ud</v>
          </cell>
          <cell r="D3908">
            <v>0</v>
          </cell>
          <cell r="E3908">
            <v>2516.06</v>
          </cell>
          <cell r="F3908">
            <v>2516.06</v>
          </cell>
        </row>
        <row r="3909">
          <cell r="A3909" t="str">
            <v>213828</v>
          </cell>
          <cell r="B3909" t="str">
            <v>Redução FD FF PN-10 DN 600 400 conforme NBR 7675</v>
          </cell>
          <cell r="C3909" t="str">
            <v>ud</v>
          </cell>
          <cell r="D3909">
            <v>0</v>
          </cell>
          <cell r="E3909">
            <v>0</v>
          </cell>
          <cell r="F3909">
            <v>0</v>
          </cell>
        </row>
        <row r="3910">
          <cell r="A3910" t="str">
            <v>213829</v>
          </cell>
          <cell r="B3910" t="str">
            <v>Redução FD FF PN-10 DN 600 450 conforme NBR 7675 (10634)</v>
          </cell>
          <cell r="C3910" t="str">
            <v>ud</v>
          </cell>
          <cell r="D3910">
            <v>0</v>
          </cell>
          <cell r="E3910">
            <v>0</v>
          </cell>
          <cell r="F3910">
            <v>0</v>
          </cell>
        </row>
        <row r="3911">
          <cell r="A3911" t="str">
            <v>213830</v>
          </cell>
          <cell r="B3911" t="str">
            <v>Redução FD FF PN-10 DN 600 500 conforme NBR 7675 (10650)</v>
          </cell>
          <cell r="C3911" t="str">
            <v>ud</v>
          </cell>
          <cell r="D3911">
            <v>0</v>
          </cell>
          <cell r="E3911">
            <v>2985.63</v>
          </cell>
          <cell r="F3911">
            <v>2985.63</v>
          </cell>
        </row>
        <row r="3912">
          <cell r="A3912" t="str">
            <v>213831</v>
          </cell>
          <cell r="B3912" t="str">
            <v>Redução FD FF PN-10 DN 700 600 conforme NBR 7675 (9695)</v>
          </cell>
          <cell r="C3912" t="str">
            <v>ud</v>
          </cell>
          <cell r="D3912">
            <v>0</v>
          </cell>
          <cell r="E3912">
            <v>0</v>
          </cell>
          <cell r="F3912">
            <v>0</v>
          </cell>
        </row>
        <row r="3913">
          <cell r="A3913" t="str">
            <v>213832</v>
          </cell>
          <cell r="B3913" t="str">
            <v>Redução FD FF PN-10 DN 800 700 conforme NBR 7675 (138932)</v>
          </cell>
          <cell r="C3913" t="str">
            <v>ud</v>
          </cell>
          <cell r="D3913">
            <v>0</v>
          </cell>
          <cell r="E3913">
            <v>0</v>
          </cell>
          <cell r="F3913">
            <v>0</v>
          </cell>
        </row>
        <row r="3914">
          <cell r="A3914" t="str">
            <v>213833</v>
          </cell>
          <cell r="B3914" t="str">
            <v>Redução FD FF PN-10 DN 900 800 conforme NBR 7675</v>
          </cell>
          <cell r="C3914" t="str">
            <v>ud</v>
          </cell>
          <cell r="D3914">
            <v>0</v>
          </cell>
          <cell r="E3914">
            <v>0</v>
          </cell>
          <cell r="F3914">
            <v>0</v>
          </cell>
        </row>
        <row r="3915">
          <cell r="A3915" t="str">
            <v>213834</v>
          </cell>
          <cell r="B3915" t="str">
            <v>Redução FD FF PN-10 DN 1000 900 conforme NBR 7675</v>
          </cell>
          <cell r="C3915" t="str">
            <v>ud</v>
          </cell>
          <cell r="D3915">
            <v>0</v>
          </cell>
          <cell r="E3915">
            <v>0</v>
          </cell>
          <cell r="F3915">
            <v>0</v>
          </cell>
        </row>
        <row r="3916">
          <cell r="A3916" t="str">
            <v>213835</v>
          </cell>
          <cell r="B3916" t="str">
            <v>Redução FD FF PN-10 DN 1200 1000 conforme NBR 7675</v>
          </cell>
          <cell r="C3916" t="str">
            <v>ud</v>
          </cell>
          <cell r="D3916">
            <v>0</v>
          </cell>
          <cell r="E3916">
            <v>0</v>
          </cell>
          <cell r="F3916">
            <v>0</v>
          </cell>
        </row>
        <row r="3917">
          <cell r="A3917" t="str">
            <v>213801</v>
          </cell>
          <cell r="B3917" t="str">
            <v>Redução FD FF PN-10 DN 75/80x50 conforme NBR 7675</v>
          </cell>
          <cell r="C3917" t="str">
            <v>ud</v>
          </cell>
          <cell r="D3917">
            <v>0</v>
          </cell>
          <cell r="E3917">
            <v>135.94</v>
          </cell>
          <cell r="F3917">
            <v>135.94</v>
          </cell>
        </row>
        <row r="3918">
          <cell r="A3918" t="str">
            <v>213802</v>
          </cell>
          <cell r="B3918" t="str">
            <v>Redução FD FF PN-10 DN 100x50 conforme NBR 7675</v>
          </cell>
          <cell r="C3918" t="str">
            <v>ud</v>
          </cell>
          <cell r="D3918">
            <v>0</v>
          </cell>
          <cell r="E3918">
            <v>203.92</v>
          </cell>
          <cell r="F3918">
            <v>203.92</v>
          </cell>
        </row>
        <row r="3919">
          <cell r="A3919" t="str">
            <v>213803</v>
          </cell>
          <cell r="B3919" t="str">
            <v>Redução FD FF PN-10 DN 100x75/80 conforme NBR 7675 (10740)</v>
          </cell>
          <cell r="C3919" t="str">
            <v>ud</v>
          </cell>
          <cell r="D3919">
            <v>0</v>
          </cell>
          <cell r="E3919">
            <v>244.7</v>
          </cell>
          <cell r="F3919">
            <v>244.7</v>
          </cell>
        </row>
        <row r="3920">
          <cell r="A3920" t="str">
            <v>213804</v>
          </cell>
          <cell r="B3920" t="str">
            <v>Redução FD FF PN-10 DN 125x100 conforme NBR 7675</v>
          </cell>
          <cell r="C3920" t="str">
            <v>ud</v>
          </cell>
          <cell r="D3920">
            <v>0</v>
          </cell>
          <cell r="E3920">
            <v>271.89</v>
          </cell>
          <cell r="F3920">
            <v>271.89</v>
          </cell>
        </row>
        <row r="3921">
          <cell r="A3921" t="str">
            <v>213805</v>
          </cell>
          <cell r="B3921" t="str">
            <v>Redução FD FF PN-10 DN 150x75/80 conforme NBR 7675 (9997)</v>
          </cell>
          <cell r="C3921" t="str">
            <v>ud</v>
          </cell>
          <cell r="D3921">
            <v>0</v>
          </cell>
          <cell r="E3921">
            <v>259.47000000000003</v>
          </cell>
          <cell r="F3921">
            <v>259.47000000000003</v>
          </cell>
        </row>
        <row r="3922">
          <cell r="A3922" t="str">
            <v>213806</v>
          </cell>
          <cell r="B3922" t="str">
            <v>Redução FD FF PN-10 DN 150x100 conforme NBR 7675 (212156)</v>
          </cell>
          <cell r="C3922" t="str">
            <v>ud</v>
          </cell>
          <cell r="D3922">
            <v>0</v>
          </cell>
          <cell r="E3922">
            <v>294.08</v>
          </cell>
          <cell r="F3922">
            <v>294.08</v>
          </cell>
        </row>
        <row r="3923">
          <cell r="A3923" t="str">
            <v>213807</v>
          </cell>
          <cell r="B3923" t="str">
            <v>Redução FD FF PN-10 DN 150x125 conforme NBR 7675</v>
          </cell>
          <cell r="C3923" t="str">
            <v>ud</v>
          </cell>
          <cell r="D3923">
            <v>0</v>
          </cell>
          <cell r="E3923">
            <v>297.52</v>
          </cell>
          <cell r="F3923">
            <v>297.52</v>
          </cell>
        </row>
        <row r="3924">
          <cell r="A3924" t="str">
            <v>213808</v>
          </cell>
          <cell r="B3924" t="str">
            <v>Redução FD FF PN-10 DN 200x75 conforme NBR 7675</v>
          </cell>
          <cell r="C3924" t="str">
            <v>ud</v>
          </cell>
          <cell r="D3924">
            <v>0</v>
          </cell>
        </row>
        <row r="3925">
          <cell r="A3925" t="str">
            <v>213809</v>
          </cell>
          <cell r="B3925" t="str">
            <v>Redução FD FF PN-10 DN 200 100 conforme NBR 7675 (145530)</v>
          </cell>
          <cell r="C3925" t="str">
            <v>ud</v>
          </cell>
          <cell r="D3925">
            <v>0</v>
          </cell>
          <cell r="E3925">
            <v>290</v>
          </cell>
          <cell r="F3925">
            <v>290</v>
          </cell>
        </row>
        <row r="3926">
          <cell r="A3926" t="str">
            <v>213810</v>
          </cell>
          <cell r="B3926" t="str">
            <v>Redução FD FF PN-10 DN 200 150 conforme NBR 7675 (142107)</v>
          </cell>
          <cell r="C3926" t="str">
            <v>ud</v>
          </cell>
          <cell r="D3926">
            <v>0</v>
          </cell>
          <cell r="E3926">
            <v>491.25</v>
          </cell>
          <cell r="F3926">
            <v>491.25</v>
          </cell>
        </row>
        <row r="3927">
          <cell r="A3927" t="str">
            <v>213811</v>
          </cell>
          <cell r="B3927" t="str">
            <v>Redução FD FF PN-10 DN 250 150 conforme NBR 7675 (10162)</v>
          </cell>
          <cell r="C3927" t="str">
            <v>ud</v>
          </cell>
          <cell r="D3927">
            <v>0</v>
          </cell>
          <cell r="E3927">
            <v>539.70000000000005</v>
          </cell>
          <cell r="F3927">
            <v>539.70000000000005</v>
          </cell>
        </row>
        <row r="3928">
          <cell r="A3928" t="str">
            <v>213812</v>
          </cell>
          <cell r="B3928" t="str">
            <v>Redução FD FF PN-10 DN 250 200 conforme NBR 7675 (10189)</v>
          </cell>
          <cell r="C3928" t="str">
            <v>ud</v>
          </cell>
          <cell r="D3928">
            <v>0</v>
          </cell>
          <cell r="E3928">
            <v>546.61</v>
          </cell>
          <cell r="F3928">
            <v>546.61</v>
          </cell>
        </row>
        <row r="3929">
          <cell r="A3929" t="str">
            <v>213813</v>
          </cell>
          <cell r="B3929" t="str">
            <v>Redução FD FF PN-10 DN 300 150 conforme NBR 7675 (10200)</v>
          </cell>
          <cell r="C3929" t="str">
            <v>ud</v>
          </cell>
          <cell r="D3929">
            <v>0</v>
          </cell>
          <cell r="E3929">
            <v>629.64</v>
          </cell>
          <cell r="F3929">
            <v>629.64</v>
          </cell>
        </row>
        <row r="3930">
          <cell r="A3930" t="str">
            <v>213814</v>
          </cell>
          <cell r="B3930" t="str">
            <v>Redução FD FF PN-10 DN 300 200 conforme NBR 7675 (10227)</v>
          </cell>
          <cell r="C3930" t="str">
            <v>ud</v>
          </cell>
          <cell r="D3930">
            <v>0</v>
          </cell>
          <cell r="E3930">
            <v>747.29</v>
          </cell>
          <cell r="F3930">
            <v>747.29</v>
          </cell>
        </row>
        <row r="3931">
          <cell r="A3931" t="str">
            <v>213815</v>
          </cell>
          <cell r="B3931" t="str">
            <v>Redução FD FF PN-10 DN 300 250 conforme NBR 7675 (10243)</v>
          </cell>
          <cell r="C3931" t="str">
            <v>ud</v>
          </cell>
          <cell r="D3931">
            <v>0</v>
          </cell>
          <cell r="E3931">
            <v>667.71</v>
          </cell>
          <cell r="F3931">
            <v>667.71</v>
          </cell>
        </row>
        <row r="3932">
          <cell r="A3932" t="str">
            <v>213816</v>
          </cell>
          <cell r="B3932" t="str">
            <v>Redução FD FF PN-10 DN 350 200 conforme NBR 7675</v>
          </cell>
          <cell r="C3932" t="str">
            <v>ud</v>
          </cell>
          <cell r="D3932">
            <v>0</v>
          </cell>
          <cell r="E3932">
            <v>754.23</v>
          </cell>
          <cell r="F3932">
            <v>754.23</v>
          </cell>
        </row>
        <row r="3933">
          <cell r="A3933" t="str">
            <v>213817</v>
          </cell>
          <cell r="B3933" t="str">
            <v>Redução FD FF PN-10 DN 350 250 conforme NBR 7675</v>
          </cell>
          <cell r="C3933" t="str">
            <v>ud</v>
          </cell>
          <cell r="D3933">
            <v>0</v>
          </cell>
        </row>
        <row r="3934">
          <cell r="A3934" t="str">
            <v>213818</v>
          </cell>
          <cell r="B3934" t="str">
            <v>Redução FD FF PN-10 DN 350 300 conforme NBR 7675</v>
          </cell>
          <cell r="C3934" t="str">
            <v>ud</v>
          </cell>
          <cell r="D3934">
            <v>0</v>
          </cell>
          <cell r="E3934">
            <v>809.54</v>
          </cell>
          <cell r="F3934">
            <v>809.54</v>
          </cell>
        </row>
        <row r="3935">
          <cell r="A3935" t="str">
            <v>213819</v>
          </cell>
          <cell r="B3935" t="str">
            <v>Redução FD FF PN-10 DN 400 250 conforme NBR 7675 (10375)</v>
          </cell>
          <cell r="C3935" t="str">
            <v>ud</v>
          </cell>
          <cell r="D3935">
            <v>0</v>
          </cell>
          <cell r="E3935">
            <v>920.27</v>
          </cell>
          <cell r="F3935">
            <v>920.27</v>
          </cell>
        </row>
        <row r="3936">
          <cell r="A3936" t="str">
            <v>2139</v>
          </cell>
          <cell r="B3936" t="str">
            <v>REDUÇÃO FD COM FLANGES PN 16</v>
          </cell>
        </row>
        <row r="3937">
          <cell r="A3937" t="str">
            <v>213901</v>
          </cell>
          <cell r="B3937" t="str">
            <v>Redução FD FF PN-16 DN 75/80x50 conforme NBR 7675 (143065)</v>
          </cell>
          <cell r="C3937" t="str">
            <v>ud</v>
          </cell>
          <cell r="D3937">
            <v>0</v>
          </cell>
          <cell r="E3937">
            <v>135.94</v>
          </cell>
          <cell r="F3937">
            <v>135.94</v>
          </cell>
        </row>
        <row r="3938">
          <cell r="A3938" t="str">
            <v>213902</v>
          </cell>
          <cell r="B3938" t="str">
            <v>Redução FD FF PN-16 DN 100x50 conforme NBR 7675 (8788)</v>
          </cell>
          <cell r="C3938" t="str">
            <v>ud</v>
          </cell>
          <cell r="D3938">
            <v>0</v>
          </cell>
          <cell r="E3938">
            <v>203.92</v>
          </cell>
          <cell r="F3938">
            <v>203.92</v>
          </cell>
        </row>
        <row r="3939">
          <cell r="A3939" t="str">
            <v>213903</v>
          </cell>
          <cell r="B3939" t="str">
            <v>Redução FD FF PN-16 DN 100x75/80 conforme NBR 7675 (9849)</v>
          </cell>
          <cell r="C3939" t="str">
            <v>ud</v>
          </cell>
          <cell r="D3939">
            <v>0</v>
          </cell>
          <cell r="E3939">
            <v>244.7</v>
          </cell>
          <cell r="F3939">
            <v>244.7</v>
          </cell>
        </row>
        <row r="3940">
          <cell r="A3940" t="str">
            <v>213904</v>
          </cell>
          <cell r="B3940" t="str">
            <v>Redução FD FF PN-16 DN 125x100 conforme NBR 7675</v>
          </cell>
          <cell r="C3940" t="str">
            <v>ud</v>
          </cell>
          <cell r="D3940">
            <v>0</v>
          </cell>
          <cell r="E3940">
            <v>271.89</v>
          </cell>
          <cell r="F3940">
            <v>271.89</v>
          </cell>
        </row>
        <row r="3941">
          <cell r="A3941" t="str">
            <v>213905</v>
          </cell>
          <cell r="B3941" t="str">
            <v>Redução FD FF PN-16 DN 150x75/80 conforme NBR 7675 (201855)</v>
          </cell>
          <cell r="C3941" t="str">
            <v>ud</v>
          </cell>
          <cell r="D3941">
            <v>0</v>
          </cell>
          <cell r="E3941">
            <v>259.47000000000003</v>
          </cell>
          <cell r="F3941">
            <v>259.47000000000003</v>
          </cell>
        </row>
        <row r="3942">
          <cell r="A3942" t="str">
            <v>213906</v>
          </cell>
          <cell r="B3942" t="str">
            <v>Redução FD FF PN-16 DN 150x100 conforme NBR 7675 (10022)</v>
          </cell>
          <cell r="C3942" t="str">
            <v>ud</v>
          </cell>
          <cell r="D3942">
            <v>0</v>
          </cell>
          <cell r="E3942">
            <v>294.08</v>
          </cell>
          <cell r="F3942">
            <v>294.08</v>
          </cell>
        </row>
        <row r="3943">
          <cell r="A3943" t="str">
            <v>213907</v>
          </cell>
          <cell r="B3943" t="str">
            <v>Redução FD FF PN-16 DN 150x125 conforme NBR 7675</v>
          </cell>
          <cell r="C3943" t="str">
            <v>ud</v>
          </cell>
          <cell r="D3943">
            <v>0</v>
          </cell>
          <cell r="E3943">
            <v>297.52</v>
          </cell>
          <cell r="F3943">
            <v>297.52</v>
          </cell>
        </row>
        <row r="3944">
          <cell r="A3944" t="str">
            <v>213908</v>
          </cell>
          <cell r="B3944" t="str">
            <v>Redução FD FF PN-16 DN 200x75/80 conforme NBR 7675</v>
          </cell>
          <cell r="C3944" t="str">
            <v>ud</v>
          </cell>
          <cell r="D3944">
            <v>0</v>
          </cell>
        </row>
        <row r="3945">
          <cell r="A3945" t="str">
            <v>213909</v>
          </cell>
          <cell r="B3945" t="str">
            <v>Redução FD FF PN-16 DN 200x100 conforme NBR 7675 (10065)</v>
          </cell>
          <cell r="C3945" t="str">
            <v>ud</v>
          </cell>
          <cell r="D3945">
            <v>0</v>
          </cell>
          <cell r="E3945">
            <v>290</v>
          </cell>
          <cell r="F3945">
            <v>290</v>
          </cell>
        </row>
        <row r="3946">
          <cell r="A3946" t="str">
            <v>213910</v>
          </cell>
          <cell r="B3946" t="str">
            <v>Redução FD FF PN-16 DN 200 150 conforme NBR 7675 (10103)</v>
          </cell>
          <cell r="C3946" t="str">
            <v>ud</v>
          </cell>
          <cell r="D3946">
            <v>0</v>
          </cell>
          <cell r="E3946">
            <v>491.25</v>
          </cell>
          <cell r="F3946">
            <v>491.25</v>
          </cell>
        </row>
        <row r="3947">
          <cell r="A3947" t="str">
            <v>213911</v>
          </cell>
          <cell r="B3947" t="str">
            <v>Redução FD FF PN-16 DN 250 150 conforme NBR 7675 (165530)</v>
          </cell>
          <cell r="C3947" t="str">
            <v>ud</v>
          </cell>
          <cell r="D3947">
            <v>0</v>
          </cell>
          <cell r="E3947">
            <v>539.70000000000005</v>
          </cell>
          <cell r="F3947">
            <v>539.70000000000005</v>
          </cell>
        </row>
        <row r="3948">
          <cell r="A3948" t="str">
            <v>213912</v>
          </cell>
          <cell r="B3948" t="str">
            <v>Redução FD FF PN-16 DN 250 200 conforme NBR 7675 (136778)</v>
          </cell>
          <cell r="C3948" t="str">
            <v>ud</v>
          </cell>
          <cell r="D3948">
            <v>0</v>
          </cell>
          <cell r="E3948">
            <v>546.61</v>
          </cell>
          <cell r="F3948">
            <v>546.61</v>
          </cell>
        </row>
        <row r="3949">
          <cell r="A3949" t="str">
            <v>213913</v>
          </cell>
          <cell r="B3949" t="str">
            <v>Redução FD FF PN-16 DN 300 150 conforme NBR 7675 (137456)</v>
          </cell>
          <cell r="C3949" t="str">
            <v>ud</v>
          </cell>
          <cell r="D3949">
            <v>0</v>
          </cell>
          <cell r="E3949">
            <v>629.64</v>
          </cell>
          <cell r="F3949">
            <v>629.64</v>
          </cell>
        </row>
        <row r="3950">
          <cell r="A3950" t="str">
            <v>213914</v>
          </cell>
          <cell r="B3950" t="str">
            <v>Redução FD FF PN-16 DN 300 200 conforme NBR 7675 (66982)</v>
          </cell>
          <cell r="C3950" t="str">
            <v>ud</v>
          </cell>
          <cell r="D3950">
            <v>0</v>
          </cell>
          <cell r="E3950">
            <v>747.29</v>
          </cell>
          <cell r="F3950">
            <v>747.29</v>
          </cell>
        </row>
        <row r="3951">
          <cell r="A3951" t="str">
            <v>213915</v>
          </cell>
          <cell r="B3951" t="str">
            <v>Redução FD FF PN-16 DN 300 250 conforme NBR 7675</v>
          </cell>
          <cell r="C3951" t="str">
            <v>ud</v>
          </cell>
          <cell r="D3951">
            <v>0</v>
          </cell>
          <cell r="E3951">
            <v>667.71</v>
          </cell>
          <cell r="F3951">
            <v>667.71</v>
          </cell>
        </row>
        <row r="3952">
          <cell r="A3952" t="str">
            <v>213916</v>
          </cell>
          <cell r="B3952" t="str">
            <v>Redução FD FF PN-16 DN 350 200 conforme NBR 7675</v>
          </cell>
          <cell r="C3952" t="str">
            <v>ud</v>
          </cell>
          <cell r="D3952">
            <v>0</v>
          </cell>
          <cell r="E3952">
            <v>754.23</v>
          </cell>
          <cell r="F3952">
            <v>754.23</v>
          </cell>
        </row>
        <row r="3953">
          <cell r="A3953" t="str">
            <v>213917</v>
          </cell>
          <cell r="B3953" t="str">
            <v>Redução FD FF PN-16 DN 350 250 conforme NBR 7675</v>
          </cell>
          <cell r="C3953" t="str">
            <v>ud</v>
          </cell>
          <cell r="D3953">
            <v>0</v>
          </cell>
        </row>
        <row r="3954">
          <cell r="A3954" t="str">
            <v>213918</v>
          </cell>
          <cell r="B3954" t="str">
            <v>Redução FD FF PN-16 DN 350 300 conforme NBR 7675</v>
          </cell>
          <cell r="C3954" t="str">
            <v>ud</v>
          </cell>
          <cell r="D3954">
            <v>0</v>
          </cell>
          <cell r="E3954">
            <v>809.54</v>
          </cell>
          <cell r="F3954">
            <v>809.54</v>
          </cell>
        </row>
        <row r="3955">
          <cell r="A3955" t="str">
            <v>213919</v>
          </cell>
          <cell r="B3955" t="str">
            <v>Redução FD FF PN-16 DN 400 250 conforme NBR 7675</v>
          </cell>
          <cell r="C3955" t="str">
            <v>ud</v>
          </cell>
          <cell r="D3955">
            <v>0</v>
          </cell>
          <cell r="E3955">
            <v>920.27</v>
          </cell>
          <cell r="F3955">
            <v>920.27</v>
          </cell>
        </row>
        <row r="3956">
          <cell r="A3956" t="str">
            <v>213920</v>
          </cell>
          <cell r="B3956" t="str">
            <v>Redução FD FF PN-16 DN 400 300 conforme NBR 7675</v>
          </cell>
          <cell r="C3956" t="str">
            <v>ud</v>
          </cell>
          <cell r="D3956">
            <v>0</v>
          </cell>
          <cell r="E3956">
            <v>1577.55</v>
          </cell>
          <cell r="F3956">
            <v>1577.55</v>
          </cell>
        </row>
        <row r="3957">
          <cell r="A3957" t="str">
            <v>213921</v>
          </cell>
          <cell r="B3957" t="str">
            <v>Redução FD FF PN-16 DN 400 350 conforme NBR 7675 (145980)</v>
          </cell>
          <cell r="C3957" t="str">
            <v>ud</v>
          </cell>
          <cell r="D3957">
            <v>0</v>
          </cell>
          <cell r="E3957">
            <v>1003.3</v>
          </cell>
          <cell r="F3957">
            <v>1003.3</v>
          </cell>
        </row>
        <row r="3958">
          <cell r="A3958" t="str">
            <v>213922</v>
          </cell>
          <cell r="B3958" t="str">
            <v>Redução FD FF PN-16 DN 450 300 conforme NBR 7675</v>
          </cell>
          <cell r="C3958" t="str">
            <v>ud</v>
          </cell>
          <cell r="D3958">
            <v>0</v>
          </cell>
          <cell r="E3958">
            <v>0</v>
          </cell>
          <cell r="F3958">
            <v>0</v>
          </cell>
        </row>
        <row r="3959">
          <cell r="A3959" t="str">
            <v>213923</v>
          </cell>
          <cell r="B3959" t="str">
            <v>Redução FD FF PN-16 DN 450 350 conforme NBR 7675</v>
          </cell>
          <cell r="C3959" t="str">
            <v>ud</v>
          </cell>
          <cell r="D3959">
            <v>0</v>
          </cell>
          <cell r="E3959">
            <v>0</v>
          </cell>
          <cell r="F3959">
            <v>0</v>
          </cell>
        </row>
        <row r="3960">
          <cell r="A3960" t="str">
            <v>213924</v>
          </cell>
          <cell r="B3960" t="str">
            <v>Redução FD FF PN-16 DN 450 400 conforme NBR 7675</v>
          </cell>
          <cell r="C3960" t="str">
            <v>ud</v>
          </cell>
          <cell r="D3960">
            <v>0</v>
          </cell>
          <cell r="E3960">
            <v>0</v>
          </cell>
          <cell r="F3960">
            <v>0</v>
          </cell>
        </row>
        <row r="3961">
          <cell r="A3961" t="str">
            <v>213925</v>
          </cell>
          <cell r="B3961" t="str">
            <v>Redução FD FF PN-16 DN 500 350 conforme NBR 7675</v>
          </cell>
          <cell r="C3961" t="str">
            <v>ud</v>
          </cell>
          <cell r="D3961">
            <v>0</v>
          </cell>
          <cell r="E3961">
            <v>0</v>
          </cell>
          <cell r="F3961">
            <v>0</v>
          </cell>
        </row>
        <row r="3962">
          <cell r="A3962" t="str">
            <v>213926</v>
          </cell>
          <cell r="B3962" t="str">
            <v>Redução FD FF PN-16 DN 500 400 conforme NBR 7675 (136956)</v>
          </cell>
          <cell r="C3962" t="str">
            <v>ud</v>
          </cell>
          <cell r="D3962">
            <v>0</v>
          </cell>
          <cell r="E3962">
            <v>1854.34</v>
          </cell>
          <cell r="F3962">
            <v>1854.34</v>
          </cell>
        </row>
        <row r="3963">
          <cell r="A3963" t="str">
            <v>213927</v>
          </cell>
          <cell r="B3963" t="str">
            <v>Redução FD FF PN-16 DN 500 450 conforme NBR 7675</v>
          </cell>
          <cell r="C3963" t="str">
            <v>ud</v>
          </cell>
          <cell r="D3963">
            <v>0</v>
          </cell>
          <cell r="E3963">
            <v>2516.06</v>
          </cell>
          <cell r="F3963">
            <v>2516.06</v>
          </cell>
        </row>
        <row r="3964">
          <cell r="A3964" t="str">
            <v>213928</v>
          </cell>
          <cell r="B3964" t="str">
            <v>Redução FD FF PN-16 DN 600 400 conforme NBR 7675</v>
          </cell>
          <cell r="C3964" t="str">
            <v>ud</v>
          </cell>
          <cell r="D3964">
            <v>0</v>
          </cell>
          <cell r="E3964">
            <v>0</v>
          </cell>
          <cell r="F3964">
            <v>0</v>
          </cell>
        </row>
        <row r="3965">
          <cell r="A3965" t="str">
            <v>213929</v>
          </cell>
          <cell r="B3965" t="str">
            <v>Redução FD FF PN-16 DN 600 450 conforme NBR 7675</v>
          </cell>
          <cell r="C3965" t="str">
            <v>ud</v>
          </cell>
          <cell r="D3965">
            <v>0</v>
          </cell>
        </row>
        <row r="3966">
          <cell r="A3966" t="str">
            <v>213930</v>
          </cell>
          <cell r="B3966" t="str">
            <v>Redução FD FF PN-16 DN 600 500 conforme NBR 7675 (137030)</v>
          </cell>
          <cell r="C3966" t="str">
            <v>ud</v>
          </cell>
          <cell r="D3966">
            <v>0</v>
          </cell>
          <cell r="E3966">
            <v>2985.63</v>
          </cell>
          <cell r="F3966">
            <v>2985.63</v>
          </cell>
        </row>
        <row r="3967">
          <cell r="A3967" t="str">
            <v>213931</v>
          </cell>
          <cell r="B3967" t="str">
            <v>Redução FD FF PN-16 DN 700 600 conforme NBR 7675</v>
          </cell>
          <cell r="C3967" t="str">
            <v>ud</v>
          </cell>
          <cell r="D3967">
            <v>0</v>
          </cell>
        </row>
        <row r="3968">
          <cell r="A3968" t="str">
            <v>213932</v>
          </cell>
          <cell r="B3968" t="str">
            <v>Redução FD FF PN-16 DN 800 700 conforme NBR 7675</v>
          </cell>
          <cell r="C3968" t="str">
            <v>ud</v>
          </cell>
          <cell r="D3968">
            <v>0</v>
          </cell>
        </row>
        <row r="3969">
          <cell r="A3969" t="str">
            <v>213933</v>
          </cell>
          <cell r="B3969" t="str">
            <v>Redução FD FF PN-16 DN 900 800 conforme NBR 7675</v>
          </cell>
          <cell r="C3969" t="str">
            <v>ud</v>
          </cell>
          <cell r="D3969">
            <v>0</v>
          </cell>
        </row>
        <row r="3970">
          <cell r="A3970" t="str">
            <v>213934</v>
          </cell>
          <cell r="B3970" t="str">
            <v>Redução FD FF PN-16 DN 1000 900 conforme NBR 7675</v>
          </cell>
          <cell r="C3970" t="str">
            <v>ud</v>
          </cell>
          <cell r="D3970">
            <v>0</v>
          </cell>
        </row>
        <row r="3971">
          <cell r="A3971" t="str">
            <v>213935</v>
          </cell>
          <cell r="B3971" t="str">
            <v>Redução FD FF PN-16 DN 1200 1000 conforme NBR 7675</v>
          </cell>
          <cell r="C3971" t="str">
            <v>ud</v>
          </cell>
          <cell r="D3971">
            <v>0</v>
          </cell>
          <cell r="E3971">
            <v>0</v>
          </cell>
          <cell r="F3971">
            <v>0</v>
          </cell>
        </row>
        <row r="3972">
          <cell r="A3972" t="str">
            <v>2140</v>
          </cell>
          <cell r="B3972" t="str">
            <v>REDUÇÃO FD COM FLANGES PN-25</v>
          </cell>
        </row>
        <row r="3973">
          <cell r="A3973" t="str">
            <v>214001</v>
          </cell>
          <cell r="B3973" t="str">
            <v>Redução FD FF PN-25 DN 75/80x50 conforme NBR 7675 (9750)</v>
          </cell>
          <cell r="C3973" t="str">
            <v>ud</v>
          </cell>
          <cell r="D3973">
            <v>0</v>
          </cell>
        </row>
        <row r="3974">
          <cell r="A3974" t="str">
            <v>214002</v>
          </cell>
          <cell r="B3974" t="str">
            <v>Redução FD FF PN-25 DN 100x50 conforme NBR 7675 (9792)</v>
          </cell>
          <cell r="C3974" t="str">
            <v>ud</v>
          </cell>
          <cell r="D3974">
            <v>0</v>
          </cell>
        </row>
        <row r="3975">
          <cell r="A3975" t="str">
            <v>214003</v>
          </cell>
          <cell r="B3975" t="str">
            <v>Redução FD FF PN-25 DN 100x75/80 conforme NBR 7675</v>
          </cell>
          <cell r="C3975" t="str">
            <v>ud</v>
          </cell>
          <cell r="D3975">
            <v>0</v>
          </cell>
        </row>
        <row r="3976">
          <cell r="A3976" t="str">
            <v>214004</v>
          </cell>
          <cell r="B3976" t="str">
            <v>Redução FD FF PN-25 DN 125x100 conforme NBR 7675</v>
          </cell>
          <cell r="C3976" t="str">
            <v>ud</v>
          </cell>
          <cell r="D3976">
            <v>0</v>
          </cell>
        </row>
        <row r="3977">
          <cell r="A3977" t="str">
            <v>214005</v>
          </cell>
          <cell r="B3977" t="str">
            <v>Redução FD FF PN-25 DN 150x75/80 conforme NBR 7675</v>
          </cell>
          <cell r="C3977" t="str">
            <v>ud</v>
          </cell>
          <cell r="D3977">
            <v>0</v>
          </cell>
        </row>
        <row r="3978">
          <cell r="A3978" t="str">
            <v>214006</v>
          </cell>
          <cell r="B3978" t="str">
            <v>Redução FD FF PN-25 DN 150x100 conforme NBR 7675 (136719)</v>
          </cell>
          <cell r="C3978" t="str">
            <v>ud</v>
          </cell>
          <cell r="D3978">
            <v>0</v>
          </cell>
        </row>
        <row r="3979">
          <cell r="A3979" t="str">
            <v>214007</v>
          </cell>
          <cell r="B3979" t="str">
            <v>Redução FD FF PN-25 DN 150x125 conforme NBR 7675</v>
          </cell>
          <cell r="C3979" t="str">
            <v>ud</v>
          </cell>
          <cell r="D3979">
            <v>0</v>
          </cell>
        </row>
        <row r="3980">
          <cell r="A3980" t="str">
            <v>214008</v>
          </cell>
          <cell r="B3980" t="str">
            <v>Redução FD FF PN-25 DN 200x75/80 conforme NBR 7675</v>
          </cell>
          <cell r="C3980" t="str">
            <v>ud</v>
          </cell>
          <cell r="D3980">
            <v>0</v>
          </cell>
        </row>
        <row r="3981">
          <cell r="A3981" t="str">
            <v>214009</v>
          </cell>
          <cell r="B3981" t="str">
            <v>Redução FD FF PN-25 DN 200x100 conforme NBR 7675 (82104)</v>
          </cell>
          <cell r="C3981" t="str">
            <v>ud</v>
          </cell>
          <cell r="D3981">
            <v>0</v>
          </cell>
        </row>
        <row r="3982">
          <cell r="A3982" t="str">
            <v>214010</v>
          </cell>
          <cell r="B3982" t="str">
            <v>Redução FD FF PN-25 DN 200 150 conforme NBR 7675 (136743)</v>
          </cell>
          <cell r="C3982" t="str">
            <v>ud</v>
          </cell>
          <cell r="D3982">
            <v>0</v>
          </cell>
        </row>
        <row r="3983">
          <cell r="A3983" t="str">
            <v>214011</v>
          </cell>
          <cell r="B3983" t="str">
            <v>Redução FD FF PN-25 DN 250 150 conforme NBR 7675</v>
          </cell>
          <cell r="C3983" t="str">
            <v>ud</v>
          </cell>
          <cell r="D3983">
            <v>0</v>
          </cell>
        </row>
        <row r="3984">
          <cell r="A3984" t="str">
            <v>214012</v>
          </cell>
          <cell r="B3984" t="str">
            <v>Redução FD FF PN-25 DN 250 200 conforme NBR 7675 (136786)</v>
          </cell>
          <cell r="C3984" t="str">
            <v>ud</v>
          </cell>
          <cell r="D3984">
            <v>0</v>
          </cell>
        </row>
        <row r="3985">
          <cell r="A3985" t="str">
            <v>214013</v>
          </cell>
          <cell r="B3985" t="str">
            <v>Redução FD FF PN-25 DN 300 150 conforme NBR 7675</v>
          </cell>
          <cell r="C3985" t="str">
            <v>ud</v>
          </cell>
          <cell r="D3985">
            <v>0</v>
          </cell>
        </row>
        <row r="3986">
          <cell r="A3986" t="str">
            <v>214014</v>
          </cell>
          <cell r="B3986" t="str">
            <v>Redução FD FF PN-25 DN 300 200 conforme NBR 7675</v>
          </cell>
          <cell r="C3986" t="str">
            <v>ud</v>
          </cell>
          <cell r="D3986">
            <v>0</v>
          </cell>
        </row>
        <row r="3987">
          <cell r="A3987" t="str">
            <v>214015</v>
          </cell>
          <cell r="B3987" t="str">
            <v>Redução FD FF PN-25 DN 300 250 conforme NBR 7675 (136832)</v>
          </cell>
          <cell r="C3987" t="str">
            <v>ud</v>
          </cell>
          <cell r="D3987">
            <v>0</v>
          </cell>
        </row>
        <row r="3988">
          <cell r="A3988" t="str">
            <v>214016</v>
          </cell>
          <cell r="B3988" t="str">
            <v>Redução FD FF PN-25 DN 350 200 conforme NBR 7675</v>
          </cell>
          <cell r="C3988" t="str">
            <v>ud</v>
          </cell>
          <cell r="D3988">
            <v>0</v>
          </cell>
        </row>
        <row r="3989">
          <cell r="A3989" t="str">
            <v>214017</v>
          </cell>
          <cell r="B3989" t="str">
            <v>Redução FD FF PN-25 DN 350 250 conforme NBR 7675</v>
          </cell>
          <cell r="C3989" t="str">
            <v>ud</v>
          </cell>
          <cell r="D3989">
            <v>0</v>
          </cell>
        </row>
        <row r="3990">
          <cell r="A3990" t="str">
            <v>214018</v>
          </cell>
          <cell r="B3990" t="str">
            <v>Redução FD FF PN-25 DN 350 300 conforme NBR 7675</v>
          </cell>
          <cell r="C3990" t="str">
            <v>ud</v>
          </cell>
          <cell r="D3990">
            <v>0</v>
          </cell>
        </row>
        <row r="3991">
          <cell r="A3991" t="str">
            <v>214019</v>
          </cell>
          <cell r="B3991" t="str">
            <v>Redução FD FF PN-25 DN 400 250 conforme NBR 7675</v>
          </cell>
          <cell r="C3991" t="str">
            <v>ud</v>
          </cell>
          <cell r="D3991">
            <v>0</v>
          </cell>
        </row>
        <row r="3992">
          <cell r="A3992" t="str">
            <v>214020</v>
          </cell>
          <cell r="B3992" t="str">
            <v>Redução FD FF PN-25 DN 400 300 conforme NBR 7675 (136891)</v>
          </cell>
          <cell r="C3992" t="str">
            <v>ud</v>
          </cell>
          <cell r="D3992">
            <v>0</v>
          </cell>
        </row>
        <row r="3993">
          <cell r="A3993" t="str">
            <v>214021</v>
          </cell>
          <cell r="B3993" t="str">
            <v>Redução FD FF PN-25 DN 400 350 conforme NBR 7675</v>
          </cell>
          <cell r="C3993" t="str">
            <v>ud</v>
          </cell>
          <cell r="D3993">
            <v>0</v>
          </cell>
        </row>
        <row r="3994">
          <cell r="A3994" t="str">
            <v>214022</v>
          </cell>
          <cell r="B3994" t="str">
            <v>Redução FD FF PN-25 DN 450 300 conforme NBR 7675</v>
          </cell>
          <cell r="C3994" t="str">
            <v>ud</v>
          </cell>
          <cell r="D3994">
            <v>0</v>
          </cell>
        </row>
        <row r="3995">
          <cell r="A3995" t="str">
            <v>214023</v>
          </cell>
          <cell r="B3995" t="str">
            <v>Redução FD FF PN-25 DN 450 350 conforme NBR 7675</v>
          </cell>
          <cell r="C3995" t="str">
            <v>ud</v>
          </cell>
          <cell r="D3995">
            <v>0</v>
          </cell>
        </row>
        <row r="3996">
          <cell r="A3996" t="str">
            <v>214024</v>
          </cell>
          <cell r="B3996" t="str">
            <v>Redução FD FF PN-25 DN 450 400 conforme NBR 7675 (283750)</v>
          </cell>
          <cell r="C3996" t="str">
            <v>ud</v>
          </cell>
          <cell r="D3996">
            <v>0</v>
          </cell>
        </row>
        <row r="3997">
          <cell r="A3997" t="str">
            <v>214025</v>
          </cell>
          <cell r="B3997" t="str">
            <v>Redução FD FF PN-25 DN 500 350 conforme NBR 7675</v>
          </cell>
          <cell r="C3997" t="str">
            <v>ud</v>
          </cell>
          <cell r="D3997">
            <v>0</v>
          </cell>
        </row>
        <row r="3998">
          <cell r="A3998" t="str">
            <v>214026</v>
          </cell>
          <cell r="B3998" t="str">
            <v>Redução FD FF PN-25 DN 500 400 conforme NBR 7675</v>
          </cell>
          <cell r="C3998" t="str">
            <v>ud</v>
          </cell>
          <cell r="D3998">
            <v>0</v>
          </cell>
        </row>
        <row r="3999">
          <cell r="A3999" t="str">
            <v>214027</v>
          </cell>
          <cell r="B3999" t="str">
            <v>Redução FD FF PN-25 DN 500 450 conforme NBR 7675</v>
          </cell>
          <cell r="C3999" t="str">
            <v>ud</v>
          </cell>
          <cell r="D3999">
            <v>0</v>
          </cell>
        </row>
        <row r="4000">
          <cell r="A4000" t="str">
            <v>214028</v>
          </cell>
          <cell r="B4000" t="str">
            <v>Redução FD FF PN-25 DN 600 400 conforme NBR 7675</v>
          </cell>
          <cell r="C4000" t="str">
            <v>ud</v>
          </cell>
          <cell r="D4000">
            <v>0</v>
          </cell>
        </row>
        <row r="4001">
          <cell r="A4001" t="str">
            <v>214029</v>
          </cell>
          <cell r="B4001" t="str">
            <v>Redução FD FF PN-25 DN 600 450 conforme NBR 7675</v>
          </cell>
          <cell r="C4001" t="str">
            <v>ud</v>
          </cell>
          <cell r="D4001">
            <v>0</v>
          </cell>
        </row>
        <row r="4002">
          <cell r="A4002" t="str">
            <v>214030</v>
          </cell>
          <cell r="B4002" t="str">
            <v>Redução FD FF PN-25 DN 600 500 conforme NBR 7675</v>
          </cell>
          <cell r="C4002" t="str">
            <v>ud</v>
          </cell>
          <cell r="D4002">
            <v>0</v>
          </cell>
        </row>
        <row r="4003">
          <cell r="A4003" t="str">
            <v>214031</v>
          </cell>
          <cell r="B4003" t="str">
            <v>Redução FD FF PN-25 DN 700 600 conforme NBR 7675</v>
          </cell>
          <cell r="C4003" t="str">
            <v>ud</v>
          </cell>
          <cell r="D4003">
            <v>0</v>
          </cell>
        </row>
        <row r="4004">
          <cell r="A4004" t="str">
            <v>214032</v>
          </cell>
          <cell r="B4004" t="str">
            <v>Redução FD FF PN-25 DN 800 700 conforme NBR 7675</v>
          </cell>
          <cell r="C4004" t="str">
            <v>ud</v>
          </cell>
          <cell r="D4004">
            <v>0</v>
          </cell>
        </row>
        <row r="4005">
          <cell r="A4005" t="str">
            <v>214033</v>
          </cell>
          <cell r="B4005" t="str">
            <v>Redução FD FF PN-25 DN 900 800 conforme NBR 7675</v>
          </cell>
          <cell r="C4005" t="str">
            <v>ud</v>
          </cell>
          <cell r="D4005">
            <v>0</v>
          </cell>
        </row>
        <row r="4006">
          <cell r="A4006" t="str">
            <v>214034</v>
          </cell>
          <cell r="B4006" t="str">
            <v>Redução FD FF PN-25 DN 1000 900 conforme NBR 7675</v>
          </cell>
          <cell r="C4006" t="str">
            <v>ud</v>
          </cell>
          <cell r="D4006">
            <v>0</v>
          </cell>
        </row>
        <row r="4007">
          <cell r="A4007" t="str">
            <v>214035</v>
          </cell>
          <cell r="B4007" t="str">
            <v>Redução FD FF PN-25 DN 1200 1000 conforme NBR 7675</v>
          </cell>
          <cell r="C4007" t="str">
            <v>ud</v>
          </cell>
          <cell r="D4007">
            <v>0</v>
          </cell>
        </row>
        <row r="4008">
          <cell r="A4008" t="str">
            <v>2141</v>
          </cell>
          <cell r="B4008" t="str">
            <v>REDUÇÃO FD PONTA / BOLSA JE</v>
          </cell>
        </row>
        <row r="4009">
          <cell r="A4009" t="str">
            <v>214101</v>
          </cell>
          <cell r="B4009" t="str">
            <v>Redução FD PB JE/JE2GS DN60x50 conforme NBR 7675 (8303)</v>
          </cell>
          <cell r="C4009" t="str">
            <v>ud</v>
          </cell>
          <cell r="D4009">
            <v>0</v>
          </cell>
        </row>
        <row r="4010">
          <cell r="A4010" t="str">
            <v>214102</v>
          </cell>
          <cell r="B4010" t="str">
            <v>Redução FD PB JE/JE2GS DN75/80x50 conforme NBR 7675 (8338)</v>
          </cell>
          <cell r="C4010" t="str">
            <v>ud</v>
          </cell>
          <cell r="D4010">
            <v>0</v>
          </cell>
          <cell r="E4010">
            <v>58.8</v>
          </cell>
          <cell r="F4010">
            <v>58.8</v>
          </cell>
        </row>
        <row r="4011">
          <cell r="A4011" t="str">
            <v>214103</v>
          </cell>
          <cell r="B4011" t="str">
            <v>Redução FD PB JE/JE2GS DN100x50 conforme NBR 7675 (8419)</v>
          </cell>
          <cell r="C4011" t="str">
            <v>ud</v>
          </cell>
          <cell r="D4011">
            <v>0</v>
          </cell>
          <cell r="E4011">
            <v>83.01</v>
          </cell>
          <cell r="F4011">
            <v>83.01</v>
          </cell>
        </row>
        <row r="4012">
          <cell r="A4012" t="str">
            <v>214104</v>
          </cell>
          <cell r="B4012" t="str">
            <v>Redução FD PB JE/JE2GS DN100x75/80 conforme NBR 7675 (8486)</v>
          </cell>
          <cell r="C4012" t="str">
            <v>ud</v>
          </cell>
          <cell r="D4012">
            <v>0</v>
          </cell>
          <cell r="E4012">
            <v>83.02</v>
          </cell>
          <cell r="F4012">
            <v>83.02</v>
          </cell>
        </row>
        <row r="4013">
          <cell r="A4013" t="str">
            <v>214105</v>
          </cell>
          <cell r="B4013" t="str">
            <v>Redução FD PB JE/JE2GS DN125x100 conforme NBR 7675</v>
          </cell>
          <cell r="C4013" t="str">
            <v>ud</v>
          </cell>
          <cell r="D4013">
            <v>0</v>
          </cell>
          <cell r="E4013">
            <v>107.39</v>
          </cell>
          <cell r="F4013">
            <v>107.39</v>
          </cell>
        </row>
        <row r="4014">
          <cell r="A4014" t="str">
            <v>214106</v>
          </cell>
          <cell r="B4014" t="str">
            <v>Redução FD PB JE/JE2GS DN150x50 conforme NBR 7675</v>
          </cell>
          <cell r="C4014" t="str">
            <v>ud</v>
          </cell>
          <cell r="D4014">
            <v>0</v>
          </cell>
          <cell r="E4014">
            <v>103.76</v>
          </cell>
          <cell r="F4014">
            <v>103.76</v>
          </cell>
        </row>
        <row r="4015">
          <cell r="A4015" t="str">
            <v>214107</v>
          </cell>
          <cell r="B4015" t="str">
            <v>Redução FD PB JE/JE2GS DN150x75/80 conforme NBR 7675 (8729)</v>
          </cell>
          <cell r="C4015" t="str">
            <v>ud</v>
          </cell>
          <cell r="D4015">
            <v>0</v>
          </cell>
          <cell r="E4015">
            <v>110.72</v>
          </cell>
          <cell r="F4015">
            <v>110.72</v>
          </cell>
        </row>
        <row r="4016">
          <cell r="A4016" t="str">
            <v>214108</v>
          </cell>
          <cell r="B4016" t="str">
            <v>Redução FD PB JE/JE2GS DN150x100 conforme NBR 7675 (8753)</v>
          </cell>
          <cell r="C4016" t="str">
            <v>ud</v>
          </cell>
          <cell r="D4016">
            <v>0</v>
          </cell>
          <cell r="E4016">
            <v>124.55</v>
          </cell>
          <cell r="F4016">
            <v>124.55</v>
          </cell>
        </row>
        <row r="4017">
          <cell r="A4017" t="str">
            <v>214109</v>
          </cell>
          <cell r="B4017" t="str">
            <v>Redução FD PB JE/JE2GS DN200x50 conforme NBR 7675 (252182)</v>
          </cell>
          <cell r="C4017" t="str">
            <v>ud</v>
          </cell>
          <cell r="D4017">
            <v>0</v>
          </cell>
          <cell r="E4017">
            <v>159.12</v>
          </cell>
          <cell r="F4017">
            <v>159.12</v>
          </cell>
        </row>
        <row r="4018">
          <cell r="A4018" t="str">
            <v>214110</v>
          </cell>
          <cell r="B4018" t="str">
            <v>Redução FD PB JE/JE2GS DN200x75/80 conforme NBR 7675 (8877)</v>
          </cell>
          <cell r="C4018" t="str">
            <v>ud</v>
          </cell>
          <cell r="D4018">
            <v>0</v>
          </cell>
          <cell r="E4018">
            <v>190.32</v>
          </cell>
          <cell r="F4018">
            <v>190.32</v>
          </cell>
        </row>
        <row r="4019">
          <cell r="A4019" t="str">
            <v>214111</v>
          </cell>
          <cell r="B4019" t="str">
            <v>Redução FD PB JE/JE2GS DN200x100 conforme NBR 7675 (8931)</v>
          </cell>
          <cell r="C4019" t="str">
            <v>ud</v>
          </cell>
          <cell r="D4019">
            <v>0</v>
          </cell>
          <cell r="E4019">
            <v>217.51</v>
          </cell>
          <cell r="F4019">
            <v>217.51</v>
          </cell>
        </row>
        <row r="4020">
          <cell r="A4020" t="str">
            <v>214112</v>
          </cell>
          <cell r="B4020" t="str">
            <v>Redução FD PB JE/JE2GS DN200x150 conforme NBR 7675 (9016)</v>
          </cell>
          <cell r="C4020" t="str">
            <v>ud</v>
          </cell>
          <cell r="D4020">
            <v>0</v>
          </cell>
          <cell r="E4020">
            <v>228.33</v>
          </cell>
          <cell r="F4020">
            <v>228.33</v>
          </cell>
        </row>
        <row r="4021">
          <cell r="A4021" t="str">
            <v>214113</v>
          </cell>
          <cell r="B4021" t="str">
            <v>Redução FD PB JE/JE2GS DN250x75/80 conforme NBR 7675 (161136)</v>
          </cell>
          <cell r="C4021" t="str">
            <v>ud</v>
          </cell>
          <cell r="D4021">
            <v>0</v>
          </cell>
        </row>
        <row r="4022">
          <cell r="A4022" t="str">
            <v>214114</v>
          </cell>
          <cell r="B4022" t="str">
            <v>Redução FD PB JE/JE2GS DN250x100 conforme NBR 7675 (73431)</v>
          </cell>
          <cell r="C4022" t="str">
            <v>ud</v>
          </cell>
          <cell r="D4022">
            <v>0</v>
          </cell>
          <cell r="E4022">
            <v>285.48</v>
          </cell>
          <cell r="F4022">
            <v>285.48</v>
          </cell>
        </row>
        <row r="4023">
          <cell r="A4023" t="str">
            <v>214115</v>
          </cell>
          <cell r="B4023" t="str">
            <v>Redução FD PB JE/JE2GS DN250x150 conforme NBR 7675 (73431)</v>
          </cell>
          <cell r="C4023" t="str">
            <v>ud</v>
          </cell>
          <cell r="D4023">
            <v>0</v>
          </cell>
          <cell r="E4023">
            <v>285.48</v>
          </cell>
          <cell r="F4023">
            <v>285.48</v>
          </cell>
        </row>
        <row r="4024">
          <cell r="A4024" t="str">
            <v>214116</v>
          </cell>
          <cell r="B4024" t="str">
            <v>Redução FD PB JE/JE2GS DN250x200 conforme NBR 7675 (9172)</v>
          </cell>
          <cell r="C4024" t="str">
            <v>ud</v>
          </cell>
          <cell r="D4024">
            <v>0</v>
          </cell>
          <cell r="E4024">
            <v>258.43</v>
          </cell>
          <cell r="F4024">
            <v>258.43</v>
          </cell>
        </row>
        <row r="4025">
          <cell r="A4025" t="str">
            <v>214117</v>
          </cell>
          <cell r="B4025" t="str">
            <v>Redução FD PB JE/JE2GS DN300x100 conforme NBR 7675 (133728)</v>
          </cell>
          <cell r="C4025" t="str">
            <v>ud</v>
          </cell>
          <cell r="D4025">
            <v>0</v>
          </cell>
          <cell r="E4025">
            <v>440.45</v>
          </cell>
          <cell r="F4025">
            <v>440.45</v>
          </cell>
        </row>
        <row r="4026">
          <cell r="A4026" t="str">
            <v>214118</v>
          </cell>
          <cell r="B4026" t="str">
            <v>Redução FD PB JE/JE2GS DN300x150 conforme NBR 7675 (10219)</v>
          </cell>
          <cell r="C4026" t="str">
            <v>ud</v>
          </cell>
          <cell r="D4026">
            <v>0</v>
          </cell>
          <cell r="E4026">
            <v>462.21</v>
          </cell>
          <cell r="F4026">
            <v>462.21</v>
          </cell>
        </row>
        <row r="4027">
          <cell r="A4027" t="str">
            <v>214119</v>
          </cell>
          <cell r="B4027" t="str">
            <v>Redução FD PB JE/JE2GS DN300x200 conforme NBR 7675 (73032)</v>
          </cell>
          <cell r="C4027" t="str">
            <v>ud</v>
          </cell>
          <cell r="D4027">
            <v>0</v>
          </cell>
          <cell r="E4027">
            <v>399.67</v>
          </cell>
          <cell r="F4027">
            <v>399.67</v>
          </cell>
        </row>
        <row r="4028">
          <cell r="A4028" t="str">
            <v>214120</v>
          </cell>
          <cell r="B4028" t="str">
            <v>Redução FD PB JE/JE2GS DN300x250 conforme NBR 7675 (66885)</v>
          </cell>
          <cell r="C4028" t="str">
            <v>ud</v>
          </cell>
          <cell r="D4028">
            <v>0</v>
          </cell>
          <cell r="E4028">
            <v>415.99</v>
          </cell>
          <cell r="F4028">
            <v>415.99</v>
          </cell>
        </row>
        <row r="4029">
          <cell r="A4029" t="str">
            <v>214121</v>
          </cell>
          <cell r="B4029" t="str">
            <v>Redução FD PB JE/JE2GS DN350x200 conforme NBR 7675 (96849)</v>
          </cell>
          <cell r="C4029" t="str">
            <v>ud</v>
          </cell>
          <cell r="D4029">
            <v>0</v>
          </cell>
          <cell r="E4029">
            <v>516.59</v>
          </cell>
          <cell r="F4029">
            <v>516.59</v>
          </cell>
        </row>
        <row r="4030">
          <cell r="A4030" t="str">
            <v>214122</v>
          </cell>
          <cell r="B4030" t="str">
            <v>Redução FD PB JE/JE2GS DN350x250 conforme NBR 7675 (96857)</v>
          </cell>
          <cell r="C4030" t="str">
            <v>ud</v>
          </cell>
          <cell r="D4030">
            <v>0</v>
          </cell>
        </row>
        <row r="4031">
          <cell r="A4031" t="str">
            <v>214123</v>
          </cell>
          <cell r="B4031" t="str">
            <v>Redução FD PB JE/JE2GS DN350x300 conforme NBR 7675 (96865)</v>
          </cell>
          <cell r="C4031" t="str">
            <v>ud</v>
          </cell>
          <cell r="D4031">
            <v>0</v>
          </cell>
          <cell r="E4031">
            <v>456.69</v>
          </cell>
          <cell r="F4031">
            <v>456.69</v>
          </cell>
        </row>
        <row r="4032">
          <cell r="A4032" t="str">
            <v>214124</v>
          </cell>
          <cell r="B4032" t="str">
            <v>Redução FD PB JE/JE2GS DN400x200 conforme NBR 7675 (144843)</v>
          </cell>
          <cell r="C4032" t="str">
            <v>ud</v>
          </cell>
          <cell r="D4032">
            <v>0</v>
          </cell>
          <cell r="E4032">
            <v>643.49</v>
          </cell>
          <cell r="F4032">
            <v>643.49</v>
          </cell>
        </row>
        <row r="4033">
          <cell r="A4033" t="str">
            <v>214125</v>
          </cell>
          <cell r="B4033" t="str">
            <v>Redução FD PB JE/JE2GS DN400x250 conforme NBR 7675 (86894)</v>
          </cell>
          <cell r="C4033" t="str">
            <v>ud</v>
          </cell>
          <cell r="D4033">
            <v>0</v>
          </cell>
          <cell r="E4033">
            <v>740.34</v>
          </cell>
          <cell r="F4033">
            <v>740.34</v>
          </cell>
        </row>
        <row r="4034">
          <cell r="A4034" t="str">
            <v>214126</v>
          </cell>
          <cell r="B4034" t="str">
            <v>Redução FD PB JE/JE2GS DN400x300 conforme NBR 7675 (86908)</v>
          </cell>
          <cell r="C4034" t="str">
            <v>ud</v>
          </cell>
          <cell r="D4034">
            <v>0</v>
          </cell>
          <cell r="E4034">
            <v>740.34</v>
          </cell>
          <cell r="F4034">
            <v>740.34</v>
          </cell>
        </row>
        <row r="4035">
          <cell r="A4035" t="str">
            <v>214127</v>
          </cell>
          <cell r="B4035" t="str">
            <v>Redução FD PB JE/JE2GS DN400x350 conforme NBR 7675 (122041)</v>
          </cell>
          <cell r="C4035" t="str">
            <v>ud</v>
          </cell>
          <cell r="D4035">
            <v>0</v>
          </cell>
          <cell r="E4035">
            <v>740.34</v>
          </cell>
          <cell r="F4035">
            <v>740.34</v>
          </cell>
        </row>
        <row r="4036">
          <cell r="A4036" t="str">
            <v>214128</v>
          </cell>
          <cell r="B4036" t="str">
            <v>Redução FD PB JE/JE2GS DN500x350 conforme NBR 7675 (86843)</v>
          </cell>
          <cell r="C4036" t="str">
            <v>ud</v>
          </cell>
          <cell r="D4036">
            <v>0</v>
          </cell>
          <cell r="E4036">
            <v>923.7</v>
          </cell>
          <cell r="F4036">
            <v>923.7</v>
          </cell>
        </row>
        <row r="4037">
          <cell r="A4037" t="str">
            <v>214129</v>
          </cell>
          <cell r="B4037" t="str">
            <v>Redução FD PB JE/JE2GS DN500x400 conforme NBR 7675 (86916)</v>
          </cell>
          <cell r="C4037" t="str">
            <v>ud</v>
          </cell>
          <cell r="D4037">
            <v>0</v>
          </cell>
          <cell r="E4037">
            <v>999.84</v>
          </cell>
          <cell r="F4037">
            <v>999.84</v>
          </cell>
        </row>
        <row r="4038">
          <cell r="A4038" t="str">
            <v>214130</v>
          </cell>
          <cell r="B4038" t="str">
            <v>Redução FD PB JE/JE2GS DN600x400 conforme NBR 7675 (86924)</v>
          </cell>
          <cell r="C4038" t="str">
            <v>ud</v>
          </cell>
          <cell r="D4038">
            <v>0</v>
          </cell>
          <cell r="E4038">
            <v>1396.28</v>
          </cell>
          <cell r="F4038">
            <v>1396.28</v>
          </cell>
        </row>
        <row r="4039">
          <cell r="A4039" t="str">
            <v>214131</v>
          </cell>
          <cell r="B4039" t="str">
            <v>Redução FD PB JE/JE2GS DN600x500 conforme NBR 7675 (86932)</v>
          </cell>
          <cell r="C4039" t="str">
            <v>ud</v>
          </cell>
          <cell r="D4039">
            <v>0</v>
          </cell>
          <cell r="E4039">
            <v>1511.85</v>
          </cell>
          <cell r="F4039">
            <v>1511.85</v>
          </cell>
        </row>
        <row r="4040">
          <cell r="A4040" t="str">
            <v>2142</v>
          </cell>
          <cell r="B4040" t="str">
            <v>REDUÇÃO FD JUNTA MECÂNICA</v>
          </cell>
        </row>
        <row r="4041">
          <cell r="A4041" t="str">
            <v>214201</v>
          </cell>
          <cell r="B4041" t="str">
            <v xml:space="preserve">Redução FD JM DN  300  150 </v>
          </cell>
          <cell r="C4041" t="str">
            <v>ud</v>
          </cell>
          <cell r="D4041">
            <v>0</v>
          </cell>
          <cell r="E4041">
            <v>927.17</v>
          </cell>
          <cell r="F4041">
            <v>927.17</v>
          </cell>
        </row>
        <row r="4042">
          <cell r="A4042" t="str">
            <v>214202</v>
          </cell>
          <cell r="B4042" t="str">
            <v xml:space="preserve">Redução FD JM DN  300  200 </v>
          </cell>
          <cell r="C4042" t="str">
            <v>ud</v>
          </cell>
          <cell r="D4042">
            <v>0</v>
          </cell>
          <cell r="E4042">
            <v>982.52</v>
          </cell>
          <cell r="F4042">
            <v>982.52</v>
          </cell>
        </row>
        <row r="4043">
          <cell r="A4043" t="str">
            <v>214203</v>
          </cell>
          <cell r="B4043" t="str">
            <v xml:space="preserve">Redução FD JM DN  300  250 </v>
          </cell>
          <cell r="C4043" t="str">
            <v>ud</v>
          </cell>
          <cell r="D4043">
            <v>0</v>
          </cell>
        </row>
        <row r="4044">
          <cell r="A4044" t="str">
            <v>214204</v>
          </cell>
          <cell r="B4044" t="str">
            <v xml:space="preserve">Redução FD JM DN  350  200 </v>
          </cell>
          <cell r="C4044" t="str">
            <v>ud</v>
          </cell>
          <cell r="D4044">
            <v>0</v>
          </cell>
        </row>
        <row r="4045">
          <cell r="A4045" t="str">
            <v>214205</v>
          </cell>
          <cell r="B4045" t="str">
            <v xml:space="preserve">Redução FD JM DN  350  250 </v>
          </cell>
          <cell r="C4045" t="str">
            <v>ud</v>
          </cell>
          <cell r="D4045">
            <v>0</v>
          </cell>
        </row>
        <row r="4046">
          <cell r="A4046" t="str">
            <v>214206</v>
          </cell>
          <cell r="B4046" t="str">
            <v xml:space="preserve">Redução FD JM DN  350  300 </v>
          </cell>
          <cell r="C4046" t="str">
            <v>ud</v>
          </cell>
          <cell r="D4046">
            <v>0</v>
          </cell>
        </row>
        <row r="4047">
          <cell r="A4047" t="str">
            <v>214207</v>
          </cell>
          <cell r="B4047" t="str">
            <v xml:space="preserve">Redução FD JM DN  400  250 </v>
          </cell>
          <cell r="C4047" t="str">
            <v>ud</v>
          </cell>
          <cell r="D4047">
            <v>0</v>
          </cell>
        </row>
        <row r="4048">
          <cell r="A4048" t="str">
            <v>214208</v>
          </cell>
          <cell r="B4048" t="str">
            <v xml:space="preserve">Redução FD JM DN  400  300 </v>
          </cell>
          <cell r="C4048" t="str">
            <v>ud</v>
          </cell>
          <cell r="D4048">
            <v>0</v>
          </cell>
        </row>
        <row r="4049">
          <cell r="A4049" t="str">
            <v>214209</v>
          </cell>
          <cell r="B4049" t="str">
            <v xml:space="preserve">Redução FD JM DN  400  350 </v>
          </cell>
          <cell r="C4049" t="str">
            <v>ud</v>
          </cell>
          <cell r="D4049">
            <v>0</v>
          </cell>
        </row>
        <row r="4050">
          <cell r="A4050" t="str">
            <v>214210</v>
          </cell>
          <cell r="B4050" t="str">
            <v xml:space="preserve">Redução FD JM DN  400  400 </v>
          </cell>
          <cell r="C4050" t="str">
            <v>ud</v>
          </cell>
          <cell r="D4050">
            <v>0</v>
          </cell>
        </row>
        <row r="4051">
          <cell r="A4051" t="str">
            <v>214211</v>
          </cell>
          <cell r="B4051" t="str">
            <v xml:space="preserve">Redução FD JM DN  500  350 </v>
          </cell>
          <cell r="C4051" t="str">
            <v>ud</v>
          </cell>
          <cell r="D4051">
            <v>0</v>
          </cell>
        </row>
        <row r="4052">
          <cell r="A4052" t="str">
            <v>214212</v>
          </cell>
          <cell r="B4052" t="str">
            <v xml:space="preserve">Redução FD JM DN  500  400 </v>
          </cell>
          <cell r="C4052" t="str">
            <v>ud</v>
          </cell>
          <cell r="D4052">
            <v>0</v>
          </cell>
        </row>
        <row r="4053">
          <cell r="A4053" t="str">
            <v>214213</v>
          </cell>
          <cell r="B4053" t="str">
            <v xml:space="preserve">Redução FD JM DN  500  450 </v>
          </cell>
          <cell r="C4053" t="str">
            <v>ud</v>
          </cell>
          <cell r="D4053">
            <v>0</v>
          </cell>
          <cell r="E4053">
            <v>2968.33</v>
          </cell>
          <cell r="F4053">
            <v>2968.33</v>
          </cell>
        </row>
        <row r="4054">
          <cell r="A4054" t="str">
            <v>214214</v>
          </cell>
          <cell r="B4054" t="str">
            <v xml:space="preserve">Redução FD JM DN  600  400 </v>
          </cell>
          <cell r="C4054" t="str">
            <v>ud</v>
          </cell>
          <cell r="D4054">
            <v>0</v>
          </cell>
        </row>
        <row r="4055">
          <cell r="A4055" t="str">
            <v>214215</v>
          </cell>
          <cell r="B4055" t="str">
            <v xml:space="preserve">Redução FD JM DN  600  450 </v>
          </cell>
          <cell r="C4055" t="str">
            <v>ud</v>
          </cell>
          <cell r="D4055">
            <v>0</v>
          </cell>
        </row>
        <row r="4056">
          <cell r="A4056" t="str">
            <v>214216</v>
          </cell>
          <cell r="B4056" t="str">
            <v xml:space="preserve">Redução FD JM DN  600  500 </v>
          </cell>
          <cell r="C4056" t="str">
            <v>ud</v>
          </cell>
          <cell r="D4056">
            <v>0</v>
          </cell>
        </row>
        <row r="4057">
          <cell r="A4057" t="str">
            <v>214217</v>
          </cell>
          <cell r="B4057" t="str">
            <v xml:space="preserve">Redução FD JM DN  700  500 </v>
          </cell>
          <cell r="C4057" t="str">
            <v>ud</v>
          </cell>
          <cell r="D4057">
            <v>0</v>
          </cell>
        </row>
        <row r="4058">
          <cell r="A4058" t="str">
            <v>214218</v>
          </cell>
          <cell r="B4058" t="str">
            <v xml:space="preserve">Redução FD JM DN  700  600 </v>
          </cell>
          <cell r="C4058" t="str">
            <v>ud</v>
          </cell>
          <cell r="D4058">
            <v>0</v>
          </cell>
          <cell r="E4058">
            <v>5812.11</v>
          </cell>
          <cell r="F4058">
            <v>5812.11</v>
          </cell>
        </row>
        <row r="4059">
          <cell r="A4059" t="str">
            <v>214219</v>
          </cell>
          <cell r="B4059" t="str">
            <v xml:space="preserve">Redução FD JM DN  800  600 </v>
          </cell>
          <cell r="C4059" t="str">
            <v>ud</v>
          </cell>
          <cell r="D4059">
            <v>0</v>
          </cell>
        </row>
        <row r="4060">
          <cell r="A4060" t="str">
            <v>214220</v>
          </cell>
          <cell r="B4060" t="str">
            <v xml:space="preserve">Redução FD JM DN  800  700 </v>
          </cell>
          <cell r="C4060" t="str">
            <v>ud</v>
          </cell>
          <cell r="D4060">
            <v>0</v>
          </cell>
        </row>
        <row r="4061">
          <cell r="A4061" t="str">
            <v>214221</v>
          </cell>
          <cell r="B4061" t="str">
            <v xml:space="preserve">Redução FD JM DN  900  700 </v>
          </cell>
          <cell r="C4061" t="str">
            <v>ud</v>
          </cell>
          <cell r="D4061">
            <v>0</v>
          </cell>
        </row>
        <row r="4062">
          <cell r="A4062" t="str">
            <v>214222</v>
          </cell>
          <cell r="B4062" t="str">
            <v xml:space="preserve">Redução FD JM DN  900  800 </v>
          </cell>
          <cell r="C4062" t="str">
            <v>ud</v>
          </cell>
          <cell r="D4062">
            <v>0</v>
          </cell>
        </row>
        <row r="4063">
          <cell r="A4063" t="str">
            <v>214223</v>
          </cell>
          <cell r="B4063" t="str">
            <v xml:space="preserve">Redução FD JM DN 1000 800 </v>
          </cell>
          <cell r="C4063" t="str">
            <v>ud</v>
          </cell>
          <cell r="D4063">
            <v>0</v>
          </cell>
        </row>
        <row r="4064">
          <cell r="A4064" t="str">
            <v>214224</v>
          </cell>
          <cell r="B4064" t="str">
            <v xml:space="preserve">Redução FD JM DN 1000 900 </v>
          </cell>
          <cell r="C4064" t="str">
            <v>ud</v>
          </cell>
          <cell r="D4064">
            <v>0</v>
          </cell>
        </row>
        <row r="4065">
          <cell r="A4065" t="str">
            <v>214225</v>
          </cell>
          <cell r="B4065" t="str">
            <v xml:space="preserve">Redução FD JM DN 1200 1000 </v>
          </cell>
          <cell r="C4065" t="str">
            <v>ud</v>
          </cell>
          <cell r="D4065">
            <v>0</v>
          </cell>
        </row>
        <row r="4066">
          <cell r="A4066" t="str">
            <v>2143</v>
          </cell>
          <cell r="B4066" t="str">
            <v>REDUÇÃO FD PONTA / BOLSA  P/ INTERLIGAÇÃO C/  PVC</v>
          </cell>
        </row>
        <row r="4067">
          <cell r="A4067" t="str">
            <v>214301</v>
          </cell>
          <cell r="B4067" t="str">
            <v>Redução FD PB JE para interligação PVC PBA DN100x50 conforme NBR5647 (101672)</v>
          </cell>
          <cell r="C4067" t="str">
            <v>ud</v>
          </cell>
          <cell r="D4067">
            <v>0</v>
          </cell>
          <cell r="E4067">
            <v>65.73</v>
          </cell>
          <cell r="F4067">
            <v>65.73</v>
          </cell>
        </row>
        <row r="4068">
          <cell r="A4068" t="str">
            <v>214302</v>
          </cell>
          <cell r="B4068" t="str">
            <v>Redução FD PB JE para interligação PVC PBA DN100x75/80 conforme NBR5647 (101680)</v>
          </cell>
          <cell r="C4068" t="str">
            <v>ud</v>
          </cell>
          <cell r="D4068">
            <v>0</v>
          </cell>
          <cell r="E4068">
            <v>69.17</v>
          </cell>
          <cell r="F4068">
            <v>69.17</v>
          </cell>
        </row>
        <row r="4069">
          <cell r="A4069" t="str">
            <v>214303</v>
          </cell>
          <cell r="B4069" t="str">
            <v>Redução FD PB JE para interligação PVC PBA DN150x50 conforme NBR5647 (118630)</v>
          </cell>
          <cell r="C4069" t="str">
            <v>ud</v>
          </cell>
          <cell r="D4069">
            <v>0</v>
          </cell>
          <cell r="E4069">
            <v>124.55</v>
          </cell>
          <cell r="F4069">
            <v>124.55</v>
          </cell>
        </row>
        <row r="4070">
          <cell r="A4070" t="str">
            <v>214304</v>
          </cell>
          <cell r="B4070" t="str">
            <v>Redução FD PB JE para interligação PVC PBA DN150x75/80 conforme NBR5647 (101699)</v>
          </cell>
          <cell r="C4070" t="str">
            <v>ud</v>
          </cell>
          <cell r="D4070">
            <v>0</v>
          </cell>
          <cell r="E4070">
            <v>124.55</v>
          </cell>
          <cell r="F4070">
            <v>124.55</v>
          </cell>
        </row>
        <row r="4071">
          <cell r="A4071" t="str">
            <v>214305</v>
          </cell>
          <cell r="B4071" t="str">
            <v>Redução FD PB JE para interligação PVC PBA DN150x100 conforme NBR5647 (101702)</v>
          </cell>
          <cell r="C4071" t="str">
            <v>ud</v>
          </cell>
          <cell r="D4071">
            <v>0</v>
          </cell>
          <cell r="E4071">
            <v>124.55</v>
          </cell>
          <cell r="F4071">
            <v>124.55</v>
          </cell>
        </row>
        <row r="4072">
          <cell r="A4072" t="str">
            <v>214306</v>
          </cell>
          <cell r="B4072" t="str">
            <v>Redução FD PB JE para interligação PVC PBA DN200x50 conforme NBR5647 (251453)</v>
          </cell>
          <cell r="C4072" t="str">
            <v>ud</v>
          </cell>
          <cell r="D4072">
            <v>0</v>
          </cell>
        </row>
        <row r="4073">
          <cell r="A4073" t="str">
            <v>214307</v>
          </cell>
          <cell r="B4073" t="str">
            <v>Redução FD PB JE para interligação PVC PBA DN200x75/80 conforme NBR5647 (137448)</v>
          </cell>
          <cell r="C4073" t="str">
            <v>ud</v>
          </cell>
          <cell r="D4073">
            <v>0</v>
          </cell>
        </row>
        <row r="4074">
          <cell r="A4074" t="str">
            <v>214308</v>
          </cell>
          <cell r="B4074" t="str">
            <v>Redução FD PB JE para interligação PVC PBA DN200x100 conforme NBR5647 (101710)</v>
          </cell>
          <cell r="C4074" t="str">
            <v>ud</v>
          </cell>
          <cell r="D4074">
            <v>0</v>
          </cell>
          <cell r="E4074">
            <v>186.84</v>
          </cell>
          <cell r="F4074">
            <v>186.84</v>
          </cell>
        </row>
        <row r="4075">
          <cell r="A4075" t="str">
            <v>214309</v>
          </cell>
          <cell r="B4075" t="str">
            <v>Redução FD PB JE para interligação PVC PBA DN250x50 conforme NBR5647</v>
          </cell>
          <cell r="C4075" t="str">
            <v>ud</v>
          </cell>
          <cell r="D4075">
            <v>0</v>
          </cell>
        </row>
        <row r="4076">
          <cell r="A4076" t="str">
            <v>214310</v>
          </cell>
          <cell r="B4076" t="str">
            <v>Redução FD PB JE para interligação PVC PBA DN250x75/80 conforme NBR5647</v>
          </cell>
          <cell r="C4076" t="str">
            <v>ud</v>
          </cell>
          <cell r="D4076">
            <v>0</v>
          </cell>
        </row>
        <row r="4077">
          <cell r="A4077" t="str">
            <v>214311</v>
          </cell>
          <cell r="B4077" t="str">
            <v>Redução FD PB JE para interligação PVC PBA DN250x100 conforme NBR5647</v>
          </cell>
          <cell r="C4077" t="str">
            <v>ud</v>
          </cell>
          <cell r="D4077">
            <v>0</v>
          </cell>
          <cell r="E4077">
            <v>285.48</v>
          </cell>
          <cell r="F4077">
            <v>285.48</v>
          </cell>
        </row>
        <row r="4078">
          <cell r="A4078" t="str">
            <v>2159</v>
          </cell>
          <cell r="B4078" t="str">
            <v>SINO DE SUCÇÃO FD</v>
          </cell>
        </row>
        <row r="4079">
          <cell r="A4079" t="str">
            <v>215901</v>
          </cell>
          <cell r="B4079" t="str">
            <v>Sino de sucção FD DN 100 conforme especificação</v>
          </cell>
          <cell r="C4079" t="str">
            <v>ud</v>
          </cell>
          <cell r="D4079">
            <v>0</v>
          </cell>
        </row>
        <row r="4080">
          <cell r="A4080" t="str">
            <v>215902</v>
          </cell>
          <cell r="B4080" t="str">
            <v>Sino de sucção FD DN 150 conforme especificação</v>
          </cell>
          <cell r="C4080" t="str">
            <v>ud</v>
          </cell>
          <cell r="D4080">
            <v>0</v>
          </cell>
        </row>
        <row r="4081">
          <cell r="A4081" t="str">
            <v>215903</v>
          </cell>
          <cell r="B4081" t="str">
            <v>Sino de sucção FD DN 200 conforme especificação</v>
          </cell>
          <cell r="C4081" t="str">
            <v>ud</v>
          </cell>
          <cell r="D4081">
            <v>0</v>
          </cell>
        </row>
        <row r="4082">
          <cell r="A4082" t="str">
            <v>215904</v>
          </cell>
          <cell r="B4082" t="str">
            <v>Sino de sucção FD DN 250 conforme especificação</v>
          </cell>
          <cell r="C4082" t="str">
            <v>ud</v>
          </cell>
          <cell r="D4082">
            <v>0</v>
          </cell>
        </row>
        <row r="4083">
          <cell r="A4083" t="str">
            <v>215905</v>
          </cell>
          <cell r="B4083" t="str">
            <v>Sino de sucção FD DN 300 conforme especificação</v>
          </cell>
          <cell r="C4083" t="str">
            <v>ud</v>
          </cell>
          <cell r="D4083">
            <v>0</v>
          </cell>
        </row>
        <row r="4084">
          <cell r="A4084" t="str">
            <v>215906</v>
          </cell>
          <cell r="B4084" t="str">
            <v>Sino de sucção FD DN 400 conforme especificação</v>
          </cell>
          <cell r="C4084" t="str">
            <v>ud</v>
          </cell>
          <cell r="D4084">
            <v>0</v>
          </cell>
        </row>
        <row r="4085">
          <cell r="A4085" t="str">
            <v>215907</v>
          </cell>
          <cell r="B4085" t="str">
            <v>Sino de sucção FD DN 500 conforme especificação</v>
          </cell>
          <cell r="C4085" t="str">
            <v>ud</v>
          </cell>
          <cell r="D4085">
            <v>0</v>
          </cell>
        </row>
        <row r="4086">
          <cell r="A4086" t="str">
            <v>215908</v>
          </cell>
          <cell r="B4086" t="str">
            <v>Sino de sucção FD DN 600 conforme especificação</v>
          </cell>
          <cell r="C4086" t="str">
            <v>ud</v>
          </cell>
          <cell r="D4086">
            <v>0</v>
          </cell>
        </row>
        <row r="4087">
          <cell r="A4087" t="str">
            <v>2160</v>
          </cell>
          <cell r="B4087" t="str">
            <v>TAMPÃO FD</v>
          </cell>
        </row>
        <row r="4088">
          <cell r="A4088" t="str">
            <v>216001</v>
          </cell>
          <cell r="B4088" t="str">
            <v>Tampão THD-1 para ligação predial (190144)</v>
          </cell>
          <cell r="C4088" t="str">
            <v>ud</v>
          </cell>
          <cell r="D4088">
            <v>0</v>
          </cell>
          <cell r="F4088">
            <v>0</v>
          </cell>
        </row>
        <row r="4089">
          <cell r="A4089" t="str">
            <v>216002</v>
          </cell>
          <cell r="B4089" t="str">
            <v>Tampão THD-2 para ligação predial (190209)</v>
          </cell>
          <cell r="C4089" t="str">
            <v>ud</v>
          </cell>
          <cell r="D4089">
            <v>0</v>
          </cell>
          <cell r="F4089">
            <v>0</v>
          </cell>
        </row>
        <row r="4090">
          <cell r="A4090" t="str">
            <v>216003</v>
          </cell>
          <cell r="B4090" t="str">
            <v>Tampão THD-3 para ligação predial (282432)</v>
          </cell>
          <cell r="C4090" t="str">
            <v>ud</v>
          </cell>
          <cell r="D4090">
            <v>0</v>
          </cell>
          <cell r="F4090">
            <v>0</v>
          </cell>
        </row>
        <row r="4091">
          <cell r="A4091" t="str">
            <v>216004</v>
          </cell>
          <cell r="B4091" t="str">
            <v>Tampão T-19 FD p/ hidrante padrão Sanepar (10774)</v>
          </cell>
          <cell r="C4091" t="str">
            <v>ud</v>
          </cell>
          <cell r="D4091">
            <v>0</v>
          </cell>
          <cell r="E4091">
            <v>275.06</v>
          </cell>
          <cell r="F4091">
            <v>275.06</v>
          </cell>
        </row>
        <row r="4092">
          <cell r="A4092" t="str">
            <v>216005</v>
          </cell>
          <cell r="B4092" t="str">
            <v>Tampão T-27 FD p/ hidrante padrão Sanepar (10790)</v>
          </cell>
          <cell r="C4092" t="str">
            <v>ud</v>
          </cell>
          <cell r="D4092">
            <v>0</v>
          </cell>
        </row>
        <row r="4093">
          <cell r="A4093" t="str">
            <v>2161</v>
          </cell>
          <cell r="B4093" t="str">
            <v>TE FD COM BOLSAS</v>
          </cell>
        </row>
        <row r="4094">
          <cell r="A4094" t="str">
            <v>216101</v>
          </cell>
          <cell r="B4094" t="str">
            <v>Te FD BBB JE/JE2GS DN50x50 conforme norma NBR7675</v>
          </cell>
          <cell r="C4094" t="str">
            <v>ud</v>
          </cell>
          <cell r="D4094">
            <v>0</v>
          </cell>
          <cell r="E4094">
            <v>96.9</v>
          </cell>
          <cell r="F4094">
            <v>96.9</v>
          </cell>
        </row>
        <row r="4095">
          <cell r="A4095" t="str">
            <v>216102</v>
          </cell>
          <cell r="B4095" t="str">
            <v>Te FD BBB JE/JE2GS DN75x75 / DN80x80 conforme norma NBR7675 (137740)</v>
          </cell>
          <cell r="C4095" t="str">
            <v>ud</v>
          </cell>
          <cell r="D4095">
            <v>0</v>
          </cell>
          <cell r="E4095">
            <v>134.91</v>
          </cell>
          <cell r="F4095">
            <v>134.91</v>
          </cell>
        </row>
        <row r="4096">
          <cell r="A4096" t="str">
            <v>216103</v>
          </cell>
          <cell r="B4096" t="str">
            <v>Te FD BBB JE/JE2GS DN100x100 conforme norma NBR7675 (11169)</v>
          </cell>
          <cell r="C4096" t="str">
            <v>ud</v>
          </cell>
          <cell r="D4096">
            <v>0</v>
          </cell>
          <cell r="E4096">
            <v>193.74</v>
          </cell>
          <cell r="F4096">
            <v>193.74</v>
          </cell>
        </row>
        <row r="4097">
          <cell r="A4097" t="str">
            <v>216104</v>
          </cell>
          <cell r="B4097" t="str">
            <v>Te FD BBB JE/JE2GS DN150x150 conforme norma NBR7675 (11487)</v>
          </cell>
          <cell r="C4097" t="str">
            <v>ud</v>
          </cell>
          <cell r="D4097">
            <v>0</v>
          </cell>
          <cell r="E4097">
            <v>297.52999999999997</v>
          </cell>
          <cell r="F4097">
            <v>297.52999999999997</v>
          </cell>
        </row>
        <row r="4098">
          <cell r="A4098" t="str">
            <v>216105</v>
          </cell>
          <cell r="B4098" t="str">
            <v>Te FD BBB JE/JE2GS DN200x200 conforme norma NBR7675 (11720)</v>
          </cell>
          <cell r="C4098" t="str">
            <v>ud</v>
          </cell>
          <cell r="D4098">
            <v>0</v>
          </cell>
          <cell r="E4098">
            <v>498.16</v>
          </cell>
          <cell r="F4098">
            <v>498.16</v>
          </cell>
        </row>
        <row r="4099">
          <cell r="A4099" t="str">
            <v>216106</v>
          </cell>
          <cell r="B4099" t="str">
            <v>Te FD BBB JE/JE2GS DN250x250 conforme norma NBR7675 (57835)</v>
          </cell>
          <cell r="C4099" t="str">
            <v>ud</v>
          </cell>
          <cell r="D4099">
            <v>0</v>
          </cell>
          <cell r="E4099">
            <v>781.88</v>
          </cell>
          <cell r="F4099">
            <v>781.88</v>
          </cell>
        </row>
        <row r="4100">
          <cell r="A4100" t="str">
            <v>216107</v>
          </cell>
          <cell r="B4100" t="str">
            <v>Te FD BBB JE/JE2GS DN300x300 conforme norma NBR7675 (87050)</v>
          </cell>
          <cell r="C4100" t="str">
            <v>ud</v>
          </cell>
          <cell r="D4100">
            <v>0</v>
          </cell>
          <cell r="E4100">
            <v>989.49</v>
          </cell>
          <cell r="F4100">
            <v>989.49</v>
          </cell>
        </row>
        <row r="4101">
          <cell r="A4101" t="str">
            <v>216108</v>
          </cell>
          <cell r="B4101" t="str">
            <v>Te FD BBB JE/JE2GS DN350x350 conforme norma NBR7675</v>
          </cell>
          <cell r="C4101" t="str">
            <v>ud</v>
          </cell>
          <cell r="D4101">
            <v>0</v>
          </cell>
          <cell r="E4101">
            <v>1342.31</v>
          </cell>
          <cell r="F4101">
            <v>1342.31</v>
          </cell>
        </row>
        <row r="4102">
          <cell r="A4102" t="str">
            <v>216109</v>
          </cell>
          <cell r="B4102" t="str">
            <v>Te FD BBB JE/JE2GS DN400x400 conforme norma NBR7675 (121835)</v>
          </cell>
          <cell r="C4102" t="str">
            <v>ud</v>
          </cell>
          <cell r="D4102">
            <v>0</v>
          </cell>
          <cell r="E4102">
            <v>1706.1</v>
          </cell>
          <cell r="F4102">
            <v>1706.1</v>
          </cell>
        </row>
        <row r="4103">
          <cell r="A4103" t="str">
            <v>216110</v>
          </cell>
          <cell r="B4103" t="str">
            <v>Te FD BBB JE/JE2GS DN450x450 conforme norma NBR7675 (144789)</v>
          </cell>
          <cell r="C4103" t="str">
            <v>ud</v>
          </cell>
          <cell r="D4103">
            <v>0</v>
          </cell>
        </row>
        <row r="4104">
          <cell r="A4104" t="str">
            <v>216111</v>
          </cell>
          <cell r="B4104" t="str">
            <v>Te FD BBB JE/JE2GS DN500x500 conforme norma NBR7675 (86851)</v>
          </cell>
          <cell r="C4104" t="str">
            <v>ud</v>
          </cell>
          <cell r="D4104">
            <v>0</v>
          </cell>
          <cell r="E4104">
            <v>3414.63</v>
          </cell>
          <cell r="F4104">
            <v>3414.63</v>
          </cell>
        </row>
        <row r="4105">
          <cell r="A4105" t="str">
            <v>216112</v>
          </cell>
          <cell r="B4105" t="str">
            <v>Te FD BBB JE/JE2GS DN600x600 conforme norma NBR7675 (87149)</v>
          </cell>
          <cell r="C4105" t="str">
            <v>ud</v>
          </cell>
          <cell r="D4105">
            <v>0</v>
          </cell>
          <cell r="E4105">
            <v>4974.91</v>
          </cell>
          <cell r="F4105">
            <v>4974.91</v>
          </cell>
        </row>
        <row r="4106">
          <cell r="A4106" t="str">
            <v>216113</v>
          </cell>
          <cell r="B4106" t="str">
            <v>Te FD BBB JE/JE2GS DN700x700 conforme norma NBR7675</v>
          </cell>
          <cell r="C4106" t="str">
            <v>ud</v>
          </cell>
          <cell r="D4106">
            <v>0</v>
          </cell>
          <cell r="E4106">
            <v>5241.45</v>
          </cell>
          <cell r="F4106">
            <v>5241.45</v>
          </cell>
        </row>
        <row r="4107">
          <cell r="A4107" t="str">
            <v>216114</v>
          </cell>
          <cell r="B4107" t="str">
            <v>Te FD BBB JE/JE2GS DN800x800 conforme norma NBR7675</v>
          </cell>
          <cell r="C4107" t="str">
            <v>ud</v>
          </cell>
          <cell r="D4107">
            <v>0</v>
          </cell>
          <cell r="E4107">
            <v>9408.81</v>
          </cell>
          <cell r="F4107">
            <v>9408.81</v>
          </cell>
        </row>
        <row r="4108">
          <cell r="A4108" t="str">
            <v>216115</v>
          </cell>
          <cell r="B4108" t="str">
            <v>Te FD BBB JE/JE2GS DN900x900 conforme norma NBR7675</v>
          </cell>
          <cell r="C4108" t="str">
            <v>ud</v>
          </cell>
          <cell r="D4108">
            <v>0</v>
          </cell>
        </row>
        <row r="4109">
          <cell r="A4109" t="str">
            <v>216116</v>
          </cell>
          <cell r="B4109" t="str">
            <v>Te FD BBB JE/JE2GS DN1000x1000 conforme norma NBR7675</v>
          </cell>
          <cell r="C4109" t="str">
            <v>ud</v>
          </cell>
          <cell r="D4109">
            <v>0</v>
          </cell>
        </row>
        <row r="4110">
          <cell r="A4110" t="str">
            <v>216117</v>
          </cell>
          <cell r="B4110" t="str">
            <v>Te FD BBB JE/JE2GS DN1100x1100 conforme norma NBR7675</v>
          </cell>
          <cell r="C4110" t="str">
            <v>ud</v>
          </cell>
          <cell r="D4110">
            <v>0</v>
          </cell>
        </row>
        <row r="4111">
          <cell r="A4111" t="str">
            <v>216118</v>
          </cell>
          <cell r="B4111" t="str">
            <v>Te FD BBB JE/JE2GS DN1200x1200 conforme norma NBR7675</v>
          </cell>
          <cell r="C4111" t="str">
            <v>ud</v>
          </cell>
          <cell r="D4111">
            <v>0</v>
          </cell>
        </row>
        <row r="4112">
          <cell r="A4112" t="str">
            <v>2162</v>
          </cell>
          <cell r="B4112" t="str">
            <v>TE FD COM BOLSAS E FLANGE</v>
          </cell>
        </row>
        <row r="4113">
          <cell r="A4113" t="str">
            <v>216201</v>
          </cell>
          <cell r="B4113" t="str">
            <v>Te FD BBF JE/JE2GS PN-10 DN50x50 conforme NBR767</v>
          </cell>
          <cell r="C4113" t="str">
            <v>ud</v>
          </cell>
          <cell r="D4113">
            <v>0</v>
          </cell>
          <cell r="E4113">
            <v>121.1</v>
          </cell>
          <cell r="F4113">
            <v>121.1</v>
          </cell>
        </row>
        <row r="4114">
          <cell r="A4114" t="str">
            <v>216202</v>
          </cell>
          <cell r="B4114" t="str">
            <v>Te FD BBF JE/JE2GS PN-10 DN75x75 / DN80x80 conforme NBR767 (11940)</v>
          </cell>
          <cell r="C4114" t="str">
            <v>ud</v>
          </cell>
          <cell r="D4114">
            <v>0</v>
          </cell>
        </row>
        <row r="4115">
          <cell r="A4115" t="str">
            <v>216203</v>
          </cell>
          <cell r="B4115" t="str">
            <v>Te FD BBF JE/JE2GS PN-10 DN100x100 conforme NBR7675</v>
          </cell>
          <cell r="C4115" t="str">
            <v>ud</v>
          </cell>
          <cell r="D4115">
            <v>0</v>
          </cell>
          <cell r="E4115">
            <v>258.29000000000002</v>
          </cell>
          <cell r="F4115">
            <v>258.29000000000002</v>
          </cell>
        </row>
        <row r="4116">
          <cell r="A4116" t="str">
            <v>216204</v>
          </cell>
          <cell r="B4116" t="str">
            <v>Te FD BBF JE/JE2GS PN-10 DN150x150 conforme NBR7675</v>
          </cell>
          <cell r="C4116" t="str">
            <v>ud</v>
          </cell>
          <cell r="D4116">
            <v>0</v>
          </cell>
          <cell r="E4116">
            <v>448.61</v>
          </cell>
          <cell r="F4116">
            <v>448.61</v>
          </cell>
        </row>
        <row r="4117">
          <cell r="A4117" t="str">
            <v>216205</v>
          </cell>
          <cell r="B4117" t="str">
            <v>Te FD BBF JE/JE2GS PN-10 DN200x200 conforme NBR7675 (293624)</v>
          </cell>
          <cell r="C4117" t="str">
            <v>ud</v>
          </cell>
          <cell r="D4117">
            <v>0</v>
          </cell>
          <cell r="E4117">
            <v>614.38</v>
          </cell>
          <cell r="F4117">
            <v>614.38</v>
          </cell>
        </row>
        <row r="4118">
          <cell r="A4118" t="str">
            <v>216206</v>
          </cell>
          <cell r="B4118" t="str">
            <v>Te FD BBF JE/JE2GS PN-10 DN250x250 conforme NBR7675 (293625)</v>
          </cell>
          <cell r="C4118" t="str">
            <v>ud</v>
          </cell>
          <cell r="D4118">
            <v>0</v>
          </cell>
        </row>
        <row r="4119">
          <cell r="A4119" t="str">
            <v>216207</v>
          </cell>
          <cell r="B4119" t="str">
            <v>Te FD BBF JE/JE2GS PN-10 DN300x300 conforme NBR7675 (264920)</v>
          </cell>
          <cell r="C4119" t="str">
            <v>ud</v>
          </cell>
          <cell r="D4119">
            <v>0</v>
          </cell>
          <cell r="E4119">
            <v>1325.4</v>
          </cell>
          <cell r="F4119">
            <v>1325.4</v>
          </cell>
        </row>
        <row r="4120">
          <cell r="A4120" t="str">
            <v>216208</v>
          </cell>
          <cell r="B4120" t="str">
            <v>Te FD BBF JE/JE2GS PN-10 DN350x350 conforme NBR7675 (39535)</v>
          </cell>
          <cell r="C4120" t="str">
            <v>ud</v>
          </cell>
          <cell r="D4120">
            <v>0</v>
          </cell>
        </row>
        <row r="4121">
          <cell r="A4121" t="str">
            <v>216209</v>
          </cell>
          <cell r="B4121" t="str">
            <v>Te FD BBF JE/JE2GS PN-10 DN400x400 conforme NBR7675 (98450)</v>
          </cell>
          <cell r="C4121" t="str">
            <v>ud</v>
          </cell>
          <cell r="D4121">
            <v>0</v>
          </cell>
        </row>
        <row r="4122">
          <cell r="A4122" t="str">
            <v>216210</v>
          </cell>
          <cell r="B4122" t="str">
            <v>Te FD BBF JE/JE2GS PN-10 DN450x450 conforme NBR767 (123129)</v>
          </cell>
          <cell r="C4122" t="str">
            <v>ud</v>
          </cell>
          <cell r="D4122">
            <v>0</v>
          </cell>
        </row>
        <row r="4123">
          <cell r="A4123" t="str">
            <v>216211</v>
          </cell>
          <cell r="B4123" t="str">
            <v>Te FD BBF JE/JE2GS PN-10 DN500x500 conforme NBR7675</v>
          </cell>
          <cell r="C4123" t="str">
            <v>ud</v>
          </cell>
          <cell r="D4123">
            <v>0</v>
          </cell>
        </row>
        <row r="4124">
          <cell r="A4124" t="str">
            <v>216212</v>
          </cell>
          <cell r="B4124" t="str">
            <v>Te FD BBF JE/JE2GS PN-10 DN600x600 conforme NBR7675 (133272)</v>
          </cell>
          <cell r="C4124" t="str">
            <v>ud</v>
          </cell>
          <cell r="D4124">
            <v>0</v>
          </cell>
        </row>
        <row r="4125">
          <cell r="A4125" t="str">
            <v>216213</v>
          </cell>
          <cell r="B4125" t="str">
            <v>Te FD BBF JE/JE2GS PN-10 DN700x700 conforme NBR7675</v>
          </cell>
          <cell r="C4125" t="str">
            <v>ud</v>
          </cell>
          <cell r="D4125">
            <v>0</v>
          </cell>
        </row>
        <row r="4126">
          <cell r="A4126" t="str">
            <v>216214</v>
          </cell>
          <cell r="B4126" t="str">
            <v>Te FD BBF JE/JE2GS PN-10 DN800x800 conforme NBR7675</v>
          </cell>
          <cell r="C4126" t="str">
            <v>ud</v>
          </cell>
          <cell r="D4126">
            <v>0</v>
          </cell>
        </row>
        <row r="4127">
          <cell r="A4127" t="str">
            <v>216215</v>
          </cell>
          <cell r="B4127" t="str">
            <v>Te FD BBF JE/JE2GS PN-10 DN900x900 conforme NBR7675</v>
          </cell>
          <cell r="C4127" t="str">
            <v>ud</v>
          </cell>
          <cell r="D4127">
            <v>0</v>
          </cell>
        </row>
        <row r="4128">
          <cell r="A4128" t="str">
            <v>216216</v>
          </cell>
          <cell r="B4128" t="str">
            <v>Te FD BBF JE/JE2GS PN-10 DN1000x1000 conforme NBR7675</v>
          </cell>
          <cell r="C4128" t="str">
            <v>ud</v>
          </cell>
          <cell r="D4128">
            <v>0</v>
          </cell>
        </row>
        <row r="4129">
          <cell r="A4129" t="str">
            <v>216217</v>
          </cell>
          <cell r="B4129" t="str">
            <v>Te FD BBF JE/JE2GS PN-10 DN1100x1100 conforme NBR767</v>
          </cell>
          <cell r="C4129" t="str">
            <v>ud</v>
          </cell>
          <cell r="D4129">
            <v>0</v>
          </cell>
        </row>
        <row r="4130">
          <cell r="A4130" t="str">
            <v>216218</v>
          </cell>
          <cell r="B4130" t="str">
            <v>Te FD BBF JE/JE2GS PN-10 DN1200x1200 conforme NBR7675</v>
          </cell>
          <cell r="C4130" t="str">
            <v>ud</v>
          </cell>
          <cell r="D4130">
            <v>0</v>
          </cell>
        </row>
        <row r="4131">
          <cell r="A4131" t="str">
            <v>216219</v>
          </cell>
          <cell r="B4131" t="str">
            <v>Te FD BBF JE/JE2GS PN-16 DN50x50 conforme NBR767</v>
          </cell>
          <cell r="C4131" t="str">
            <v>ud</v>
          </cell>
          <cell r="D4131">
            <v>0</v>
          </cell>
          <cell r="E4131">
            <v>121.1</v>
          </cell>
          <cell r="F4131">
            <v>121.1</v>
          </cell>
        </row>
        <row r="4132">
          <cell r="A4132" t="str">
            <v>216220</v>
          </cell>
          <cell r="B4132" t="str">
            <v>Te FD BBF JE/JE2GS PN-16 DN75x75 / DN80x80 conforme NBR767 (12610)</v>
          </cell>
          <cell r="C4132" t="str">
            <v>ud</v>
          </cell>
          <cell r="D4132">
            <v>0</v>
          </cell>
        </row>
        <row r="4133">
          <cell r="A4133" t="str">
            <v>216221</v>
          </cell>
          <cell r="B4133" t="str">
            <v>Te FD BBF JE/JE2GS PN-16 DN100x100 conforme NBR7675 (114090)</v>
          </cell>
          <cell r="C4133" t="str">
            <v>ud</v>
          </cell>
          <cell r="D4133">
            <v>0</v>
          </cell>
          <cell r="E4133">
            <v>258.29000000000002</v>
          </cell>
          <cell r="F4133">
            <v>258.29000000000002</v>
          </cell>
        </row>
        <row r="4134">
          <cell r="A4134" t="str">
            <v>216222</v>
          </cell>
          <cell r="B4134" t="str">
            <v>Te FD BBF JE/JE2GS PN-16 DN150x150 conforme NBR7675 (175250)</v>
          </cell>
          <cell r="C4134" t="str">
            <v>ud</v>
          </cell>
          <cell r="D4134">
            <v>0</v>
          </cell>
          <cell r="E4134">
            <v>448.61</v>
          </cell>
          <cell r="F4134">
            <v>448.61</v>
          </cell>
        </row>
        <row r="4135">
          <cell r="A4135" t="str">
            <v>216223</v>
          </cell>
          <cell r="B4135" t="str">
            <v>Te FD BBF JE/JE2GS PN-16 DN200x200 conforme NBR7675</v>
          </cell>
          <cell r="C4135" t="str">
            <v>ud</v>
          </cell>
          <cell r="D4135">
            <v>0</v>
          </cell>
          <cell r="E4135">
            <v>614.38</v>
          </cell>
          <cell r="F4135">
            <v>614.38</v>
          </cell>
        </row>
        <row r="4136">
          <cell r="A4136" t="str">
            <v>216224</v>
          </cell>
          <cell r="B4136" t="str">
            <v>Te FD BBF JE/JE2GS PN-16 DN250x250 conforme NBR767</v>
          </cell>
          <cell r="C4136" t="str">
            <v>ud</v>
          </cell>
          <cell r="D4136">
            <v>0</v>
          </cell>
        </row>
        <row r="4137">
          <cell r="A4137" t="str">
            <v>216225</v>
          </cell>
          <cell r="B4137" t="str">
            <v>Te FD BBF JE/JE2GS PN-16 DN300x300 conforme NBR7675</v>
          </cell>
          <cell r="C4137" t="str">
            <v>ud</v>
          </cell>
          <cell r="D4137">
            <v>0</v>
          </cell>
          <cell r="E4137">
            <v>1325.4</v>
          </cell>
          <cell r="F4137">
            <v>1325.4</v>
          </cell>
        </row>
        <row r="4138">
          <cell r="A4138" t="str">
            <v>216226</v>
          </cell>
          <cell r="B4138" t="str">
            <v>Te FD BBF JE/JE2GS PN-16 DN350x350 conforme NBR7675</v>
          </cell>
          <cell r="C4138" t="str">
            <v>ud</v>
          </cell>
          <cell r="D4138">
            <v>0</v>
          </cell>
        </row>
        <row r="4139">
          <cell r="A4139" t="str">
            <v>216227</v>
          </cell>
          <cell r="B4139" t="str">
            <v>Te FD BBF JE/JE2GS PN-16 DN400x400 conforme NBR7675</v>
          </cell>
          <cell r="C4139" t="str">
            <v>ud</v>
          </cell>
          <cell r="D4139">
            <v>0</v>
          </cell>
        </row>
        <row r="4140">
          <cell r="A4140" t="str">
            <v>216228</v>
          </cell>
          <cell r="B4140" t="str">
            <v>Te FD BBF JE/JE2GS PN-16 DN450x450 conforme NBR767</v>
          </cell>
          <cell r="C4140" t="str">
            <v>ud</v>
          </cell>
          <cell r="D4140">
            <v>0</v>
          </cell>
        </row>
        <row r="4141">
          <cell r="A4141" t="str">
            <v>216229</v>
          </cell>
          <cell r="B4141" t="str">
            <v>Te FD BBF JE/JE2GS PN-16 DN500x500 conforme NBR7675</v>
          </cell>
          <cell r="C4141" t="str">
            <v>ud</v>
          </cell>
          <cell r="D4141">
            <v>0</v>
          </cell>
        </row>
        <row r="4142">
          <cell r="A4142" t="str">
            <v>216230</v>
          </cell>
          <cell r="B4142" t="str">
            <v>Te FD BBF JE/JE2GS PN-10 DN600x600 conforme NBR767</v>
          </cell>
          <cell r="C4142" t="str">
            <v>ud</v>
          </cell>
          <cell r="D4142">
            <v>0</v>
          </cell>
        </row>
        <row r="4143">
          <cell r="A4143" t="str">
            <v>216231</v>
          </cell>
          <cell r="B4143" t="str">
            <v>Te FD BBF JE/JE2GS PN-16 DN700x700 conforme NBR7675</v>
          </cell>
          <cell r="C4143" t="str">
            <v>ud</v>
          </cell>
          <cell r="D4143">
            <v>0</v>
          </cell>
        </row>
        <row r="4144">
          <cell r="A4144" t="str">
            <v>216232</v>
          </cell>
          <cell r="B4144" t="str">
            <v>Te FD BBF JE/JE2GS PN-16 DN800x800 conforme NBR7675</v>
          </cell>
          <cell r="C4144" t="str">
            <v>ud</v>
          </cell>
          <cell r="D4144">
            <v>0</v>
          </cell>
        </row>
        <row r="4145">
          <cell r="A4145" t="str">
            <v>216233</v>
          </cell>
          <cell r="B4145" t="str">
            <v>Te FD BBF JE/JE2GS PN-16 DN900x900 conforme NBR7675</v>
          </cell>
          <cell r="C4145" t="str">
            <v>ud</v>
          </cell>
          <cell r="D4145">
            <v>0</v>
          </cell>
        </row>
        <row r="4146">
          <cell r="A4146" t="str">
            <v>216234</v>
          </cell>
          <cell r="B4146" t="str">
            <v>Te FD BBF JE/JE2GS PN-16 Dn1000x1000 conforme NBR7675</v>
          </cell>
          <cell r="C4146" t="str">
            <v>ud</v>
          </cell>
          <cell r="D4146">
            <v>0</v>
          </cell>
        </row>
        <row r="4147">
          <cell r="A4147" t="str">
            <v>216235</v>
          </cell>
          <cell r="B4147" t="str">
            <v>Te FD BBF JE/JE2GS PN-16 DN1100x1100 conforme NBR767</v>
          </cell>
          <cell r="C4147" t="str">
            <v>ud</v>
          </cell>
          <cell r="D4147">
            <v>0</v>
          </cell>
        </row>
        <row r="4148">
          <cell r="A4148" t="str">
            <v>216236</v>
          </cell>
          <cell r="B4148" t="str">
            <v>Te FD BBF JE/JE2GS PN-16 Dn1200x1200 conforme NBR7675</v>
          </cell>
          <cell r="C4148" t="str">
            <v>ud</v>
          </cell>
          <cell r="D4148">
            <v>0</v>
          </cell>
        </row>
        <row r="4149">
          <cell r="A4149" t="str">
            <v>216237</v>
          </cell>
          <cell r="B4149" t="str">
            <v>Te FD BBF JE/JE2GS PN-25 DN50x50 conforme NBR767 (88994)</v>
          </cell>
          <cell r="C4149" t="str">
            <v>ud</v>
          </cell>
          <cell r="D4149">
            <v>0</v>
          </cell>
        </row>
        <row r="4150">
          <cell r="A4150" t="str">
            <v>216238</v>
          </cell>
          <cell r="B4150" t="str">
            <v>Te FD BBF JE/JE2GS PN-25 DN75x75 / DN80x80 conforme NBR767</v>
          </cell>
          <cell r="C4150" t="str">
            <v>ud</v>
          </cell>
          <cell r="D4150">
            <v>0</v>
          </cell>
        </row>
        <row r="4151">
          <cell r="A4151" t="str">
            <v>216239</v>
          </cell>
          <cell r="B4151" t="str">
            <v>Te FD BBF JE/JE2GS PN-25 DN100x100 conforme NBR7675</v>
          </cell>
          <cell r="C4151" t="str">
            <v>ud</v>
          </cell>
          <cell r="D4151">
            <v>0</v>
          </cell>
        </row>
        <row r="4152">
          <cell r="A4152" t="str">
            <v>216240</v>
          </cell>
          <cell r="B4152" t="str">
            <v>Te FD BBF JE/JE2GS PN-25 DN150x150 conforme NBR7675</v>
          </cell>
          <cell r="C4152" t="str">
            <v>ud</v>
          </cell>
          <cell r="D4152">
            <v>0</v>
          </cell>
        </row>
        <row r="4153">
          <cell r="A4153" t="str">
            <v>216241</v>
          </cell>
          <cell r="B4153" t="str">
            <v>Te FD BBF JE/JE2GS PN-25 DN200x200 conforme NBR7675</v>
          </cell>
          <cell r="C4153" t="str">
            <v>ud</v>
          </cell>
          <cell r="D4153">
            <v>0</v>
          </cell>
        </row>
        <row r="4154">
          <cell r="A4154" t="str">
            <v>216242</v>
          </cell>
          <cell r="B4154" t="str">
            <v>Te FD BBF JE/JE2GS PN-25 DN250x250 conforme NBR767</v>
          </cell>
          <cell r="C4154" t="str">
            <v>ud</v>
          </cell>
          <cell r="D4154">
            <v>0</v>
          </cell>
        </row>
        <row r="4155">
          <cell r="A4155" t="str">
            <v>216243</v>
          </cell>
          <cell r="B4155" t="str">
            <v>Te FD BBF JE/JE2GS PN-25 DN300x300 conforme NBR7675</v>
          </cell>
          <cell r="C4155" t="str">
            <v>ud</v>
          </cell>
          <cell r="D4155">
            <v>0</v>
          </cell>
        </row>
        <row r="4156">
          <cell r="A4156" t="str">
            <v>216244</v>
          </cell>
          <cell r="B4156" t="str">
            <v>Te FD BBF JE/JE2GS PN-25 DN350x350 conforme NBR7675</v>
          </cell>
          <cell r="C4156" t="str">
            <v>ud</v>
          </cell>
          <cell r="D4156">
            <v>0</v>
          </cell>
        </row>
        <row r="4157">
          <cell r="A4157" t="str">
            <v>216245</v>
          </cell>
          <cell r="B4157" t="str">
            <v>Te FD BBF JE/JE2GS PN-25 DN400x400 conforme NBR7675 (137529)</v>
          </cell>
          <cell r="C4157" t="str">
            <v>ud</v>
          </cell>
          <cell r="D4157">
            <v>0</v>
          </cell>
        </row>
        <row r="4158">
          <cell r="A4158" t="str">
            <v>216246</v>
          </cell>
          <cell r="B4158" t="str">
            <v>Te FD BBF JE/JE2GS PN-25 DN450x450 conforme NBR767</v>
          </cell>
          <cell r="C4158" t="str">
            <v>ud</v>
          </cell>
          <cell r="D4158">
            <v>0</v>
          </cell>
        </row>
        <row r="4159">
          <cell r="A4159" t="str">
            <v>216247</v>
          </cell>
          <cell r="B4159" t="str">
            <v>Te FD BBF JE/JE2GS PN-25 DN500x500 conforme NBR7675</v>
          </cell>
          <cell r="C4159" t="str">
            <v>ud</v>
          </cell>
          <cell r="D4159">
            <v>0</v>
          </cell>
        </row>
        <row r="4160">
          <cell r="A4160" t="str">
            <v>216248</v>
          </cell>
          <cell r="B4160" t="str">
            <v>Te FD BBF JE/JE2GS PN-25 DN600x600 conforme NBR7675</v>
          </cell>
          <cell r="C4160" t="str">
            <v>ud</v>
          </cell>
          <cell r="D4160">
            <v>0</v>
          </cell>
        </row>
        <row r="4161">
          <cell r="A4161" t="str">
            <v>216249</v>
          </cell>
          <cell r="B4161" t="str">
            <v>Te FD BBF JE/JE2GS PN-25 DN700x700 conforme NBR7675</v>
          </cell>
          <cell r="C4161" t="str">
            <v>ud</v>
          </cell>
          <cell r="D4161">
            <v>0</v>
          </cell>
        </row>
        <row r="4162">
          <cell r="A4162" t="str">
            <v>216250</v>
          </cell>
          <cell r="B4162" t="str">
            <v>Te FD BBF JE/JE2GS PN-25 DN800x800 conforme NBR7675</v>
          </cell>
          <cell r="C4162" t="str">
            <v>ud</v>
          </cell>
          <cell r="D4162">
            <v>0</v>
          </cell>
        </row>
        <row r="4163">
          <cell r="A4163" t="str">
            <v>216251</v>
          </cell>
          <cell r="B4163" t="str">
            <v>Te FD BBF JE/JE2GS PN-25 DN900x900 conforme NBR7675</v>
          </cell>
          <cell r="C4163" t="str">
            <v>ud</v>
          </cell>
          <cell r="D4163">
            <v>0</v>
          </cell>
        </row>
        <row r="4164">
          <cell r="A4164" t="str">
            <v>216252</v>
          </cell>
          <cell r="B4164" t="str">
            <v>Te FD BBF JE/JE2GS PN-25 DN1000x1000 conforme NBR7675</v>
          </cell>
          <cell r="C4164" t="str">
            <v>ud</v>
          </cell>
          <cell r="D4164">
            <v>0</v>
          </cell>
        </row>
        <row r="4165">
          <cell r="A4165" t="str">
            <v>216253</v>
          </cell>
          <cell r="B4165" t="str">
            <v>Te FD BBF JE/JE2GS PN-16 DN1100x1100 conforme NBR7675</v>
          </cell>
          <cell r="C4165" t="str">
            <v>ud</v>
          </cell>
          <cell r="D4165">
            <v>0</v>
          </cell>
        </row>
        <row r="4166">
          <cell r="A4166" t="str">
            <v>216254</v>
          </cell>
          <cell r="B4166" t="str">
            <v>Te FD BBF JE/JE2GS PN-25 DN1200x1200 conforme NBR7675</v>
          </cell>
          <cell r="C4166" t="str">
            <v>ud</v>
          </cell>
          <cell r="D4166">
            <v>0</v>
          </cell>
        </row>
        <row r="4167">
          <cell r="A4167" t="str">
            <v>2163</v>
          </cell>
          <cell r="B4167" t="str">
            <v>TE FD COM JUNTA MECÂNICA E FLANGE</v>
          </cell>
        </row>
        <row r="4168">
          <cell r="A4168" t="str">
            <v>216301</v>
          </cell>
          <cell r="B4168" t="str">
            <v xml:space="preserve">Te FD  JM/F PN-10 DN  300 </v>
          </cell>
          <cell r="C4168" t="str">
            <v>ud</v>
          </cell>
          <cell r="D4168">
            <v>0</v>
          </cell>
        </row>
        <row r="4169">
          <cell r="A4169" t="str">
            <v>216302</v>
          </cell>
          <cell r="B4169" t="str">
            <v xml:space="preserve">Te FD  JM/F PN-10 DN  350 </v>
          </cell>
          <cell r="C4169" t="str">
            <v>ud</v>
          </cell>
          <cell r="D4169">
            <v>0</v>
          </cell>
          <cell r="E4169">
            <v>2888.76</v>
          </cell>
          <cell r="F4169">
            <v>2888.76</v>
          </cell>
        </row>
        <row r="4170">
          <cell r="A4170" t="str">
            <v>216303</v>
          </cell>
          <cell r="B4170" t="str">
            <v xml:space="preserve">Te FD  JM/F PN-10 DN  400 </v>
          </cell>
          <cell r="C4170" t="str">
            <v>ud</v>
          </cell>
          <cell r="D4170">
            <v>0</v>
          </cell>
          <cell r="E4170">
            <v>3445.77</v>
          </cell>
          <cell r="F4170">
            <v>3445.77</v>
          </cell>
        </row>
        <row r="4171">
          <cell r="A4171" t="str">
            <v>216304</v>
          </cell>
          <cell r="B4171" t="str">
            <v xml:space="preserve">Te FD  JM/F PN-10 DN  450 </v>
          </cell>
          <cell r="C4171" t="str">
            <v>ud</v>
          </cell>
          <cell r="D4171">
            <v>0</v>
          </cell>
        </row>
        <row r="4172">
          <cell r="A4172" t="str">
            <v>216305</v>
          </cell>
          <cell r="B4172" t="str">
            <v xml:space="preserve">Te FD  JM/F PN-10 DN  500 </v>
          </cell>
          <cell r="C4172" t="str">
            <v>ud</v>
          </cell>
          <cell r="D4172">
            <v>0</v>
          </cell>
        </row>
        <row r="4173">
          <cell r="A4173" t="str">
            <v>216306</v>
          </cell>
          <cell r="B4173" t="str">
            <v xml:space="preserve">Te FD  JM/F PN-10 DN  600 </v>
          </cell>
          <cell r="C4173" t="str">
            <v>ud</v>
          </cell>
          <cell r="D4173">
            <v>0</v>
          </cell>
        </row>
        <row r="4174">
          <cell r="A4174" t="str">
            <v>216307</v>
          </cell>
          <cell r="B4174" t="str">
            <v>Te FD  JM/F PN-10 DN  700 (87351)</v>
          </cell>
          <cell r="C4174" t="str">
            <v>ud</v>
          </cell>
          <cell r="D4174">
            <v>0</v>
          </cell>
        </row>
        <row r="4175">
          <cell r="A4175" t="str">
            <v>216308</v>
          </cell>
          <cell r="B4175" t="str">
            <v>Te FD  JM/F PN-10 DN  800 (112798)</v>
          </cell>
          <cell r="C4175" t="str">
            <v>ud</v>
          </cell>
          <cell r="D4175">
            <v>0</v>
          </cell>
        </row>
        <row r="4176">
          <cell r="A4176" t="str">
            <v>216309</v>
          </cell>
          <cell r="B4176" t="str">
            <v xml:space="preserve">Te FD  JM/F PN-10 DN  900 </v>
          </cell>
          <cell r="C4176" t="str">
            <v>ud</v>
          </cell>
          <cell r="D4176">
            <v>0</v>
          </cell>
        </row>
        <row r="4177">
          <cell r="A4177" t="str">
            <v>216310</v>
          </cell>
          <cell r="B4177" t="str">
            <v>Te FD  JM/F PN-10 DN 1000 (94943)</v>
          </cell>
          <cell r="C4177" t="str">
            <v>ud</v>
          </cell>
          <cell r="D4177">
            <v>0</v>
          </cell>
        </row>
        <row r="4178">
          <cell r="A4178" t="str">
            <v>216311</v>
          </cell>
          <cell r="B4178" t="str">
            <v xml:space="preserve">Te FD  JM/F PN-10 DN 1200 </v>
          </cell>
          <cell r="C4178" t="str">
            <v>ud</v>
          </cell>
          <cell r="D4178">
            <v>0</v>
          </cell>
        </row>
        <row r="4179">
          <cell r="A4179" t="str">
            <v>216312</v>
          </cell>
          <cell r="B4179" t="str">
            <v xml:space="preserve">Te FD  JM/F PN-16 DN  300 </v>
          </cell>
          <cell r="C4179" t="str">
            <v>ud</v>
          </cell>
          <cell r="D4179">
            <v>0</v>
          </cell>
        </row>
        <row r="4180">
          <cell r="A4180" t="str">
            <v>216313</v>
          </cell>
          <cell r="B4180" t="str">
            <v xml:space="preserve">Te FD  JM/F PN-16 DN  350 </v>
          </cell>
          <cell r="C4180" t="str">
            <v>ud</v>
          </cell>
          <cell r="D4180">
            <v>0</v>
          </cell>
        </row>
        <row r="4181">
          <cell r="A4181" t="str">
            <v>216314</v>
          </cell>
          <cell r="B4181" t="str">
            <v xml:space="preserve">Te FD  JM/F PN-16 DN  400 </v>
          </cell>
          <cell r="C4181" t="str">
            <v>ud</v>
          </cell>
          <cell r="D4181">
            <v>0</v>
          </cell>
        </row>
        <row r="4182">
          <cell r="A4182" t="str">
            <v>216315</v>
          </cell>
          <cell r="B4182" t="str">
            <v xml:space="preserve">Te FD  JM/F PN-16 DN  450 </v>
          </cell>
          <cell r="C4182" t="str">
            <v>ud</v>
          </cell>
          <cell r="D4182">
            <v>0</v>
          </cell>
        </row>
        <row r="4183">
          <cell r="A4183" t="str">
            <v>216316</v>
          </cell>
          <cell r="B4183" t="str">
            <v>Te FD  JM/F PN-16 DN  500 (137731)</v>
          </cell>
          <cell r="C4183" t="str">
            <v>ud</v>
          </cell>
          <cell r="D4183">
            <v>0</v>
          </cell>
        </row>
        <row r="4184">
          <cell r="A4184" t="str">
            <v>216317</v>
          </cell>
          <cell r="B4184" t="str">
            <v xml:space="preserve">Te FD  JM/F PN-16 DN  600 </v>
          </cell>
          <cell r="C4184" t="str">
            <v>ud</v>
          </cell>
          <cell r="D4184">
            <v>0</v>
          </cell>
        </row>
        <row r="4185">
          <cell r="A4185" t="str">
            <v>216318</v>
          </cell>
          <cell r="B4185" t="str">
            <v xml:space="preserve">Te FD  JM/F PN-16 DN  700 </v>
          </cell>
          <cell r="C4185" t="str">
            <v>ud</v>
          </cell>
          <cell r="D4185">
            <v>0</v>
          </cell>
        </row>
        <row r="4186">
          <cell r="A4186" t="str">
            <v>216319</v>
          </cell>
          <cell r="B4186" t="str">
            <v xml:space="preserve">Te FD  JM/F PN-16 DN  800 </v>
          </cell>
          <cell r="C4186" t="str">
            <v>ud</v>
          </cell>
          <cell r="D4186">
            <v>0</v>
          </cell>
        </row>
        <row r="4187">
          <cell r="A4187" t="str">
            <v>216320</v>
          </cell>
          <cell r="B4187" t="str">
            <v xml:space="preserve">Te FD  JM/F PN-16 DN  900 </v>
          </cell>
          <cell r="C4187" t="str">
            <v>ud</v>
          </cell>
          <cell r="D4187">
            <v>0</v>
          </cell>
        </row>
        <row r="4188">
          <cell r="A4188" t="str">
            <v>216321</v>
          </cell>
          <cell r="B4188" t="str">
            <v xml:space="preserve">Te FD  JM/F PN-16 DN 1000 </v>
          </cell>
          <cell r="C4188" t="str">
            <v>ud</v>
          </cell>
          <cell r="D4188">
            <v>0</v>
          </cell>
        </row>
        <row r="4189">
          <cell r="A4189" t="str">
            <v>216322</v>
          </cell>
          <cell r="B4189" t="str">
            <v xml:space="preserve">Te FD  JM/F PN-16 DN 1200 </v>
          </cell>
          <cell r="C4189" t="str">
            <v>ud</v>
          </cell>
          <cell r="D4189">
            <v>0</v>
          </cell>
        </row>
        <row r="4190">
          <cell r="A4190" t="str">
            <v>216323</v>
          </cell>
          <cell r="B4190" t="str">
            <v xml:space="preserve">Te FD  JM/F PN-25 DN  300 </v>
          </cell>
          <cell r="C4190" t="str">
            <v>ud</v>
          </cell>
          <cell r="D4190">
            <v>0</v>
          </cell>
        </row>
        <row r="4191">
          <cell r="A4191" t="str">
            <v>216324</v>
          </cell>
          <cell r="B4191" t="str">
            <v xml:space="preserve">Te FD  JM/F PN-25 DN  350 </v>
          </cell>
          <cell r="C4191" t="str">
            <v>ud</v>
          </cell>
          <cell r="D4191">
            <v>0</v>
          </cell>
        </row>
        <row r="4192">
          <cell r="A4192" t="str">
            <v>216325</v>
          </cell>
          <cell r="B4192" t="str">
            <v xml:space="preserve">Te FD  JM/F PN-25 DN  400 </v>
          </cell>
          <cell r="C4192" t="str">
            <v>ud</v>
          </cell>
          <cell r="D4192">
            <v>0</v>
          </cell>
        </row>
        <row r="4193">
          <cell r="A4193" t="str">
            <v>216326</v>
          </cell>
          <cell r="B4193" t="str">
            <v xml:space="preserve">Te FD  JM/F PN-25 DN  450 </v>
          </cell>
          <cell r="C4193" t="str">
            <v>ud</v>
          </cell>
          <cell r="D4193">
            <v>0</v>
          </cell>
        </row>
        <row r="4194">
          <cell r="A4194" t="str">
            <v>216327</v>
          </cell>
          <cell r="B4194" t="str">
            <v xml:space="preserve">Te FD  JM/F PN-25 DN  500 </v>
          </cell>
          <cell r="C4194" t="str">
            <v>ud</v>
          </cell>
          <cell r="D4194">
            <v>0</v>
          </cell>
        </row>
        <row r="4195">
          <cell r="A4195" t="str">
            <v>216328</v>
          </cell>
          <cell r="B4195" t="str">
            <v xml:space="preserve">Te FD  JM/F PN-25 DN  600 </v>
          </cell>
          <cell r="C4195" t="str">
            <v>ud</v>
          </cell>
          <cell r="D4195">
            <v>0</v>
          </cell>
        </row>
        <row r="4196">
          <cell r="A4196" t="str">
            <v>216329</v>
          </cell>
          <cell r="B4196" t="str">
            <v xml:space="preserve">Te FD  JM/F PN-25 DN  700 </v>
          </cell>
          <cell r="C4196" t="str">
            <v>ud</v>
          </cell>
          <cell r="D4196">
            <v>0</v>
          </cell>
        </row>
        <row r="4197">
          <cell r="A4197" t="str">
            <v>216330</v>
          </cell>
          <cell r="B4197" t="str">
            <v xml:space="preserve">Te FD  JM/F PN-25 DN  800 </v>
          </cell>
          <cell r="C4197" t="str">
            <v>ud</v>
          </cell>
          <cell r="D4197">
            <v>0</v>
          </cell>
        </row>
        <row r="4198">
          <cell r="A4198" t="str">
            <v>216331</v>
          </cell>
          <cell r="B4198" t="str">
            <v xml:space="preserve">Te FD  JM/F PN-25 DN  900 </v>
          </cell>
          <cell r="C4198" t="str">
            <v>ud</v>
          </cell>
          <cell r="D4198">
            <v>0</v>
          </cell>
        </row>
        <row r="4199">
          <cell r="A4199" t="str">
            <v>216332</v>
          </cell>
          <cell r="B4199" t="str">
            <v xml:space="preserve">Te FD  JM/F PN-25 DN 1000 </v>
          </cell>
          <cell r="C4199" t="str">
            <v>ud</v>
          </cell>
          <cell r="D4199">
            <v>0</v>
          </cell>
        </row>
        <row r="4200">
          <cell r="A4200" t="str">
            <v>216333</v>
          </cell>
          <cell r="B4200" t="str">
            <v xml:space="preserve">Te FD  JM/F PN-25 DN 1200 </v>
          </cell>
          <cell r="C4200" t="str">
            <v>ud</v>
          </cell>
          <cell r="D4200">
            <v>0</v>
          </cell>
        </row>
        <row r="4201">
          <cell r="A4201" t="str">
            <v>2164</v>
          </cell>
          <cell r="B4201" t="str">
            <v>TE FD COM FLANGES</v>
          </cell>
        </row>
        <row r="4202">
          <cell r="A4202" t="str">
            <v>216401</v>
          </cell>
          <cell r="B4202" t="str">
            <v>Te FD FFF PN-10 DN50x50 conforme NBR7675</v>
          </cell>
          <cell r="C4202" t="str">
            <v>ud</v>
          </cell>
          <cell r="D4202">
            <v>0</v>
          </cell>
          <cell r="E4202">
            <v>235.25</v>
          </cell>
          <cell r="F4202">
            <v>235.25</v>
          </cell>
        </row>
        <row r="4203">
          <cell r="A4203" t="str">
            <v>216402</v>
          </cell>
          <cell r="B4203" t="str">
            <v>Te FD FFF PN-10 DN75x75 / DN80x80 conforme NBR7675 (12734)</v>
          </cell>
          <cell r="C4203" t="str">
            <v>ud</v>
          </cell>
          <cell r="D4203">
            <v>0</v>
          </cell>
          <cell r="E4203">
            <v>285.48</v>
          </cell>
          <cell r="F4203">
            <v>285.48</v>
          </cell>
        </row>
        <row r="4204">
          <cell r="A4204" t="str">
            <v>216403</v>
          </cell>
          <cell r="B4204" t="str">
            <v>Te FD FFF PN-10 DN100x100 conforme NBR7675 (12742)</v>
          </cell>
          <cell r="C4204" t="str">
            <v>ud</v>
          </cell>
          <cell r="D4204">
            <v>0</v>
          </cell>
          <cell r="E4204">
            <v>342.52</v>
          </cell>
          <cell r="F4204">
            <v>342.52</v>
          </cell>
        </row>
        <row r="4205">
          <cell r="A4205" t="str">
            <v>216404</v>
          </cell>
          <cell r="B4205" t="str">
            <v>Te FD FFF PN-10 DN150x150 conforme NBR7675</v>
          </cell>
          <cell r="C4205" t="str">
            <v>ud</v>
          </cell>
          <cell r="D4205">
            <v>0</v>
          </cell>
          <cell r="E4205">
            <v>512.03</v>
          </cell>
          <cell r="F4205">
            <v>512.03</v>
          </cell>
        </row>
        <row r="4206">
          <cell r="A4206" t="str">
            <v>216405</v>
          </cell>
          <cell r="B4206" t="str">
            <v>Te FD FFF PN-10 DN200x200 conforme NBR7675 (13234)</v>
          </cell>
          <cell r="C4206" t="str">
            <v>ud</v>
          </cell>
          <cell r="D4206">
            <v>0</v>
          </cell>
          <cell r="E4206">
            <v>802.63</v>
          </cell>
          <cell r="F4206">
            <v>802.63</v>
          </cell>
        </row>
        <row r="4207">
          <cell r="A4207" t="str">
            <v>216406</v>
          </cell>
          <cell r="B4207" t="str">
            <v>Te FD FFF PN-10 DN250x250 conforme NBR7675 (13412)</v>
          </cell>
          <cell r="C4207" t="str">
            <v>ud</v>
          </cell>
          <cell r="D4207">
            <v>0</v>
          </cell>
          <cell r="E4207">
            <v>1264.27</v>
          </cell>
          <cell r="F4207">
            <v>1264.27</v>
          </cell>
        </row>
        <row r="4208">
          <cell r="A4208" t="str">
            <v>216407</v>
          </cell>
          <cell r="B4208" t="str">
            <v>Te FD FFF PN-10 DN300x300 conforme NBR7675 (13609)</v>
          </cell>
          <cell r="C4208" t="str">
            <v>ud</v>
          </cell>
          <cell r="D4208">
            <v>0</v>
          </cell>
          <cell r="E4208">
            <v>2093.5300000000002</v>
          </cell>
          <cell r="F4208">
            <v>2093.5300000000002</v>
          </cell>
        </row>
        <row r="4209">
          <cell r="A4209" t="str">
            <v>216408</v>
          </cell>
          <cell r="B4209" t="str">
            <v>Te FD FFF PN-10 DN350x350 conforme NBR7675 (13773)</v>
          </cell>
          <cell r="C4209" t="str">
            <v>ud</v>
          </cell>
          <cell r="D4209">
            <v>0</v>
          </cell>
          <cell r="E4209">
            <v>2034.24</v>
          </cell>
          <cell r="F4209">
            <v>2034.24</v>
          </cell>
        </row>
        <row r="4210">
          <cell r="A4210" t="str">
            <v>216409</v>
          </cell>
          <cell r="B4210" t="str">
            <v>Te FD FFF PN-10 DN400x400 conforme NBR7675 (13862)</v>
          </cell>
          <cell r="C4210" t="str">
            <v>ud</v>
          </cell>
          <cell r="D4210">
            <v>0</v>
          </cell>
          <cell r="E4210">
            <v>2639.68</v>
          </cell>
          <cell r="F4210">
            <v>2639.68</v>
          </cell>
        </row>
        <row r="4211">
          <cell r="A4211" t="str">
            <v>216410</v>
          </cell>
          <cell r="B4211" t="str">
            <v>Te FD FFF PN-10 DN450x450 conforme NBR7675</v>
          </cell>
          <cell r="C4211" t="str">
            <v>ud</v>
          </cell>
          <cell r="D4211">
            <v>0</v>
          </cell>
          <cell r="E4211">
            <v>3136.27</v>
          </cell>
          <cell r="F4211">
            <v>3136.27</v>
          </cell>
        </row>
        <row r="4212">
          <cell r="A4212" t="str">
            <v>216411</v>
          </cell>
          <cell r="B4212" t="str">
            <v>Te FD FFF PN-10 DN500x500 conforme NBR7675 (14656)</v>
          </cell>
          <cell r="C4212" t="str">
            <v>ud</v>
          </cell>
          <cell r="D4212">
            <v>0</v>
          </cell>
          <cell r="E4212">
            <v>4893.97</v>
          </cell>
          <cell r="F4212">
            <v>4893.97</v>
          </cell>
        </row>
        <row r="4213">
          <cell r="A4213" t="str">
            <v>216412</v>
          </cell>
          <cell r="B4213" t="str">
            <v>Te FD FFF PN-10 DN600x600 conforme NBR7675</v>
          </cell>
          <cell r="C4213" t="str">
            <v>ud</v>
          </cell>
          <cell r="D4213">
            <v>0</v>
          </cell>
          <cell r="E4213">
            <v>6088.88</v>
          </cell>
          <cell r="F4213">
            <v>6088.88</v>
          </cell>
        </row>
        <row r="4214">
          <cell r="A4214" t="str">
            <v>216413</v>
          </cell>
          <cell r="B4214" t="str">
            <v>Te FD FFF PN-10 DN700x700 conforme NBR7675</v>
          </cell>
          <cell r="C4214" t="str">
            <v>ud</v>
          </cell>
          <cell r="D4214">
            <v>0</v>
          </cell>
          <cell r="E4214">
            <v>7141.11</v>
          </cell>
          <cell r="F4214">
            <v>7141.11</v>
          </cell>
        </row>
        <row r="4215">
          <cell r="A4215" t="str">
            <v>216414</v>
          </cell>
          <cell r="B4215" t="str">
            <v>Te FD FFF PN-10 DN800x800 conforme NBR7675 (102687)</v>
          </cell>
          <cell r="C4215" t="str">
            <v>ud</v>
          </cell>
          <cell r="D4215">
            <v>0</v>
          </cell>
          <cell r="E4215">
            <v>10121.61</v>
          </cell>
          <cell r="F4215">
            <v>10121.61</v>
          </cell>
        </row>
        <row r="4216">
          <cell r="A4216" t="str">
            <v>216415</v>
          </cell>
          <cell r="B4216" t="str">
            <v>Te FD FFF PN-10 DN900x900 conforme NBR7675</v>
          </cell>
          <cell r="C4216" t="str">
            <v>ud</v>
          </cell>
          <cell r="D4216">
            <v>0</v>
          </cell>
        </row>
        <row r="4217">
          <cell r="A4217" t="str">
            <v>216416</v>
          </cell>
          <cell r="B4217" t="str">
            <v>Te FD FFF PN-10 DN1000x1000 conforme NBR7675</v>
          </cell>
          <cell r="C4217" t="str">
            <v>ud</v>
          </cell>
          <cell r="D4217">
            <v>0</v>
          </cell>
        </row>
        <row r="4218">
          <cell r="A4218" t="str">
            <v>216417</v>
          </cell>
          <cell r="B4218" t="str">
            <v>Te FD FFF PN-10 DN1100x1100 conforme NBR7675</v>
          </cell>
          <cell r="C4218" t="str">
            <v>ud</v>
          </cell>
          <cell r="D4218">
            <v>0</v>
          </cell>
        </row>
        <row r="4219">
          <cell r="A4219" t="str">
            <v>216418</v>
          </cell>
          <cell r="B4219" t="str">
            <v>Te FD FFF PN-10 DN1200x1200 conforme NBR7675</v>
          </cell>
          <cell r="C4219" t="str">
            <v>ud</v>
          </cell>
          <cell r="D4219">
            <v>0</v>
          </cell>
        </row>
        <row r="4220">
          <cell r="A4220" t="str">
            <v>216419</v>
          </cell>
          <cell r="B4220" t="str">
            <v>Te FD FFF PN-16 DN50x50 conforme NBR7675</v>
          </cell>
          <cell r="C4220" t="str">
            <v>ud</v>
          </cell>
          <cell r="D4220">
            <v>0</v>
          </cell>
          <cell r="E4220">
            <v>235.25</v>
          </cell>
          <cell r="F4220">
            <v>235.25</v>
          </cell>
        </row>
        <row r="4221">
          <cell r="A4221" t="str">
            <v>216420</v>
          </cell>
          <cell r="B4221" t="str">
            <v>Te FD FFF PN-16 DN75x75 / DN80x80 conforme NBR7675 (12629)</v>
          </cell>
          <cell r="C4221" t="str">
            <v>ud</v>
          </cell>
          <cell r="D4221">
            <v>0</v>
          </cell>
          <cell r="E4221">
            <v>285.48</v>
          </cell>
          <cell r="F4221">
            <v>285.48</v>
          </cell>
        </row>
        <row r="4222">
          <cell r="A4222" t="str">
            <v>216421</v>
          </cell>
          <cell r="B4222" t="str">
            <v>Te FD FFF PN-16DN100x100 conforme NBR7675 (12769)</v>
          </cell>
          <cell r="C4222" t="str">
            <v>ud</v>
          </cell>
          <cell r="D4222">
            <v>0</v>
          </cell>
          <cell r="E4222">
            <v>342.52</v>
          </cell>
          <cell r="F4222">
            <v>342.52</v>
          </cell>
        </row>
        <row r="4223">
          <cell r="A4223" t="str">
            <v>216422</v>
          </cell>
          <cell r="B4223" t="str">
            <v>Te FD FFF PN-16 DN150x150 conforme NBR7675 (130480</v>
          </cell>
          <cell r="C4223" t="str">
            <v>ud</v>
          </cell>
          <cell r="D4223">
            <v>0</v>
          </cell>
          <cell r="E4223">
            <v>512.03</v>
          </cell>
          <cell r="F4223">
            <v>512.03</v>
          </cell>
        </row>
        <row r="4224">
          <cell r="A4224" t="str">
            <v>216423</v>
          </cell>
          <cell r="B4224" t="str">
            <v>Te FD FFF PN-16 DN200x200 conforme NBR7675 (136794)</v>
          </cell>
          <cell r="C4224" t="str">
            <v>ud</v>
          </cell>
          <cell r="D4224">
            <v>0</v>
          </cell>
          <cell r="E4224">
            <v>802.63</v>
          </cell>
          <cell r="F4224">
            <v>802.63</v>
          </cell>
        </row>
        <row r="4225">
          <cell r="A4225" t="str">
            <v>216424</v>
          </cell>
          <cell r="B4225" t="str">
            <v>Te FD FFF PN-16 DN250x250 conforme NBR7675</v>
          </cell>
          <cell r="C4225" t="str">
            <v>ud</v>
          </cell>
          <cell r="D4225">
            <v>0</v>
          </cell>
          <cell r="E4225">
            <v>1264.27</v>
          </cell>
          <cell r="F4225">
            <v>1264.27</v>
          </cell>
        </row>
        <row r="4226">
          <cell r="A4226" t="str">
            <v>216425</v>
          </cell>
          <cell r="B4226" t="str">
            <v>Te FD FFF PN-16 DN300x300 conforme NBR7675 (136948)</v>
          </cell>
          <cell r="C4226" t="str">
            <v>ud</v>
          </cell>
          <cell r="D4226">
            <v>0</v>
          </cell>
          <cell r="E4226">
            <v>2093.5300000000002</v>
          </cell>
          <cell r="F4226">
            <v>2093.5300000000002</v>
          </cell>
        </row>
        <row r="4227">
          <cell r="A4227" t="str">
            <v>216426</v>
          </cell>
          <cell r="B4227" t="str">
            <v>Te FD FFF PN-16 DN350x350 conforme NBR7675</v>
          </cell>
          <cell r="C4227" t="str">
            <v>ud</v>
          </cell>
          <cell r="D4227">
            <v>0</v>
          </cell>
          <cell r="E4227">
            <v>2034.24</v>
          </cell>
          <cell r="F4227">
            <v>2034.24</v>
          </cell>
        </row>
        <row r="4228">
          <cell r="A4228" t="str">
            <v>216427</v>
          </cell>
          <cell r="B4228" t="str">
            <v>Te FD FFF PN-16 DN400x400 conforme NBR7675</v>
          </cell>
          <cell r="C4228" t="str">
            <v>ud</v>
          </cell>
          <cell r="D4228">
            <v>0</v>
          </cell>
          <cell r="E4228">
            <v>2639.68</v>
          </cell>
          <cell r="F4228">
            <v>2639.68</v>
          </cell>
        </row>
        <row r="4229">
          <cell r="A4229" t="str">
            <v>216428</v>
          </cell>
          <cell r="B4229" t="str">
            <v>Te FD FFF PN-16 DN450x450 conforme NBR7675</v>
          </cell>
          <cell r="C4229" t="str">
            <v>ud</v>
          </cell>
          <cell r="D4229">
            <v>0</v>
          </cell>
          <cell r="E4229">
            <v>3136.27</v>
          </cell>
          <cell r="F4229">
            <v>3136.27</v>
          </cell>
        </row>
        <row r="4230">
          <cell r="A4230" t="str">
            <v>216429</v>
          </cell>
          <cell r="B4230" t="str">
            <v xml:space="preserve">Te FD FFF PN-16 DN500x500 conforme NBR7675 (137294) </v>
          </cell>
          <cell r="C4230" t="str">
            <v>ud</v>
          </cell>
          <cell r="D4230">
            <v>0</v>
          </cell>
          <cell r="E4230">
            <v>4893.97</v>
          </cell>
          <cell r="F4230">
            <v>4893.97</v>
          </cell>
        </row>
        <row r="4231">
          <cell r="A4231" t="str">
            <v>216430</v>
          </cell>
          <cell r="B4231" t="str">
            <v>Te FD FFF PN-16 DN600x600 conforme NBR7675</v>
          </cell>
          <cell r="C4231" t="str">
            <v>ud</v>
          </cell>
          <cell r="D4231">
            <v>0</v>
          </cell>
          <cell r="E4231">
            <v>6088.88</v>
          </cell>
          <cell r="F4231">
            <v>6088.88</v>
          </cell>
        </row>
        <row r="4232">
          <cell r="A4232" t="str">
            <v>216431</v>
          </cell>
          <cell r="B4232" t="str">
            <v>Te FD FFF PN-16 DN700x700 conforme NBR7675</v>
          </cell>
          <cell r="C4232" t="str">
            <v>ud</v>
          </cell>
          <cell r="D4232">
            <v>0</v>
          </cell>
          <cell r="E4232">
            <v>7141.11</v>
          </cell>
          <cell r="F4232">
            <v>7141.11</v>
          </cell>
        </row>
        <row r="4233">
          <cell r="A4233" t="str">
            <v>216432</v>
          </cell>
          <cell r="B4233" t="str">
            <v>Te FD FFF PN-16 DN800x800 conforme NBR7675 (137413)</v>
          </cell>
          <cell r="C4233" t="str">
            <v>ud</v>
          </cell>
          <cell r="D4233">
            <v>0</v>
          </cell>
          <cell r="E4233">
            <v>10121.61</v>
          </cell>
          <cell r="F4233">
            <v>10121.61</v>
          </cell>
        </row>
        <row r="4234">
          <cell r="A4234" t="str">
            <v>216433</v>
          </cell>
          <cell r="B4234" t="str">
            <v>Te FD FFF PN-16 DN900x900 conforme NBR7675</v>
          </cell>
          <cell r="C4234" t="str">
            <v>ud</v>
          </cell>
          <cell r="D4234">
            <v>0</v>
          </cell>
        </row>
        <row r="4235">
          <cell r="A4235" t="str">
            <v>216434</v>
          </cell>
          <cell r="B4235" t="str">
            <v>Te FD FFF PN-16 DN1000x1000 conforme NBR7675</v>
          </cell>
          <cell r="C4235" t="str">
            <v>ud</v>
          </cell>
          <cell r="D4235">
            <v>0</v>
          </cell>
        </row>
        <row r="4236">
          <cell r="A4236" t="str">
            <v>216435</v>
          </cell>
          <cell r="B4236" t="str">
            <v>Te FD FFF PN-16 DN1100x1100 conforme NBR7675</v>
          </cell>
          <cell r="C4236" t="str">
            <v>ud</v>
          </cell>
          <cell r="D4236">
            <v>0</v>
          </cell>
        </row>
        <row r="4237">
          <cell r="A4237" t="str">
            <v>216436</v>
          </cell>
          <cell r="B4237" t="str">
            <v>Te FD FFF PN-16 DN1200x1200 conforme NBR7675</v>
          </cell>
          <cell r="C4237" t="str">
            <v>ud</v>
          </cell>
          <cell r="D4237">
            <v>0</v>
          </cell>
        </row>
        <row r="4238">
          <cell r="A4238" t="str">
            <v>216437</v>
          </cell>
          <cell r="B4238" t="str">
            <v>Te FD FFF PN-25 DN50x50 conforme NBR7675 (12440)</v>
          </cell>
          <cell r="C4238" t="str">
            <v>ud</v>
          </cell>
          <cell r="D4238">
            <v>0</v>
          </cell>
        </row>
        <row r="4239">
          <cell r="A4239" t="str">
            <v>216438</v>
          </cell>
          <cell r="B4239" t="str">
            <v>Te FD FFF PN-25 DN75x75 / DN80x80 conforme NBR7675 (137260)</v>
          </cell>
          <cell r="C4239" t="str">
            <v>ud</v>
          </cell>
          <cell r="D4239">
            <v>0</v>
          </cell>
        </row>
        <row r="4240">
          <cell r="A4240" t="str">
            <v>216439</v>
          </cell>
          <cell r="B4240" t="str">
            <v>Te FD FFF PN-25 DN100x100 conforme NBR7675 (137286)</v>
          </cell>
          <cell r="C4240" t="str">
            <v>ud</v>
          </cell>
          <cell r="D4240">
            <v>0</v>
          </cell>
        </row>
        <row r="4241">
          <cell r="A4241" t="str">
            <v>216440</v>
          </cell>
          <cell r="B4241" t="str">
            <v>Te FD FFF PN-25 DN150x150 conforme NBR7675</v>
          </cell>
          <cell r="C4241" t="str">
            <v>ud</v>
          </cell>
          <cell r="D4241">
            <v>0</v>
          </cell>
        </row>
        <row r="4242">
          <cell r="A4242" t="str">
            <v>216441</v>
          </cell>
          <cell r="B4242" t="str">
            <v>Te FD FFF PN-25 DN200x200 conforme NBR7675 (136808)</v>
          </cell>
          <cell r="C4242" t="str">
            <v>ud</v>
          </cell>
          <cell r="D4242">
            <v>0</v>
          </cell>
        </row>
        <row r="4243">
          <cell r="A4243" t="str">
            <v>216442</v>
          </cell>
          <cell r="B4243" t="str">
            <v>Te FD FFF PN-25 DN250x250 conforme NBR7675 (136905)</v>
          </cell>
          <cell r="C4243" t="str">
            <v>ud</v>
          </cell>
          <cell r="D4243">
            <v>0</v>
          </cell>
        </row>
        <row r="4244">
          <cell r="A4244" t="str">
            <v>216443</v>
          </cell>
          <cell r="B4244" t="str">
            <v>Te FD FFF PN-25 DN300x300 conforme NBR7675 (136972)</v>
          </cell>
          <cell r="C4244" t="str">
            <v>ud</v>
          </cell>
          <cell r="D4244">
            <v>0</v>
          </cell>
        </row>
        <row r="4245">
          <cell r="A4245" t="str">
            <v>216444</v>
          </cell>
          <cell r="B4245" t="str">
            <v>Te FD FFF PN-25 DN350x350 conforme NBR7675</v>
          </cell>
          <cell r="C4245" t="str">
            <v>ud</v>
          </cell>
          <cell r="D4245">
            <v>0</v>
          </cell>
        </row>
        <row r="4246">
          <cell r="A4246" t="str">
            <v>216445</v>
          </cell>
          <cell r="B4246" t="str">
            <v>Te FD FFF PN-25 DN400x400 conforme NBR7675</v>
          </cell>
          <cell r="C4246" t="str">
            <v>ud</v>
          </cell>
          <cell r="D4246">
            <v>0</v>
          </cell>
        </row>
        <row r="4247">
          <cell r="A4247" t="str">
            <v>216446</v>
          </cell>
          <cell r="B4247" t="str">
            <v>Te FD FFF PN-25 DN450x450 conforme NBR7675</v>
          </cell>
          <cell r="C4247" t="str">
            <v>ud</v>
          </cell>
          <cell r="D4247">
            <v>0</v>
          </cell>
        </row>
        <row r="4248">
          <cell r="A4248" t="str">
            <v>216447</v>
          </cell>
          <cell r="B4248" t="str">
            <v>Te FD FFF PN-25 DN500x500 conforme NBR7675</v>
          </cell>
          <cell r="C4248" t="str">
            <v>ud</v>
          </cell>
          <cell r="D4248">
            <v>0</v>
          </cell>
        </row>
        <row r="4249">
          <cell r="A4249" t="str">
            <v>216448</v>
          </cell>
          <cell r="B4249" t="str">
            <v>Te FD FFF PN-25 DN600x600 conforme NBR7675</v>
          </cell>
          <cell r="C4249" t="str">
            <v>ud</v>
          </cell>
          <cell r="D4249">
            <v>0</v>
          </cell>
        </row>
        <row r="4250">
          <cell r="A4250" t="str">
            <v>216449</v>
          </cell>
          <cell r="B4250" t="str">
            <v>Te FD FFF PN-25 DN700x700 conforme NBR7675</v>
          </cell>
          <cell r="C4250" t="str">
            <v>ud</v>
          </cell>
          <cell r="D4250">
            <v>0</v>
          </cell>
        </row>
        <row r="4251">
          <cell r="A4251" t="str">
            <v>216450</v>
          </cell>
          <cell r="B4251" t="str">
            <v>Te FD FFF PN-25 DN800x800 conforme NBR7675</v>
          </cell>
          <cell r="C4251" t="str">
            <v>ud</v>
          </cell>
          <cell r="D4251">
            <v>0</v>
          </cell>
        </row>
        <row r="4252">
          <cell r="A4252" t="str">
            <v>216451</v>
          </cell>
          <cell r="B4252" t="str">
            <v>Te FD FFF PN-25 DN900x900 conforme NBR7675</v>
          </cell>
          <cell r="C4252" t="str">
            <v>ud</v>
          </cell>
          <cell r="D4252">
            <v>0</v>
          </cell>
        </row>
        <row r="4253">
          <cell r="A4253" t="str">
            <v>216452</v>
          </cell>
          <cell r="B4253" t="str">
            <v>Te FD FFF PN-25 DN1000x1000 conforme NBR7675</v>
          </cell>
          <cell r="C4253" t="str">
            <v>ud</v>
          </cell>
          <cell r="D4253">
            <v>0</v>
          </cell>
        </row>
        <row r="4254">
          <cell r="A4254" t="str">
            <v>216453</v>
          </cell>
          <cell r="B4254" t="str">
            <v>Te FD FFF PN-25 DN1100x1100 conforme NBR7675</v>
          </cell>
          <cell r="C4254" t="str">
            <v>ud</v>
          </cell>
          <cell r="D4254">
            <v>0</v>
          </cell>
        </row>
        <row r="4255">
          <cell r="A4255" t="str">
            <v>216454</v>
          </cell>
          <cell r="B4255" t="str">
            <v>Te FD FFF PN-25 DN1200x1200 conforme NBR7675</v>
          </cell>
          <cell r="C4255" t="str">
            <v>ud</v>
          </cell>
          <cell r="D4255">
            <v>0</v>
          </cell>
        </row>
        <row r="4256">
          <cell r="A4256" t="str">
            <v>2165</v>
          </cell>
          <cell r="B4256" t="str">
            <v>TE DE REDUÇÃO FD COM BOLSAS</v>
          </cell>
        </row>
        <row r="4257">
          <cell r="A4257" t="str">
            <v>216501</v>
          </cell>
          <cell r="B4257" t="str">
            <v>Te FD BBB JE/JE2GS DN75/80x50 conforme norma NBR7675</v>
          </cell>
          <cell r="C4257" t="str">
            <v>ud</v>
          </cell>
          <cell r="D4257">
            <v>0</v>
          </cell>
          <cell r="E4257">
            <v>117.66</v>
          </cell>
          <cell r="F4257">
            <v>117.66</v>
          </cell>
        </row>
        <row r="4258">
          <cell r="A4258" t="str">
            <v>216502</v>
          </cell>
          <cell r="B4258" t="str">
            <v>Te FD BBB JE/JE2GS DN100x50 conforme norma NBR7675</v>
          </cell>
          <cell r="C4258" t="str">
            <v>ud</v>
          </cell>
          <cell r="D4258">
            <v>0</v>
          </cell>
          <cell r="E4258">
            <v>176.46</v>
          </cell>
          <cell r="F4258">
            <v>176.46</v>
          </cell>
        </row>
        <row r="4259">
          <cell r="A4259" t="str">
            <v>216503</v>
          </cell>
          <cell r="B4259" t="str">
            <v>Te FD BBB JE/JE2GS DN100x75/80 conforme norma NBR7675 (11100)</v>
          </cell>
          <cell r="C4259" t="str">
            <v>ud</v>
          </cell>
          <cell r="D4259">
            <v>0</v>
          </cell>
          <cell r="E4259">
            <v>183.34</v>
          </cell>
          <cell r="F4259">
            <v>183.34</v>
          </cell>
        </row>
        <row r="4260">
          <cell r="A4260" t="str">
            <v>216504</v>
          </cell>
          <cell r="B4260" t="str">
            <v>Te FD BBB JE/JE2GS DN150x50 conforme norma NBR7675</v>
          </cell>
          <cell r="C4260" t="str">
            <v>ud</v>
          </cell>
          <cell r="D4260">
            <v>0</v>
          </cell>
          <cell r="E4260">
            <v>262.94</v>
          </cell>
          <cell r="F4260">
            <v>262.94</v>
          </cell>
        </row>
        <row r="4261">
          <cell r="A4261" t="str">
            <v>216505</v>
          </cell>
          <cell r="B4261" t="str">
            <v>Te FD BBB JE/JE2GS DN150x75/80 conforme norma NBR7675 (82910)</v>
          </cell>
          <cell r="C4261" t="str">
            <v>ud</v>
          </cell>
          <cell r="D4261">
            <v>0</v>
          </cell>
          <cell r="E4261">
            <v>269.87</v>
          </cell>
          <cell r="F4261">
            <v>269.87</v>
          </cell>
        </row>
        <row r="4262">
          <cell r="A4262" t="str">
            <v>216506</v>
          </cell>
          <cell r="B4262" t="str">
            <v>Te FD BBB JE/JE2GS DN150x100 conforme norma NBR7675 (39047)</v>
          </cell>
          <cell r="C4262" t="str">
            <v>ud</v>
          </cell>
          <cell r="D4262">
            <v>0</v>
          </cell>
          <cell r="E4262">
            <v>290.60000000000002</v>
          </cell>
          <cell r="F4262">
            <v>290.60000000000002</v>
          </cell>
        </row>
        <row r="4263">
          <cell r="A4263" t="str">
            <v>216507</v>
          </cell>
          <cell r="B4263" t="str">
            <v>Te FD BBB JE/JE2GS DN200x50 conforme norma NBR7675</v>
          </cell>
          <cell r="C4263" t="str">
            <v>ud</v>
          </cell>
          <cell r="D4263">
            <v>0</v>
          </cell>
          <cell r="E4263">
            <v>332.15</v>
          </cell>
          <cell r="F4263">
            <v>332.15</v>
          </cell>
        </row>
        <row r="4264">
          <cell r="A4264" t="str">
            <v>216508</v>
          </cell>
          <cell r="B4264" t="str">
            <v>Te FD BBB JE/JE2GS DN200x75/80 conforme norma NBR7675 (11290)</v>
          </cell>
          <cell r="C4264" t="str">
            <v>ud</v>
          </cell>
          <cell r="D4264">
            <v>0</v>
          </cell>
          <cell r="E4264">
            <v>394.23</v>
          </cell>
          <cell r="F4264">
            <v>394.23</v>
          </cell>
        </row>
        <row r="4265">
          <cell r="A4265" t="str">
            <v>216509</v>
          </cell>
          <cell r="B4265" t="str">
            <v>Te FD BBB JE/JE2GS DN200x100 conforme norma NBR7675 (80705)</v>
          </cell>
          <cell r="C4265" t="str">
            <v>ud</v>
          </cell>
          <cell r="D4265">
            <v>0</v>
          </cell>
          <cell r="E4265">
            <v>407.83</v>
          </cell>
          <cell r="F4265">
            <v>407.83</v>
          </cell>
        </row>
        <row r="4266">
          <cell r="A4266" t="str">
            <v>216510</v>
          </cell>
          <cell r="B4266" t="str">
            <v>Te FD BBB JE/JE2GS DN250x50 conforme norma NBR7675</v>
          </cell>
          <cell r="C4266" t="str">
            <v>ud</v>
          </cell>
          <cell r="D4266">
            <v>0</v>
          </cell>
          <cell r="E4266">
            <v>475.81</v>
          </cell>
          <cell r="F4266">
            <v>475.81</v>
          </cell>
        </row>
        <row r="4267">
          <cell r="A4267" t="str">
            <v>216511</v>
          </cell>
          <cell r="B4267" t="str">
            <v>Te FD BBB JE/JE2GS DN250x75/80 conforme norma NBR7675</v>
          </cell>
          <cell r="C4267" t="str">
            <v>ud</v>
          </cell>
          <cell r="D4267">
            <v>0</v>
          </cell>
          <cell r="E4267">
            <v>489.39</v>
          </cell>
          <cell r="F4267">
            <v>489.39</v>
          </cell>
        </row>
        <row r="4268">
          <cell r="A4268" t="str">
            <v>216512</v>
          </cell>
          <cell r="B4268" t="str">
            <v>Te FD BBB JE/JE2GS DN250x100 conforme norma NBR7675 (72290)</v>
          </cell>
          <cell r="C4268" t="str">
            <v>ud</v>
          </cell>
          <cell r="D4268">
            <v>0</v>
          </cell>
          <cell r="E4268">
            <v>581.22</v>
          </cell>
          <cell r="F4268">
            <v>581.22</v>
          </cell>
        </row>
        <row r="4269">
          <cell r="A4269" t="str">
            <v>216513</v>
          </cell>
          <cell r="B4269" t="str">
            <v>Te FD BBB JE/JE2GS DN300x75/80 conforme norma NBR7675 (11991)</v>
          </cell>
          <cell r="C4269" t="str">
            <v>ud</v>
          </cell>
          <cell r="D4269">
            <v>0</v>
          </cell>
          <cell r="E4269">
            <v>643.49</v>
          </cell>
          <cell r="F4269">
            <v>643.49</v>
          </cell>
        </row>
        <row r="4270">
          <cell r="A4270" t="str">
            <v>216514</v>
          </cell>
          <cell r="B4270" t="str">
            <v>Te FD BBB JE/JE2GS DN300x100 conforme norma NBR7675 (73229)</v>
          </cell>
          <cell r="C4270" t="str">
            <v>ud</v>
          </cell>
          <cell r="D4270">
            <v>0</v>
          </cell>
          <cell r="E4270">
            <v>664.26</v>
          </cell>
          <cell r="F4270">
            <v>664.26</v>
          </cell>
        </row>
        <row r="4271">
          <cell r="A4271" t="str">
            <v>216515</v>
          </cell>
          <cell r="B4271" t="str">
            <v>Te FD BBB JE/JE2GS DN300x150 conforme norma NBR7675 (68764)</v>
          </cell>
          <cell r="C4271" t="str">
            <v>ud</v>
          </cell>
          <cell r="D4271">
            <v>0</v>
          </cell>
          <cell r="E4271">
            <v>778.4</v>
          </cell>
          <cell r="F4271">
            <v>778.4</v>
          </cell>
        </row>
        <row r="4272">
          <cell r="A4272" t="str">
            <v>216516</v>
          </cell>
          <cell r="B4272" t="str">
            <v>Te FD BBB JE/JE2GS DN300x200 conforme norma NBR7675 (84417)</v>
          </cell>
          <cell r="C4272" t="str">
            <v>ud</v>
          </cell>
          <cell r="D4272">
            <v>0</v>
          </cell>
          <cell r="E4272">
            <v>857.98</v>
          </cell>
          <cell r="F4272">
            <v>857.98</v>
          </cell>
        </row>
        <row r="4273">
          <cell r="A4273" t="str">
            <v>216517</v>
          </cell>
          <cell r="B4273" t="str">
            <v>Te FD BBB JE/JE2GS DN300x250 conforme norma NBR7675 (89001)</v>
          </cell>
          <cell r="C4273" t="str">
            <v>ud</v>
          </cell>
          <cell r="D4273">
            <v>0</v>
          </cell>
          <cell r="E4273">
            <v>930.59</v>
          </cell>
          <cell r="F4273">
            <v>930.59</v>
          </cell>
        </row>
        <row r="4274">
          <cell r="A4274" t="str">
            <v>216518</v>
          </cell>
          <cell r="B4274" t="str">
            <v>Te FD BBB JE/JE2GS DN400x75/80 conforme norma NBR7675</v>
          </cell>
          <cell r="C4274" t="str">
            <v>ud</v>
          </cell>
          <cell r="D4274">
            <v>0</v>
          </cell>
          <cell r="E4274">
            <v>1033.28</v>
          </cell>
          <cell r="F4274">
            <v>1033.28</v>
          </cell>
        </row>
        <row r="4275">
          <cell r="A4275" t="str">
            <v>216519</v>
          </cell>
          <cell r="B4275" t="str">
            <v>Te FD BBB JE/JE2GS DN400x100 conforme norma NBR7675 (94978)</v>
          </cell>
          <cell r="C4275" t="str">
            <v>ud</v>
          </cell>
          <cell r="D4275">
            <v>0</v>
          </cell>
          <cell r="E4275">
            <v>1124.3699999999999</v>
          </cell>
          <cell r="F4275">
            <v>1124.3699999999999</v>
          </cell>
        </row>
        <row r="4276">
          <cell r="A4276" t="str">
            <v>216520</v>
          </cell>
          <cell r="B4276" t="str">
            <v>Te FD BBB JE/JE2GS DN400x200 conforme norma NBR7675 (87076)</v>
          </cell>
          <cell r="C4276" t="str">
            <v>ud</v>
          </cell>
          <cell r="D4276">
            <v>0</v>
          </cell>
          <cell r="E4276">
            <v>1321.54</v>
          </cell>
          <cell r="F4276">
            <v>1321.54</v>
          </cell>
        </row>
        <row r="4277">
          <cell r="A4277" t="str">
            <v>216521</v>
          </cell>
          <cell r="B4277" t="str">
            <v>Te FD BBB JE/JE2GS DN400x300 conforme norma NBR7675 (87084)</v>
          </cell>
          <cell r="C4277" t="str">
            <v>ud</v>
          </cell>
          <cell r="D4277">
            <v>0</v>
          </cell>
          <cell r="E4277">
            <v>1515.3</v>
          </cell>
          <cell r="F4277">
            <v>1515.3</v>
          </cell>
        </row>
        <row r="4278">
          <cell r="A4278" t="str">
            <v>216522</v>
          </cell>
          <cell r="B4278" t="str">
            <v>Te FD BBB JE/JE2GS DN500x100 conforme norma NBR7675 (87092)</v>
          </cell>
          <cell r="C4278" t="str">
            <v>ud</v>
          </cell>
          <cell r="D4278">
            <v>0</v>
          </cell>
          <cell r="E4278">
            <v>1563.73</v>
          </cell>
          <cell r="F4278">
            <v>1563.73</v>
          </cell>
        </row>
        <row r="4279">
          <cell r="A4279" t="str">
            <v>216523</v>
          </cell>
          <cell r="B4279" t="str">
            <v>Te FD BBB JE/JE2GS DN500x200 conforme norma NBR7675 (87319)</v>
          </cell>
          <cell r="C4279" t="str">
            <v>ud</v>
          </cell>
          <cell r="D4279">
            <v>0</v>
          </cell>
          <cell r="E4279">
            <v>1978.88</v>
          </cell>
          <cell r="F4279">
            <v>1978.88</v>
          </cell>
        </row>
        <row r="4280">
          <cell r="A4280" t="str">
            <v>216524</v>
          </cell>
          <cell r="B4280" t="str">
            <v>Te FD BBB JE/JE2GS DN500x300 conforme norma NBR7675 (87106)</v>
          </cell>
          <cell r="C4280" t="str">
            <v>ud</v>
          </cell>
          <cell r="D4280">
            <v>0</v>
          </cell>
          <cell r="E4280">
            <v>2243.0700000000002</v>
          </cell>
          <cell r="F4280">
            <v>2243.0700000000002</v>
          </cell>
        </row>
        <row r="4281">
          <cell r="A4281" t="str">
            <v>216525</v>
          </cell>
          <cell r="B4281" t="str">
            <v>Te FD BBB JE/JE2GS DN600x100 conforme norma NBR7675 (87122)</v>
          </cell>
          <cell r="C4281" t="str">
            <v>ud</v>
          </cell>
          <cell r="D4281">
            <v>0</v>
          </cell>
        </row>
        <row r="4282">
          <cell r="A4282" t="str">
            <v>216526</v>
          </cell>
          <cell r="B4282" t="str">
            <v>Te FD BBB JE/JE2GS DN600x200 conforme norma NBR7675 (87335)</v>
          </cell>
          <cell r="C4282" t="str">
            <v>ud</v>
          </cell>
          <cell r="D4282">
            <v>0</v>
          </cell>
        </row>
        <row r="4283">
          <cell r="A4283" t="str">
            <v>216527</v>
          </cell>
          <cell r="B4283" t="str">
            <v>Te FD BBB JE/JE2GS DN600x300 conforme norma NBR7675 (87130)</v>
          </cell>
          <cell r="C4283" t="str">
            <v>ud</v>
          </cell>
          <cell r="D4283">
            <v>0</v>
          </cell>
          <cell r="E4283">
            <v>3684.46</v>
          </cell>
          <cell r="F4283">
            <v>3684.46</v>
          </cell>
        </row>
        <row r="4284">
          <cell r="A4284" t="str">
            <v>216528</v>
          </cell>
          <cell r="B4284" t="str">
            <v>Te FD BBB JE/JE2GS DN600x400 conforme norma NBR7675 (255408)</v>
          </cell>
          <cell r="C4284" t="str">
            <v>ud</v>
          </cell>
          <cell r="D4284">
            <v>0</v>
          </cell>
          <cell r="E4284">
            <v>3874.75</v>
          </cell>
          <cell r="F4284">
            <v>3874.75</v>
          </cell>
        </row>
        <row r="4285">
          <cell r="A4285" t="str">
            <v>2166</v>
          </cell>
          <cell r="B4285" t="str">
            <v>TE DE REDUÇÃO FD COM BOLSAS E FLANGE PN-10</v>
          </cell>
        </row>
        <row r="4286">
          <cell r="A4286" t="str">
            <v>216601</v>
          </cell>
          <cell r="B4286" t="str">
            <v>Te FD BBF JE/JE2GS PN-10 DN75/80x50 conforme NBR7675</v>
          </cell>
          <cell r="C4286" t="str">
            <v>ud</v>
          </cell>
          <cell r="D4286">
            <v>0</v>
          </cell>
          <cell r="E4286">
            <v>159.12</v>
          </cell>
          <cell r="F4286">
            <v>159.12</v>
          </cell>
        </row>
        <row r="4287">
          <cell r="A4287" t="str">
            <v>216602</v>
          </cell>
          <cell r="B4287" t="str">
            <v>Te FD BBF JE/JE2GS PN-10 DN100x50 conforme NBR7675</v>
          </cell>
          <cell r="C4287" t="str">
            <v>ud</v>
          </cell>
          <cell r="D4287">
            <v>0</v>
          </cell>
          <cell r="E4287">
            <v>179.88</v>
          </cell>
          <cell r="F4287">
            <v>179.88</v>
          </cell>
        </row>
        <row r="4288">
          <cell r="A4288" t="str">
            <v>216603</v>
          </cell>
          <cell r="B4288" t="str">
            <v>Te FD BBF JE/JE2GS PN-10 DN100x75/80 conforme NBR7675  (293626)</v>
          </cell>
          <cell r="C4288" t="str">
            <v>ud</v>
          </cell>
          <cell r="D4288">
            <v>0</v>
          </cell>
          <cell r="E4288">
            <v>244.7</v>
          </cell>
          <cell r="F4288">
            <v>244.7</v>
          </cell>
        </row>
        <row r="4289">
          <cell r="A4289" t="str">
            <v>216604</v>
          </cell>
          <cell r="B4289" t="str">
            <v>Te FD BBF JE/JE2GS PN-10 DN150x50 conforme NBR7675</v>
          </cell>
          <cell r="C4289" t="str">
            <v>ud</v>
          </cell>
          <cell r="D4289">
            <v>0</v>
          </cell>
          <cell r="E4289">
            <v>258.29000000000002</v>
          </cell>
          <cell r="F4289">
            <v>258.29000000000002</v>
          </cell>
        </row>
        <row r="4290">
          <cell r="A4290" t="str">
            <v>216605</v>
          </cell>
          <cell r="B4290" t="str">
            <v>Te FD BBF JE/JE2GS PN-10 DN150x75/80 conforme NBR7675 (11304)</v>
          </cell>
          <cell r="C4290" t="str">
            <v>ud</v>
          </cell>
          <cell r="D4290">
            <v>0</v>
          </cell>
          <cell r="E4290">
            <v>285.48</v>
          </cell>
          <cell r="F4290">
            <v>285.48</v>
          </cell>
        </row>
        <row r="4291">
          <cell r="A4291" t="str">
            <v>216606</v>
          </cell>
          <cell r="B4291" t="str">
            <v>Te FD BBF JE/JE2GS PN-10 DN150x100 conforme NBR7675</v>
          </cell>
          <cell r="C4291" t="str">
            <v>ud</v>
          </cell>
          <cell r="D4291">
            <v>0</v>
          </cell>
          <cell r="E4291">
            <v>271.89</v>
          </cell>
          <cell r="F4291">
            <v>271.89</v>
          </cell>
        </row>
        <row r="4292">
          <cell r="A4292" t="str">
            <v>216607</v>
          </cell>
          <cell r="B4292" t="str">
            <v>Te FD BBF JE/JE2GS PN-10 DN200x50 conforme NBR7675 (119008)</v>
          </cell>
          <cell r="C4292" t="str">
            <v>ud</v>
          </cell>
          <cell r="D4292">
            <v>0</v>
          </cell>
          <cell r="E4292">
            <v>387.47</v>
          </cell>
          <cell r="F4292">
            <v>387.47</v>
          </cell>
        </row>
        <row r="4293">
          <cell r="A4293" t="str">
            <v>216608</v>
          </cell>
          <cell r="B4293" t="str">
            <v>Te FD BBF JE/JE2GS PN-10 DN200x75/80 conforme NBR7675 (11568)</v>
          </cell>
          <cell r="C4293" t="str">
            <v>ud</v>
          </cell>
          <cell r="D4293">
            <v>0</v>
          </cell>
          <cell r="E4293">
            <v>421.43</v>
          </cell>
          <cell r="F4293">
            <v>421.43</v>
          </cell>
        </row>
        <row r="4294">
          <cell r="A4294" t="str">
            <v>216609</v>
          </cell>
          <cell r="B4294" t="str">
            <v>Te FD BBF JE/JE2GS PN-10 DN200x100 conforme NBR7675</v>
          </cell>
          <cell r="C4294" t="str">
            <v>ud</v>
          </cell>
          <cell r="D4294">
            <v>0</v>
          </cell>
          <cell r="E4294">
            <v>428.95</v>
          </cell>
          <cell r="F4294">
            <v>428.95</v>
          </cell>
        </row>
        <row r="4295">
          <cell r="A4295" t="str">
            <v>216610</v>
          </cell>
          <cell r="B4295" t="str">
            <v>Te FD BBF JE/JE2GS PN-10 DN250x50 conforme NBR7675</v>
          </cell>
          <cell r="C4295" t="str">
            <v>ud</v>
          </cell>
          <cell r="D4295">
            <v>0</v>
          </cell>
          <cell r="E4295">
            <v>477.47</v>
          </cell>
          <cell r="F4295">
            <v>477.47</v>
          </cell>
        </row>
        <row r="4296">
          <cell r="A4296" t="str">
            <v>216611</v>
          </cell>
          <cell r="B4296" t="str">
            <v>Te FD BBF JE/JE2GS PN-10 DN250x75/80 conforme NBR7675 (12416)</v>
          </cell>
          <cell r="C4296" t="str">
            <v>ud</v>
          </cell>
          <cell r="D4296">
            <v>0</v>
          </cell>
          <cell r="E4296">
            <v>498.16</v>
          </cell>
          <cell r="F4296">
            <v>498.16</v>
          </cell>
        </row>
        <row r="4297">
          <cell r="A4297" t="str">
            <v>216612</v>
          </cell>
          <cell r="B4297" t="str">
            <v>Te FD BBF JE/JE2GS PN-10 DN250x100 conforme NBR7675 (293628)</v>
          </cell>
          <cell r="C4297" t="str">
            <v>ud</v>
          </cell>
          <cell r="D4297">
            <v>0</v>
          </cell>
          <cell r="E4297">
            <v>546.62</v>
          </cell>
          <cell r="F4297">
            <v>546.62</v>
          </cell>
        </row>
        <row r="4298">
          <cell r="A4298" t="str">
            <v>216613</v>
          </cell>
          <cell r="B4298" t="str">
            <v>Te FD BBF JE/JE2GS PN-10 DN300x100 conforme NBR7675</v>
          </cell>
          <cell r="C4298" t="str">
            <v>ud</v>
          </cell>
          <cell r="D4298">
            <v>0</v>
          </cell>
          <cell r="E4298">
            <v>684.98</v>
          </cell>
          <cell r="F4298">
            <v>684.98</v>
          </cell>
        </row>
        <row r="4299">
          <cell r="A4299" t="str">
            <v>216614</v>
          </cell>
          <cell r="B4299" t="str">
            <v>Te FD BBF JE/JE2GS PN-10 DN300x200 conforme NBR7675 (293629)</v>
          </cell>
          <cell r="C4299" t="str">
            <v>ud</v>
          </cell>
          <cell r="D4299">
            <v>0</v>
          </cell>
        </row>
        <row r="4300">
          <cell r="A4300" t="str">
            <v>216615</v>
          </cell>
          <cell r="B4300" t="str">
            <v>Te FD BBF JE/JE2GS PN-10 DN350x100 conforme NBR7675</v>
          </cell>
          <cell r="C4300" t="str">
            <v>ud</v>
          </cell>
          <cell r="D4300">
            <v>0</v>
          </cell>
          <cell r="E4300">
            <v>871.82</v>
          </cell>
          <cell r="F4300">
            <v>871.82</v>
          </cell>
        </row>
        <row r="4301">
          <cell r="A4301" t="str">
            <v>216616</v>
          </cell>
          <cell r="B4301" t="str">
            <v>Te FD BBF JE/JE2GS PN-10 DN350x200 conforme NBR7675</v>
          </cell>
          <cell r="C4301" t="str">
            <v>ud</v>
          </cell>
          <cell r="D4301">
            <v>0</v>
          </cell>
        </row>
        <row r="4302">
          <cell r="A4302" t="str">
            <v>216617</v>
          </cell>
          <cell r="B4302" t="str">
            <v>Te FD BBF JE/JE2GS PN-10 DN400x100 conforme NBR7675 (149314)</v>
          </cell>
          <cell r="C4302" t="str">
            <v>ud</v>
          </cell>
          <cell r="D4302">
            <v>0</v>
          </cell>
          <cell r="E4302">
            <v>1093.27</v>
          </cell>
          <cell r="F4302">
            <v>1093.27</v>
          </cell>
        </row>
        <row r="4303">
          <cell r="A4303" t="str">
            <v>216618</v>
          </cell>
          <cell r="B4303" t="str">
            <v>Te FD BBF JE/JE2GS PN-10 DN400x200 conforme NBR7675 (155764)</v>
          </cell>
          <cell r="C4303" t="str">
            <v>ud</v>
          </cell>
          <cell r="D4303">
            <v>0</v>
          </cell>
          <cell r="E4303">
            <v>1366.55</v>
          </cell>
          <cell r="F4303">
            <v>1366.55</v>
          </cell>
        </row>
        <row r="4304">
          <cell r="A4304" t="str">
            <v>216619</v>
          </cell>
          <cell r="B4304" t="str">
            <v>Te FD BBF JE/JE2GS PN-10 DN400x300 conforme NBR7675</v>
          </cell>
          <cell r="C4304" t="str">
            <v>ud</v>
          </cell>
          <cell r="D4304">
            <v>0</v>
          </cell>
        </row>
        <row r="4305">
          <cell r="A4305" t="str">
            <v>216620</v>
          </cell>
          <cell r="B4305" t="str">
            <v>Te FD BBF JE/JE2GS PN-10 DN500x100 conforme NBR7675 (200573)</v>
          </cell>
          <cell r="C4305" t="str">
            <v>ud</v>
          </cell>
          <cell r="D4305">
            <v>0</v>
          </cell>
          <cell r="E4305">
            <v>1902.78</v>
          </cell>
          <cell r="F4305">
            <v>1902.78</v>
          </cell>
        </row>
        <row r="4306">
          <cell r="A4306" t="str">
            <v>216621</v>
          </cell>
          <cell r="B4306" t="str">
            <v>Te FD BBF JE/JE2GS PN-10 DN500x200 conforme NBR7675</v>
          </cell>
          <cell r="C4306" t="str">
            <v>ud</v>
          </cell>
          <cell r="D4306">
            <v>0</v>
          </cell>
          <cell r="E4306">
            <v>2207.2399999999998</v>
          </cell>
          <cell r="F4306">
            <v>2207.2399999999998</v>
          </cell>
        </row>
        <row r="4307">
          <cell r="A4307" t="str">
            <v>216622</v>
          </cell>
          <cell r="B4307" t="str">
            <v>Te FD BBF JE/JE2GS PN-10 DN500x300 conforme NBR7675 (194913)</v>
          </cell>
          <cell r="C4307" t="str">
            <v>ud</v>
          </cell>
          <cell r="D4307">
            <v>0</v>
          </cell>
        </row>
        <row r="4308">
          <cell r="A4308" t="str">
            <v>216623</v>
          </cell>
          <cell r="B4308" t="str">
            <v>Te FD BBF JE/JE2GS PN-10 DN500x400 conforme NBR7675</v>
          </cell>
          <cell r="C4308" t="str">
            <v>ud</v>
          </cell>
          <cell r="D4308">
            <v>0</v>
          </cell>
        </row>
        <row r="4309">
          <cell r="A4309" t="str">
            <v>216624</v>
          </cell>
          <cell r="B4309" t="str">
            <v>Te FD BBF JE/JE2GS PN-10 DN600x100 conforme NBR7675 (14222)</v>
          </cell>
          <cell r="C4309" t="str">
            <v>ud</v>
          </cell>
          <cell r="D4309">
            <v>0</v>
          </cell>
          <cell r="E4309">
            <v>2255.5300000000002</v>
          </cell>
          <cell r="F4309">
            <v>2255.5300000000002</v>
          </cell>
        </row>
        <row r="4310">
          <cell r="A4310" t="str">
            <v>216625</v>
          </cell>
          <cell r="B4310" t="str">
            <v>Te FD BBF JE/JE2GS PN-10 DN600x200 conforme NBR7675 (93637)</v>
          </cell>
          <cell r="C4310" t="str">
            <v>ud</v>
          </cell>
          <cell r="D4310">
            <v>0</v>
          </cell>
          <cell r="E4310">
            <v>2473.6</v>
          </cell>
          <cell r="F4310">
            <v>2473.6</v>
          </cell>
        </row>
        <row r="4311">
          <cell r="A4311" t="str">
            <v>216626</v>
          </cell>
          <cell r="B4311" t="str">
            <v>Te FD BBF JE/JE2GS PN-10 DN600x300 conforme NBR7675</v>
          </cell>
          <cell r="C4311" t="str">
            <v>ud</v>
          </cell>
          <cell r="D4311">
            <v>0</v>
          </cell>
        </row>
        <row r="4312">
          <cell r="A4312" t="str">
            <v>216627</v>
          </cell>
          <cell r="B4312" t="str">
            <v>Te FD BBF JE/JE2GS PN-10 DN600x400 conforme NBR7675</v>
          </cell>
          <cell r="C4312" t="str">
            <v>ud</v>
          </cell>
          <cell r="D4312">
            <v>0</v>
          </cell>
        </row>
        <row r="4313">
          <cell r="A4313" t="str">
            <v>216628</v>
          </cell>
          <cell r="B4313" t="str">
            <v>Te FD BBF JE/JE2GS PN-10 DN700x200 conforme NBR7675 (269123)</v>
          </cell>
          <cell r="C4313" t="str">
            <v>ud</v>
          </cell>
          <cell r="D4313">
            <v>0</v>
          </cell>
          <cell r="E4313">
            <v>5203.68</v>
          </cell>
          <cell r="F4313">
            <v>5203.68</v>
          </cell>
        </row>
        <row r="4314">
          <cell r="A4314" t="str">
            <v>216629</v>
          </cell>
          <cell r="B4314" t="str">
            <v>Te FD BBF JE/JE2GS PN-10 DN700x400 conforme NBR7675</v>
          </cell>
          <cell r="C4314" t="str">
            <v>ud</v>
          </cell>
          <cell r="D4314">
            <v>0</v>
          </cell>
        </row>
        <row r="4315">
          <cell r="A4315" t="str">
            <v>216630</v>
          </cell>
          <cell r="B4315" t="str">
            <v>Te FD BBF JE/JE2GS PN-10 DN700x600 conforme NBR7675</v>
          </cell>
          <cell r="C4315" t="str">
            <v>ud</v>
          </cell>
          <cell r="D4315">
            <v>0</v>
          </cell>
          <cell r="E4315">
            <v>6919.17</v>
          </cell>
          <cell r="F4315">
            <v>6919.17</v>
          </cell>
        </row>
        <row r="4316">
          <cell r="A4316" t="str">
            <v>216631</v>
          </cell>
          <cell r="B4316" t="str">
            <v>Te FD BBF JE/JE2GS PN-10 DN800x200 conforme NBR7675 (282670)</v>
          </cell>
          <cell r="C4316" t="str">
            <v>ud</v>
          </cell>
          <cell r="D4316">
            <v>0</v>
          </cell>
        </row>
        <row r="4317">
          <cell r="A4317" t="str">
            <v>216632</v>
          </cell>
          <cell r="B4317" t="str">
            <v>Te FD BBF JE/JE2GS PN-10 DN800x400 conforme NBR7675 (13749)</v>
          </cell>
          <cell r="C4317" t="str">
            <v>ud</v>
          </cell>
          <cell r="D4317">
            <v>0</v>
          </cell>
        </row>
        <row r="4318">
          <cell r="A4318" t="str">
            <v>216633</v>
          </cell>
          <cell r="B4318" t="str">
            <v>Te FD BBF JE/JE2GS PN-10 DN800x600 conforme NBR7675 (252662)</v>
          </cell>
          <cell r="C4318" t="str">
            <v>ud</v>
          </cell>
          <cell r="D4318">
            <v>0</v>
          </cell>
        </row>
        <row r="4319">
          <cell r="A4319" t="str">
            <v>216634</v>
          </cell>
          <cell r="B4319" t="str">
            <v>Te FD BBF JE/JE2GS PN-10 DN900x200 conforme NBR7675</v>
          </cell>
          <cell r="C4319" t="str">
            <v>ud</v>
          </cell>
          <cell r="D4319">
            <v>0</v>
          </cell>
        </row>
        <row r="4320">
          <cell r="A4320" t="str">
            <v>216635</v>
          </cell>
          <cell r="B4320" t="str">
            <v>Te FD BBF JE/JE2GS PN-10 DN900x400 conforme NBR7675</v>
          </cell>
          <cell r="C4320" t="str">
            <v>ud</v>
          </cell>
          <cell r="D4320">
            <v>0</v>
          </cell>
        </row>
        <row r="4321">
          <cell r="A4321" t="str">
            <v>216636</v>
          </cell>
          <cell r="B4321" t="str">
            <v>Te FD BBF JE/JE2GS PN-10 DN900x600 conforme NBR7675</v>
          </cell>
          <cell r="C4321" t="str">
            <v>ud</v>
          </cell>
          <cell r="D4321">
            <v>0</v>
          </cell>
        </row>
        <row r="4322">
          <cell r="A4322" t="str">
            <v>216637</v>
          </cell>
          <cell r="B4322" t="str">
            <v>Te FD BBF JE/JE2GS PN-10 DN900x800 conforme NBR7675</v>
          </cell>
          <cell r="C4322" t="str">
            <v>ud</v>
          </cell>
          <cell r="D4322">
            <v>0</v>
          </cell>
        </row>
        <row r="4323">
          <cell r="A4323" t="str">
            <v>216638</v>
          </cell>
          <cell r="B4323" t="str">
            <v>Te FD BBF JE/JE2GS PN-10 DN1000x200 conforme NBR7675</v>
          </cell>
          <cell r="C4323" t="str">
            <v>ud</v>
          </cell>
          <cell r="D4323">
            <v>0</v>
          </cell>
        </row>
        <row r="4324">
          <cell r="A4324" t="str">
            <v>216639</v>
          </cell>
          <cell r="B4324" t="str">
            <v>Te FD BBF JE/JE2GS PN-10 DN1000x400 conforme NBR7675</v>
          </cell>
          <cell r="C4324" t="str">
            <v>ud</v>
          </cell>
          <cell r="D4324">
            <v>0</v>
          </cell>
        </row>
        <row r="4325">
          <cell r="A4325" t="str">
            <v>216640</v>
          </cell>
          <cell r="B4325" t="str">
            <v>Te FD BBF JE/JE2GS PN-10 DN1000x600 conforme NBR7675</v>
          </cell>
          <cell r="C4325" t="str">
            <v>ud</v>
          </cell>
          <cell r="D4325">
            <v>0</v>
          </cell>
        </row>
        <row r="4326">
          <cell r="A4326" t="str">
            <v>216641</v>
          </cell>
          <cell r="B4326" t="str">
            <v>Te FD BBF JE/JE2GS PN-10 DN1000x800 conforme NBR7675</v>
          </cell>
          <cell r="C4326" t="str">
            <v>ud</v>
          </cell>
          <cell r="D4326">
            <v>0</v>
          </cell>
        </row>
        <row r="4327">
          <cell r="A4327" t="str">
            <v>216642</v>
          </cell>
          <cell r="B4327" t="str">
            <v>Te FD BBF JE/JE2GS PN-10 DN1200x200 conforme NBR7675</v>
          </cell>
          <cell r="C4327" t="str">
            <v>ud</v>
          </cell>
          <cell r="D4327">
            <v>0</v>
          </cell>
        </row>
        <row r="4328">
          <cell r="A4328" t="str">
            <v>216643</v>
          </cell>
          <cell r="B4328" t="str">
            <v>Te FD BBF JE/JE2GS PN-10 DN1200x400 conforme NBR7675</v>
          </cell>
          <cell r="C4328" t="str">
            <v>ud</v>
          </cell>
          <cell r="D4328">
            <v>0</v>
          </cell>
        </row>
        <row r="4329">
          <cell r="A4329" t="str">
            <v>216644</v>
          </cell>
          <cell r="B4329" t="str">
            <v>Te FD BBF JE/JE2GS PN-10 DN1200x600 conforme NBR7675</v>
          </cell>
          <cell r="C4329" t="str">
            <v>ud</v>
          </cell>
          <cell r="D4329">
            <v>0</v>
          </cell>
        </row>
        <row r="4330">
          <cell r="A4330" t="str">
            <v>216645</v>
          </cell>
          <cell r="B4330" t="str">
            <v>Te FD BBF JE/JE2GS PN-10 DN1200x800 conforme NBR7675</v>
          </cell>
          <cell r="C4330" t="str">
            <v>ud</v>
          </cell>
          <cell r="D4330">
            <v>0</v>
          </cell>
        </row>
        <row r="4331">
          <cell r="A4331" t="str">
            <v>216646</v>
          </cell>
          <cell r="B4331" t="str">
            <v>Te FD BBF JE/JE2GS PN-10 DN1200x1000 conforme NBR7675</v>
          </cell>
          <cell r="C4331" t="str">
            <v>ud</v>
          </cell>
          <cell r="D4331">
            <v>0</v>
          </cell>
        </row>
        <row r="4332">
          <cell r="A4332" t="str">
            <v>2167</v>
          </cell>
          <cell r="B4332" t="str">
            <v>TE DE REDUÇÃO FD COM BOLSAS E FLANGE PN-16</v>
          </cell>
        </row>
        <row r="4333">
          <cell r="A4333" t="str">
            <v>216701</v>
          </cell>
          <cell r="B4333" t="str">
            <v>Te FD BBF JE/JE2GS PN-16 DN75/80x50 conforme NBR7675</v>
          </cell>
          <cell r="C4333" t="str">
            <v>ud</v>
          </cell>
          <cell r="D4333">
            <v>0</v>
          </cell>
        </row>
        <row r="4334">
          <cell r="A4334" t="str">
            <v>216702</v>
          </cell>
          <cell r="B4334" t="str">
            <v>Te FD BBF JE/JE2GS PN-16 DN100x50 conforme NBR7675</v>
          </cell>
          <cell r="C4334" t="str">
            <v>ud</v>
          </cell>
          <cell r="D4334">
            <v>0</v>
          </cell>
        </row>
        <row r="4335">
          <cell r="A4335" t="str">
            <v>216703</v>
          </cell>
          <cell r="B4335" t="str">
            <v>Te FD BBF JE/JE2GS PN-16 DN100x75/80 conforme NBR7675 (196428)</v>
          </cell>
          <cell r="C4335" t="str">
            <v>ud</v>
          </cell>
          <cell r="D4335">
            <v>0</v>
          </cell>
          <cell r="E4335">
            <v>244.7</v>
          </cell>
          <cell r="F4335">
            <v>244.7</v>
          </cell>
        </row>
        <row r="4336">
          <cell r="A4336" t="str">
            <v>216704</v>
          </cell>
          <cell r="B4336" t="str">
            <v>Te FD BBF JE/JE2GS PN-16 DN150x50 conforme NBR7675 (145343)</v>
          </cell>
          <cell r="C4336" t="str">
            <v>ud</v>
          </cell>
          <cell r="D4336">
            <v>0</v>
          </cell>
          <cell r="E4336">
            <v>258.29000000000002</v>
          </cell>
          <cell r="F4336">
            <v>258.29000000000002</v>
          </cell>
        </row>
        <row r="4337">
          <cell r="A4337" t="str">
            <v>216705</v>
          </cell>
          <cell r="B4337" t="str">
            <v>Te FD BBF JE/JE2GS PN-16 DN150x75/80 conforme NBR7675</v>
          </cell>
          <cell r="C4337" t="str">
            <v>ud</v>
          </cell>
          <cell r="D4337">
            <v>0</v>
          </cell>
          <cell r="E4337">
            <v>285.48</v>
          </cell>
          <cell r="F4337">
            <v>285.48</v>
          </cell>
        </row>
        <row r="4338">
          <cell r="A4338" t="str">
            <v>216706</v>
          </cell>
          <cell r="B4338" t="str">
            <v>Te FD BBF JE/JE2GS PN-16 DN150x100 conforme NBR7675 (118621)</v>
          </cell>
          <cell r="C4338" t="str">
            <v>ud</v>
          </cell>
          <cell r="D4338">
            <v>0</v>
          </cell>
          <cell r="E4338">
            <v>271.89</v>
          </cell>
          <cell r="F4338">
            <v>271.89</v>
          </cell>
        </row>
        <row r="4339">
          <cell r="A4339" t="str">
            <v>216707</v>
          </cell>
          <cell r="B4339" t="str">
            <v>Te FD BBF JE/JE2GS PN-16 DN200x50 conforme NBR7675</v>
          </cell>
          <cell r="C4339" t="str">
            <v>ud</v>
          </cell>
          <cell r="D4339">
            <v>0</v>
          </cell>
          <cell r="E4339">
            <v>387.47</v>
          </cell>
          <cell r="F4339">
            <v>387.47</v>
          </cell>
        </row>
        <row r="4340">
          <cell r="A4340" t="str">
            <v>216708</v>
          </cell>
          <cell r="B4340" t="str">
            <v>Te FD BBF JE/JE2GS PN-16 DN200x75/80 conforme NBR7675</v>
          </cell>
          <cell r="C4340" t="str">
            <v>ud</v>
          </cell>
          <cell r="D4340">
            <v>0</v>
          </cell>
          <cell r="E4340">
            <v>421.43</v>
          </cell>
          <cell r="F4340">
            <v>421.43</v>
          </cell>
        </row>
        <row r="4341">
          <cell r="A4341" t="str">
            <v>216709</v>
          </cell>
          <cell r="B4341" t="str">
            <v>Te FD BBF JE/JE2GS PN-16 DN200x100 conforme NBR7675 (77941)</v>
          </cell>
          <cell r="C4341" t="str">
            <v>ud</v>
          </cell>
          <cell r="D4341">
            <v>0</v>
          </cell>
          <cell r="E4341">
            <v>428.95</v>
          </cell>
          <cell r="F4341">
            <v>428.95</v>
          </cell>
        </row>
        <row r="4342">
          <cell r="A4342" t="str">
            <v>216710</v>
          </cell>
          <cell r="B4342" t="str">
            <v>Te FD BBF JE/JE2GS PN-16 DN250x50 conforme NBR7675</v>
          </cell>
          <cell r="C4342" t="str">
            <v>ud</v>
          </cell>
          <cell r="D4342">
            <v>0</v>
          </cell>
          <cell r="E4342">
            <v>477.47</v>
          </cell>
          <cell r="F4342">
            <v>477.47</v>
          </cell>
        </row>
        <row r="4343">
          <cell r="A4343" t="str">
            <v>216711</v>
          </cell>
          <cell r="B4343" t="str">
            <v>Te FD BBF JE/JE2GS PN-16 DN250x75/80 conforme NBR7675</v>
          </cell>
          <cell r="C4343" t="str">
            <v>ud</v>
          </cell>
          <cell r="D4343">
            <v>0</v>
          </cell>
          <cell r="E4343">
            <v>498.16</v>
          </cell>
          <cell r="F4343">
            <v>498.16</v>
          </cell>
        </row>
        <row r="4344">
          <cell r="A4344" t="str">
            <v>216712</v>
          </cell>
          <cell r="B4344" t="str">
            <v>Te FD BBF JE/JE2GS PN-16 DN250x100 conforme NBR7675 (98469)</v>
          </cell>
          <cell r="C4344" t="str">
            <v>ud</v>
          </cell>
          <cell r="D4344">
            <v>0</v>
          </cell>
          <cell r="E4344">
            <v>546.62</v>
          </cell>
          <cell r="F4344">
            <v>546.62</v>
          </cell>
        </row>
        <row r="4345">
          <cell r="A4345" t="str">
            <v>216713</v>
          </cell>
          <cell r="B4345" t="str">
            <v>Te FD BBF JE/JE2GS PN-16 DN300x100 conforme NBR7675 (77658)</v>
          </cell>
          <cell r="C4345" t="str">
            <v>ud</v>
          </cell>
          <cell r="D4345">
            <v>0</v>
          </cell>
          <cell r="E4345">
            <v>684.98</v>
          </cell>
          <cell r="F4345">
            <v>684.98</v>
          </cell>
        </row>
        <row r="4346">
          <cell r="A4346" t="str">
            <v>216714</v>
          </cell>
          <cell r="B4346" t="str">
            <v>Te FD BBF JE/JE2GS PN-16 DN300x200 conforme NBR7675</v>
          </cell>
          <cell r="C4346" t="str">
            <v>ud</v>
          </cell>
          <cell r="D4346">
            <v>0</v>
          </cell>
        </row>
        <row r="4347">
          <cell r="A4347" t="str">
            <v>216715</v>
          </cell>
          <cell r="B4347" t="str">
            <v>Te FD BBF JE/JE2GS PN-16 DN350x100 conforme NBR7675</v>
          </cell>
          <cell r="C4347" t="str">
            <v>ud</v>
          </cell>
          <cell r="D4347">
            <v>0</v>
          </cell>
          <cell r="E4347">
            <v>871.82</v>
          </cell>
          <cell r="F4347">
            <v>871.82</v>
          </cell>
        </row>
        <row r="4348">
          <cell r="A4348" t="str">
            <v>216716</v>
          </cell>
          <cell r="B4348" t="str">
            <v>Te FD BBF JE/JE2GS PN-16 DN350x200 conforme NBR7675</v>
          </cell>
          <cell r="C4348" t="str">
            <v>ud</v>
          </cell>
          <cell r="D4348">
            <v>0</v>
          </cell>
        </row>
        <row r="4349">
          <cell r="A4349" t="str">
            <v>216717</v>
          </cell>
          <cell r="B4349" t="str">
            <v>Te FD BBF JE/JE2GS PN-16 DN400x100 conforme NBR7675 (113336)</v>
          </cell>
          <cell r="C4349" t="str">
            <v>ud</v>
          </cell>
          <cell r="D4349">
            <v>0</v>
          </cell>
          <cell r="E4349">
            <v>1093.27</v>
          </cell>
          <cell r="F4349">
            <v>1093.27</v>
          </cell>
        </row>
        <row r="4350">
          <cell r="A4350" t="str">
            <v>216718</v>
          </cell>
          <cell r="B4350" t="str">
            <v>Te FD BBF JE/JE2GS PN-16 DN400x200 conforme NBR7675</v>
          </cell>
          <cell r="C4350" t="str">
            <v>ud</v>
          </cell>
          <cell r="D4350">
            <v>0</v>
          </cell>
          <cell r="E4350">
            <v>1366.55</v>
          </cell>
          <cell r="F4350">
            <v>1366.55</v>
          </cell>
        </row>
        <row r="4351">
          <cell r="A4351" t="str">
            <v>216719</v>
          </cell>
          <cell r="B4351" t="str">
            <v>Te FD BBF JE/JE2GS PN-16 DN400x300 conforme NBR7675</v>
          </cell>
          <cell r="C4351" t="str">
            <v>ud</v>
          </cell>
          <cell r="D4351">
            <v>0</v>
          </cell>
        </row>
        <row r="4352">
          <cell r="A4352" t="str">
            <v>216720</v>
          </cell>
          <cell r="B4352" t="str">
            <v>Te FD BBF JE/JE2GS PN-16 DN500x100 conforme NBR7675 (87300)</v>
          </cell>
          <cell r="C4352" t="str">
            <v>ud</v>
          </cell>
          <cell r="D4352">
            <v>0</v>
          </cell>
          <cell r="E4352">
            <v>1902.78</v>
          </cell>
          <cell r="F4352">
            <v>1902.78</v>
          </cell>
        </row>
        <row r="4353">
          <cell r="A4353" t="str">
            <v>216721</v>
          </cell>
          <cell r="B4353" t="str">
            <v>Te FD BBF JE/JE2GS PN-16 DN500x200 conforme NBR7675 (149357)</v>
          </cell>
          <cell r="C4353" t="str">
            <v>ud</v>
          </cell>
          <cell r="D4353">
            <v>0</v>
          </cell>
          <cell r="E4353">
            <v>2207.2399999999998</v>
          </cell>
          <cell r="F4353">
            <v>2207.2399999999998</v>
          </cell>
        </row>
        <row r="4354">
          <cell r="A4354" t="str">
            <v>216722</v>
          </cell>
          <cell r="B4354" t="str">
            <v>Te FD BBF JE/JE2GS PN-16 DN500x300 conforme NBR7675</v>
          </cell>
          <cell r="C4354" t="str">
            <v>ud</v>
          </cell>
          <cell r="D4354">
            <v>0</v>
          </cell>
        </row>
        <row r="4355">
          <cell r="A4355" t="str">
            <v>216723</v>
          </cell>
          <cell r="B4355" t="str">
            <v>Te FD BBF JE/JE2GS PN-16 DN500x400 conforme NBR7675</v>
          </cell>
          <cell r="C4355" t="str">
            <v>ud</v>
          </cell>
          <cell r="D4355">
            <v>0</v>
          </cell>
        </row>
        <row r="4356">
          <cell r="A4356" t="str">
            <v>216724</v>
          </cell>
          <cell r="B4356" t="str">
            <v>Te FD BBF JE/JE2GS PN-16 DN600x100 conforme NBR7675</v>
          </cell>
          <cell r="C4356" t="str">
            <v>ud</v>
          </cell>
          <cell r="D4356">
            <v>0</v>
          </cell>
          <cell r="E4356">
            <v>2255.5300000000002</v>
          </cell>
          <cell r="F4356">
            <v>2255.5300000000002</v>
          </cell>
        </row>
        <row r="4357">
          <cell r="A4357" t="str">
            <v>216725</v>
          </cell>
          <cell r="B4357" t="str">
            <v>Te FD BBF JE/JE2GS PN-16 DN600x200 conforme NBR7675</v>
          </cell>
          <cell r="C4357" t="str">
            <v>ud</v>
          </cell>
          <cell r="D4357">
            <v>0</v>
          </cell>
          <cell r="E4357">
            <v>2473.6</v>
          </cell>
          <cell r="F4357">
            <v>2473.6</v>
          </cell>
        </row>
        <row r="4358">
          <cell r="A4358" t="str">
            <v>216726</v>
          </cell>
          <cell r="B4358" t="str">
            <v>Te FD BBF JE/JE2GS PN-16 DN600x300 conforme NBR7675</v>
          </cell>
          <cell r="C4358" t="str">
            <v>ud</v>
          </cell>
          <cell r="D4358">
            <v>0</v>
          </cell>
        </row>
        <row r="4359">
          <cell r="A4359" t="str">
            <v>216727</v>
          </cell>
          <cell r="B4359" t="str">
            <v>Te FD BBF JE/JE2GS PN-16 DN600x400 conforme NBR7675</v>
          </cell>
          <cell r="C4359" t="str">
            <v>ud</v>
          </cell>
          <cell r="D4359">
            <v>0</v>
          </cell>
        </row>
        <row r="4360">
          <cell r="A4360" t="str">
            <v>216728</v>
          </cell>
          <cell r="B4360" t="str">
            <v>Te FD BBF JE/JE2GS PN-16 DN700x200 conforme NBR7675 (255394)</v>
          </cell>
          <cell r="C4360" t="str">
            <v>ud</v>
          </cell>
          <cell r="D4360">
            <v>0</v>
          </cell>
          <cell r="E4360">
            <v>5203.68</v>
          </cell>
          <cell r="F4360">
            <v>5203.68</v>
          </cell>
        </row>
        <row r="4361">
          <cell r="A4361" t="str">
            <v>216729</v>
          </cell>
          <cell r="B4361" t="str">
            <v>Te FD BBF JE/JE2GS PN-16 DN700x400 conforme NBR7675</v>
          </cell>
          <cell r="C4361" t="str">
            <v>ud</v>
          </cell>
          <cell r="D4361">
            <v>0</v>
          </cell>
        </row>
        <row r="4362">
          <cell r="A4362" t="str">
            <v>216730</v>
          </cell>
          <cell r="B4362" t="str">
            <v>Te FD BBF JE/JE2GS PN-16 DN700x600 conforme NBR7675</v>
          </cell>
          <cell r="C4362" t="str">
            <v>ud</v>
          </cell>
          <cell r="D4362">
            <v>0</v>
          </cell>
          <cell r="E4362">
            <v>6919.17</v>
          </cell>
          <cell r="F4362">
            <v>6919.17</v>
          </cell>
        </row>
        <row r="4363">
          <cell r="A4363" t="str">
            <v>216731</v>
          </cell>
          <cell r="B4363" t="str">
            <v>Te FD BBF JE/JE2GS PN-16 DN800x200 conforme NBR7675 (282671)</v>
          </cell>
          <cell r="C4363" t="str">
            <v>ud</v>
          </cell>
          <cell r="D4363">
            <v>0</v>
          </cell>
        </row>
        <row r="4364">
          <cell r="A4364" t="str">
            <v>216732</v>
          </cell>
          <cell r="B4364" t="str">
            <v>Te FD BBF JE/JE2GS PN-16 DN800x400 conforme NBR7675 (285600)</v>
          </cell>
          <cell r="C4364" t="str">
            <v>ud</v>
          </cell>
          <cell r="D4364">
            <v>0</v>
          </cell>
        </row>
        <row r="4365">
          <cell r="A4365" t="str">
            <v>216733</v>
          </cell>
          <cell r="B4365" t="str">
            <v>Te FD BBF JE/JE2GS PN-16 DN800x600 conforme NBR7675</v>
          </cell>
          <cell r="C4365" t="str">
            <v>ud</v>
          </cell>
          <cell r="D4365">
            <v>0</v>
          </cell>
        </row>
        <row r="4366">
          <cell r="A4366" t="str">
            <v>216734</v>
          </cell>
          <cell r="B4366" t="str">
            <v>Te FD BBF JE/JE2GS PN-16 DN900x200 conforme NBR7675 (14788)</v>
          </cell>
          <cell r="C4366" t="str">
            <v>ud</v>
          </cell>
          <cell r="D4366">
            <v>0</v>
          </cell>
        </row>
        <row r="4367">
          <cell r="A4367" t="str">
            <v>216735</v>
          </cell>
          <cell r="B4367" t="str">
            <v>Te FD BBF JE/JE2GS PN-16 DN900x400 conforme NBR7675 (14745)</v>
          </cell>
          <cell r="C4367" t="str">
            <v>ud</v>
          </cell>
          <cell r="D4367">
            <v>0</v>
          </cell>
        </row>
        <row r="4368">
          <cell r="A4368" t="str">
            <v>216736</v>
          </cell>
          <cell r="B4368" t="str">
            <v>Te FD BBF JE/JE2GS PN-16 DN900x600 conforme NBR7675</v>
          </cell>
          <cell r="C4368" t="str">
            <v>ud</v>
          </cell>
          <cell r="D4368">
            <v>0</v>
          </cell>
        </row>
        <row r="4369">
          <cell r="A4369" t="str">
            <v>216737</v>
          </cell>
          <cell r="B4369" t="str">
            <v>Te FD BBF JE/JE2GS PN-16 DN900x800 conforme NBR7675</v>
          </cell>
          <cell r="C4369" t="str">
            <v>ud</v>
          </cell>
          <cell r="D4369">
            <v>0</v>
          </cell>
        </row>
        <row r="4370">
          <cell r="A4370" t="str">
            <v>216738</v>
          </cell>
          <cell r="B4370" t="str">
            <v>Te FD BBF JE/JE2GS PN-16 DN1000x200 conforme NBR7675</v>
          </cell>
          <cell r="C4370" t="str">
            <v>ud</v>
          </cell>
          <cell r="D4370">
            <v>0</v>
          </cell>
        </row>
        <row r="4371">
          <cell r="A4371" t="str">
            <v>216739</v>
          </cell>
          <cell r="B4371" t="str">
            <v>Te FD BBF JE/JE2GS PN-16 DN1000x400 conforme NBR7675</v>
          </cell>
          <cell r="C4371" t="str">
            <v>ud</v>
          </cell>
          <cell r="D4371">
            <v>0</v>
          </cell>
        </row>
        <row r="4372">
          <cell r="A4372" t="str">
            <v>216740</v>
          </cell>
          <cell r="B4372" t="str">
            <v>Te FD BBF JE/JE2GS PN-16 DN1000x600 conforme NBR7675</v>
          </cell>
          <cell r="C4372" t="str">
            <v>ud</v>
          </cell>
          <cell r="D4372">
            <v>0</v>
          </cell>
        </row>
        <row r="4373">
          <cell r="A4373" t="str">
            <v>216741</v>
          </cell>
          <cell r="B4373" t="str">
            <v>Te FD BBF JE/JE2GS PN-16 DN1000x800 conforme NBR7675</v>
          </cell>
          <cell r="C4373" t="str">
            <v>ud</v>
          </cell>
          <cell r="D4373">
            <v>0</v>
          </cell>
        </row>
        <row r="4374">
          <cell r="A4374" t="str">
            <v>216742</v>
          </cell>
          <cell r="B4374" t="str">
            <v>Te FD BBF JE/JE2GS PN-16 DN1200x200 conforme NBR7675</v>
          </cell>
          <cell r="C4374" t="str">
            <v>ud</v>
          </cell>
          <cell r="D4374">
            <v>0</v>
          </cell>
        </row>
        <row r="4375">
          <cell r="A4375" t="str">
            <v>216743</v>
          </cell>
          <cell r="B4375" t="str">
            <v>Te FD BBF JE/JE2GS PN-16 DN1200x400 conforme NBR7675</v>
          </cell>
          <cell r="C4375" t="str">
            <v>ud</v>
          </cell>
          <cell r="D4375">
            <v>0</v>
          </cell>
        </row>
        <row r="4376">
          <cell r="A4376" t="str">
            <v>216744</v>
          </cell>
          <cell r="B4376" t="str">
            <v>Te FD BBF JE/JE2GS PN-16 DN1200x600 conforme NBR7675</v>
          </cell>
          <cell r="C4376" t="str">
            <v>ud</v>
          </cell>
          <cell r="D4376">
            <v>0</v>
          </cell>
        </row>
        <row r="4377">
          <cell r="A4377" t="str">
            <v>216745</v>
          </cell>
          <cell r="B4377" t="str">
            <v>Te FD BBF JE/JE2GS PN-16 DN1200x800 conforme NBR7675</v>
          </cell>
          <cell r="C4377" t="str">
            <v>ud</v>
          </cell>
          <cell r="D4377">
            <v>0</v>
          </cell>
        </row>
        <row r="4378">
          <cell r="A4378" t="str">
            <v>216746</v>
          </cell>
          <cell r="B4378" t="str">
            <v>Te FD BBF JE/JE2GS PN-16 DN1200x1000 conforme NBR7675</v>
          </cell>
          <cell r="C4378" t="str">
            <v>ud</v>
          </cell>
          <cell r="D4378">
            <v>0</v>
          </cell>
        </row>
        <row r="4379">
          <cell r="A4379" t="str">
            <v>2168</v>
          </cell>
          <cell r="B4379" t="str">
            <v>TE DE REDUÇÃO FD COM BOLSAS E FLANGE PN-25</v>
          </cell>
        </row>
        <row r="4380">
          <cell r="A4380" t="str">
            <v>216801</v>
          </cell>
          <cell r="B4380" t="str">
            <v>Te FD BBF JE/JE2GS PN-25 DN75/80x50 conforme NBR7675 (12530)</v>
          </cell>
          <cell r="C4380" t="str">
            <v>ud</v>
          </cell>
          <cell r="D4380">
            <v>0</v>
          </cell>
        </row>
        <row r="4381">
          <cell r="A4381" t="str">
            <v>216802</v>
          </cell>
          <cell r="B4381" t="str">
            <v>Te FD BBF JE/JE2GS PN-25 DN100x50 conforme NBR7675 (80616)</v>
          </cell>
          <cell r="C4381" t="str">
            <v>ud</v>
          </cell>
          <cell r="D4381">
            <v>0</v>
          </cell>
        </row>
        <row r="4382">
          <cell r="A4382" t="str">
            <v>216803</v>
          </cell>
          <cell r="B4382" t="str">
            <v>Te FD BBF JE/JE2GS PN-25 DN100x75/80 conforme NBR7675</v>
          </cell>
          <cell r="C4382" t="str">
            <v>ud</v>
          </cell>
          <cell r="D4382">
            <v>0</v>
          </cell>
        </row>
        <row r="4383">
          <cell r="A4383" t="str">
            <v>216804</v>
          </cell>
          <cell r="B4383" t="str">
            <v>Te FD BBF JE/JE2GS PN-25 DN150x50 conforme NBR7675 (67210)</v>
          </cell>
          <cell r="C4383" t="str">
            <v>ud</v>
          </cell>
          <cell r="D4383">
            <v>0</v>
          </cell>
        </row>
        <row r="4384">
          <cell r="A4384" t="str">
            <v>216805</v>
          </cell>
          <cell r="B4384" t="str">
            <v>Te FD BBF JE/JE2GS PN-25 DN150x75/80 conforme NBR7675</v>
          </cell>
          <cell r="C4384" t="str">
            <v>ud</v>
          </cell>
          <cell r="D4384">
            <v>0</v>
          </cell>
        </row>
        <row r="4385">
          <cell r="A4385" t="str">
            <v>216806</v>
          </cell>
          <cell r="B4385" t="str">
            <v>Te FD BBF JE/JE2GS PN-25 DN150x100 conforme NBR7675</v>
          </cell>
          <cell r="C4385" t="str">
            <v>ud</v>
          </cell>
          <cell r="D4385">
            <v>0</v>
          </cell>
        </row>
        <row r="4386">
          <cell r="A4386" t="str">
            <v>216807</v>
          </cell>
          <cell r="B4386" t="str">
            <v>Te FD BBF JE/JE2GS PN-25 DN200x50 conforme NBR7675 (80292)</v>
          </cell>
          <cell r="C4386" t="str">
            <v>ud</v>
          </cell>
          <cell r="D4386">
            <v>0</v>
          </cell>
        </row>
        <row r="4387">
          <cell r="A4387" t="str">
            <v>216808</v>
          </cell>
          <cell r="B4387" t="str">
            <v>Te FD BBF JE/JE2GS PN-25 DN200x75/80 conforme NBR7675</v>
          </cell>
          <cell r="C4387" t="str">
            <v>ud</v>
          </cell>
          <cell r="D4387">
            <v>0</v>
          </cell>
        </row>
        <row r="4388">
          <cell r="A4388" t="str">
            <v>216809</v>
          </cell>
          <cell r="B4388" t="str">
            <v>Te FD BBF JE/JE2GS PN-25 DN200x100 conforme NBR7675</v>
          </cell>
          <cell r="C4388" t="str">
            <v>ud</v>
          </cell>
          <cell r="D4388">
            <v>0</v>
          </cell>
        </row>
        <row r="4389">
          <cell r="A4389" t="str">
            <v>216810</v>
          </cell>
          <cell r="B4389" t="str">
            <v>Te FD BBF JE/JE2GS PN-25 DN250x50 conforme NBR7675 (63452)</v>
          </cell>
          <cell r="C4389" t="str">
            <v>ud</v>
          </cell>
          <cell r="D4389">
            <v>0</v>
          </cell>
        </row>
        <row r="4390">
          <cell r="A4390" t="str">
            <v>216811</v>
          </cell>
          <cell r="B4390" t="str">
            <v>Te FD BBF JE/JE2GS PN-25 DN250x75/80 conforme NBR7675</v>
          </cell>
          <cell r="C4390" t="str">
            <v>ud</v>
          </cell>
          <cell r="D4390">
            <v>0</v>
          </cell>
        </row>
        <row r="4391">
          <cell r="A4391" t="str">
            <v>216812</v>
          </cell>
          <cell r="B4391" t="str">
            <v>Te FD BBF JE/JE2GS PN-25 DN250x100 conforme NBR7675</v>
          </cell>
          <cell r="C4391" t="str">
            <v>ud</v>
          </cell>
          <cell r="D4391">
            <v>0</v>
          </cell>
        </row>
        <row r="4392">
          <cell r="A4392" t="str">
            <v>216813</v>
          </cell>
          <cell r="B4392" t="str">
            <v>Te FD BBF JE/JE2GS PN-25 DN300x100 conforme NBR7675</v>
          </cell>
          <cell r="C4392" t="str">
            <v>ud</v>
          </cell>
          <cell r="D4392">
            <v>0</v>
          </cell>
        </row>
        <row r="4393">
          <cell r="A4393" t="str">
            <v>216814</v>
          </cell>
          <cell r="B4393" t="str">
            <v>Te FD BBF JE/JE2GS PN-25 DN300x200 conforme NBR7675 (137502)</v>
          </cell>
          <cell r="C4393" t="str">
            <v>ud</v>
          </cell>
          <cell r="D4393">
            <v>0</v>
          </cell>
        </row>
        <row r="4394">
          <cell r="A4394" t="str">
            <v>216815</v>
          </cell>
          <cell r="B4394" t="str">
            <v>Te FD BBF JE/JE2GS PN-25 DN350x100 conforme NBR7675</v>
          </cell>
          <cell r="C4394" t="str">
            <v>ud</v>
          </cell>
          <cell r="D4394">
            <v>0</v>
          </cell>
        </row>
        <row r="4395">
          <cell r="A4395" t="str">
            <v>216816</v>
          </cell>
          <cell r="B4395" t="str">
            <v>Te FD BBF JE/JE2GS PN-25 DN350x200 conforme NBR7675</v>
          </cell>
          <cell r="C4395" t="str">
            <v>ud</v>
          </cell>
          <cell r="D4395">
            <v>0</v>
          </cell>
        </row>
        <row r="4396">
          <cell r="A4396" t="str">
            <v>216817</v>
          </cell>
          <cell r="B4396" t="str">
            <v>Te FD BBF JE/JE2GS PN-25 DN400x100 conforme NBR7675</v>
          </cell>
          <cell r="C4396" t="str">
            <v>ud</v>
          </cell>
          <cell r="D4396">
            <v>0</v>
          </cell>
        </row>
        <row r="4397">
          <cell r="A4397" t="str">
            <v>216818</v>
          </cell>
          <cell r="B4397" t="str">
            <v>Te FD BBF JE/JE2GS PN-25 DN400x200 conforme NBR7675</v>
          </cell>
          <cell r="C4397" t="str">
            <v>ud</v>
          </cell>
          <cell r="D4397">
            <v>0</v>
          </cell>
        </row>
        <row r="4398">
          <cell r="A4398" t="str">
            <v>216819</v>
          </cell>
          <cell r="B4398" t="str">
            <v>Te FD BBF JE/JE2GS PN-25 DN400x300 conforme NBR7675</v>
          </cell>
          <cell r="C4398" t="str">
            <v>ud</v>
          </cell>
          <cell r="D4398">
            <v>0</v>
          </cell>
        </row>
        <row r="4399">
          <cell r="A4399" t="str">
            <v>216820</v>
          </cell>
          <cell r="B4399" t="str">
            <v>Te FD BBF JE/JE2GS PN-25 DN500x100 conforme NBR7675</v>
          </cell>
          <cell r="C4399" t="str">
            <v>ud</v>
          </cell>
          <cell r="D4399">
            <v>0</v>
          </cell>
        </row>
        <row r="4400">
          <cell r="A4400" t="str">
            <v>216821</v>
          </cell>
          <cell r="B4400" t="str">
            <v>Te FD BBF JE/JE2GS PN-25 DN500x200 conforme NBR7675</v>
          </cell>
          <cell r="C4400" t="str">
            <v>ud</v>
          </cell>
          <cell r="D4400">
            <v>0</v>
          </cell>
        </row>
        <row r="4401">
          <cell r="A4401" t="str">
            <v>216822</v>
          </cell>
          <cell r="B4401" t="str">
            <v>Te FD BBF JE/JE2GS PN-25 DN500x300 conforme NBR7675</v>
          </cell>
          <cell r="C4401" t="str">
            <v>ud</v>
          </cell>
          <cell r="D4401">
            <v>0</v>
          </cell>
        </row>
        <row r="4402">
          <cell r="A4402" t="str">
            <v>216823</v>
          </cell>
          <cell r="B4402" t="str">
            <v>Te FD BBF JE/JE2GS PN-25 DN500x400 conforme NBR7675</v>
          </cell>
          <cell r="C4402" t="str">
            <v>ud</v>
          </cell>
          <cell r="D4402">
            <v>0</v>
          </cell>
        </row>
        <row r="4403">
          <cell r="A4403" t="str">
            <v>216824</v>
          </cell>
          <cell r="B4403" t="str">
            <v>Te FD BBF JE/JE2GS PN-25 DN600x100 conforme NBR7675</v>
          </cell>
          <cell r="C4403" t="str">
            <v>ud</v>
          </cell>
          <cell r="D4403">
            <v>0</v>
          </cell>
        </row>
        <row r="4404">
          <cell r="A4404" t="str">
            <v>216825</v>
          </cell>
          <cell r="B4404" t="str">
            <v>Te FD BBF JE/JE2GS PN-25 DN600x200 conforme NBR7675</v>
          </cell>
          <cell r="C4404" t="str">
            <v>ud</v>
          </cell>
          <cell r="D4404">
            <v>0</v>
          </cell>
        </row>
        <row r="4405">
          <cell r="A4405" t="str">
            <v>216826</v>
          </cell>
          <cell r="B4405" t="str">
            <v>Te FD BBF JE/JE2GS PN-25 DN600x300 conforme NBR7675</v>
          </cell>
          <cell r="C4405" t="str">
            <v>ud</v>
          </cell>
          <cell r="D4405">
            <v>0</v>
          </cell>
        </row>
        <row r="4406">
          <cell r="A4406" t="str">
            <v>216827</v>
          </cell>
          <cell r="B4406" t="str">
            <v>Te FD BBF JE/JE2GS PN-25 DN600x400 conforme NBR7675</v>
          </cell>
          <cell r="C4406" t="str">
            <v>ud</v>
          </cell>
          <cell r="D4406">
            <v>0</v>
          </cell>
        </row>
        <row r="4407">
          <cell r="A4407" t="str">
            <v>216828</v>
          </cell>
          <cell r="B4407" t="str">
            <v>Te FD BBF JE/JE2GS PN-25 DN700x200 conforme NBR7675</v>
          </cell>
          <cell r="C4407" t="str">
            <v>ud</v>
          </cell>
          <cell r="D4407">
            <v>0</v>
          </cell>
        </row>
        <row r="4408">
          <cell r="A4408" t="str">
            <v>216829</v>
          </cell>
          <cell r="B4408" t="str">
            <v>Te FD BBF JE/JE2GS PN-25 DN700x400 conforme NBR767</v>
          </cell>
          <cell r="C4408" t="str">
            <v>ud</v>
          </cell>
          <cell r="D4408">
            <v>0</v>
          </cell>
        </row>
        <row r="4409">
          <cell r="A4409" t="str">
            <v>216830</v>
          </cell>
          <cell r="B4409" t="str">
            <v>Te FD BBF JE/JE2GS PN-25 DN700x600 conforme NBR767</v>
          </cell>
          <cell r="C4409" t="str">
            <v>ud</v>
          </cell>
          <cell r="D4409">
            <v>0</v>
          </cell>
        </row>
        <row r="4410">
          <cell r="A4410" t="str">
            <v>216831</v>
          </cell>
          <cell r="B4410" t="str">
            <v>Te FD BBF JE/JE2GS PN-25 DN800x200 conforme NBR7675</v>
          </cell>
          <cell r="C4410" t="str">
            <v>ud</v>
          </cell>
          <cell r="D4410">
            <v>0</v>
          </cell>
        </row>
        <row r="4411">
          <cell r="A4411" t="str">
            <v>216832</v>
          </cell>
          <cell r="B4411" t="str">
            <v>Te FD BBF JE/JE2GS PN-25 DN800x400 conforme NBR7675</v>
          </cell>
          <cell r="C4411" t="str">
            <v>ud</v>
          </cell>
          <cell r="D4411">
            <v>0</v>
          </cell>
        </row>
        <row r="4412">
          <cell r="A4412" t="str">
            <v>216833</v>
          </cell>
          <cell r="B4412" t="str">
            <v>Te FD BBF JE/JE2GS PN-25 DN800x600 conforme NBR7675</v>
          </cell>
          <cell r="C4412" t="str">
            <v>ud</v>
          </cell>
          <cell r="D4412">
            <v>0</v>
          </cell>
        </row>
        <row r="4413">
          <cell r="A4413" t="str">
            <v>216834</v>
          </cell>
          <cell r="B4413" t="str">
            <v>Te FD BBF JE/JE2GS PN-25 DN900x200 conforme NBR7675</v>
          </cell>
          <cell r="C4413" t="str">
            <v>ud</v>
          </cell>
          <cell r="D4413">
            <v>0</v>
          </cell>
        </row>
        <row r="4414">
          <cell r="A4414" t="str">
            <v>216835</v>
          </cell>
          <cell r="B4414" t="str">
            <v>Te FD BBF JE/JE2GS PN-25 DN900x400 conforme NBR7675</v>
          </cell>
          <cell r="C4414" t="str">
            <v>ud</v>
          </cell>
          <cell r="D4414">
            <v>0</v>
          </cell>
        </row>
        <row r="4415">
          <cell r="A4415" t="str">
            <v>216836</v>
          </cell>
          <cell r="B4415" t="str">
            <v>Te FD BBF JE/JE2GS PN-25 DN900x600 conforme NBR7675</v>
          </cell>
          <cell r="C4415" t="str">
            <v>ud</v>
          </cell>
          <cell r="D4415">
            <v>0</v>
          </cell>
        </row>
        <row r="4416">
          <cell r="A4416" t="str">
            <v>216837</v>
          </cell>
          <cell r="B4416" t="str">
            <v>Te FD BBF JE/JE2GS PN-25 DN900x800 conforme NBR7675</v>
          </cell>
          <cell r="C4416" t="str">
            <v>ud</v>
          </cell>
          <cell r="D4416">
            <v>0</v>
          </cell>
        </row>
        <row r="4417">
          <cell r="A4417" t="str">
            <v>216838</v>
          </cell>
          <cell r="B4417" t="str">
            <v>Te FD BBF JE/JE2GS PN-25 DN1000x200 conforme NBR7675</v>
          </cell>
          <cell r="C4417" t="str">
            <v>ud</v>
          </cell>
          <cell r="D4417">
            <v>0</v>
          </cell>
        </row>
        <row r="4418">
          <cell r="A4418" t="str">
            <v>216839</v>
          </cell>
          <cell r="B4418" t="str">
            <v>Te FD BBF JE/JE2GS PN-25 DN1000x400 conforme NBR7675</v>
          </cell>
          <cell r="C4418" t="str">
            <v>ud</v>
          </cell>
          <cell r="D4418">
            <v>0</v>
          </cell>
        </row>
        <row r="4419">
          <cell r="A4419" t="str">
            <v>216840</v>
          </cell>
          <cell r="B4419" t="str">
            <v>Te FD BBF JE/JE2GS PN-25 DN1000x600 conforme NBR7675</v>
          </cell>
          <cell r="C4419" t="str">
            <v>ud</v>
          </cell>
          <cell r="D4419">
            <v>0</v>
          </cell>
        </row>
        <row r="4420">
          <cell r="A4420" t="str">
            <v>216841</v>
          </cell>
          <cell r="B4420" t="str">
            <v>Te FD BBF JE/JE2GS PN-25 DN1000x800 conforme NBR7675</v>
          </cell>
          <cell r="C4420" t="str">
            <v>ud</v>
          </cell>
          <cell r="D4420">
            <v>0</v>
          </cell>
        </row>
        <row r="4421">
          <cell r="A4421" t="str">
            <v>216842</v>
          </cell>
          <cell r="B4421" t="str">
            <v>Te FD BBF JE/JE2GS PN-25 DN1200x200 conforme NBR7675</v>
          </cell>
          <cell r="C4421" t="str">
            <v>ud</v>
          </cell>
          <cell r="D4421">
            <v>0</v>
          </cell>
        </row>
        <row r="4422">
          <cell r="A4422" t="str">
            <v>216843</v>
          </cell>
          <cell r="B4422" t="str">
            <v>Te FD BBF JE/JE2GS PN-25 DN1200x400 conforme NBR7675</v>
          </cell>
          <cell r="C4422" t="str">
            <v>ud</v>
          </cell>
          <cell r="D4422">
            <v>0</v>
          </cell>
        </row>
        <row r="4423">
          <cell r="A4423" t="str">
            <v>216844</v>
          </cell>
          <cell r="B4423" t="str">
            <v>Te FD BBF JE/JE2GS PN-25 DN1200x600 conforme NBR7675</v>
          </cell>
          <cell r="C4423" t="str">
            <v>ud</v>
          </cell>
          <cell r="D4423">
            <v>0</v>
          </cell>
        </row>
        <row r="4424">
          <cell r="A4424" t="str">
            <v>216845</v>
          </cell>
          <cell r="B4424" t="str">
            <v>Te FD BBF JE/JE2GS PN-25 DN1200x800 conforme NBR7675</v>
          </cell>
          <cell r="C4424" t="str">
            <v>ud</v>
          </cell>
          <cell r="D4424">
            <v>0</v>
          </cell>
        </row>
        <row r="4425">
          <cell r="A4425" t="str">
            <v>216846</v>
          </cell>
          <cell r="B4425" t="str">
            <v>Te FD BBF JE/JE2GS PN-25 DN1200x1000 conforme NBR7675</v>
          </cell>
          <cell r="C4425" t="str">
            <v>ud</v>
          </cell>
          <cell r="D4425">
            <v>0</v>
          </cell>
        </row>
        <row r="4426">
          <cell r="A4426" t="str">
            <v>2169</v>
          </cell>
          <cell r="B4426" t="str">
            <v>TE DE REDUÇÃO FD COM FLANGES PN-10</v>
          </cell>
        </row>
        <row r="4427">
          <cell r="A4427" t="str">
            <v>216901</v>
          </cell>
          <cell r="B4427" t="str">
            <v>Te FD FFF PN-10 DN75/80x50 conforme NBR7675</v>
          </cell>
          <cell r="C4427" t="str">
            <v>ud</v>
          </cell>
          <cell r="D4427">
            <v>0</v>
          </cell>
          <cell r="E4427">
            <v>255.99</v>
          </cell>
          <cell r="F4427">
            <v>255.99</v>
          </cell>
        </row>
        <row r="4428">
          <cell r="A4428" t="str">
            <v>216902</v>
          </cell>
          <cell r="B4428" t="str">
            <v>Te FD FFF PN-10 DN100x50 conforme NBR7675 (284105)</v>
          </cell>
          <cell r="C4428" t="str">
            <v>ud</v>
          </cell>
          <cell r="D4428">
            <v>0</v>
          </cell>
          <cell r="E4428">
            <v>332.15</v>
          </cell>
          <cell r="F4428">
            <v>332.15</v>
          </cell>
        </row>
        <row r="4429">
          <cell r="A4429" t="str">
            <v>216903</v>
          </cell>
          <cell r="B4429" t="str">
            <v>Te FD FFF PN-10 DN100x75/80 conforme NBR7675 (284106)</v>
          </cell>
          <cell r="C4429" t="str">
            <v>ud</v>
          </cell>
          <cell r="D4429">
            <v>0</v>
          </cell>
          <cell r="E4429">
            <v>332.15</v>
          </cell>
          <cell r="F4429">
            <v>332.15</v>
          </cell>
        </row>
        <row r="4430">
          <cell r="A4430" t="str">
            <v>216904</v>
          </cell>
          <cell r="B4430" t="str">
            <v>Te FD FFF PN-10 DN150x50 conforme NBR7675</v>
          </cell>
          <cell r="C4430" t="str">
            <v>ud</v>
          </cell>
          <cell r="D4430">
            <v>0</v>
          </cell>
          <cell r="E4430">
            <v>475.81</v>
          </cell>
          <cell r="F4430">
            <v>475.81</v>
          </cell>
        </row>
        <row r="4431">
          <cell r="A4431" t="str">
            <v>216905</v>
          </cell>
          <cell r="B4431" t="str">
            <v>Te FD FFF PN-10 DN150x75/80 conforme NBR7675</v>
          </cell>
          <cell r="C4431" t="str">
            <v>ud</v>
          </cell>
          <cell r="D4431">
            <v>0</v>
          </cell>
          <cell r="E4431">
            <v>543.77</v>
          </cell>
          <cell r="F4431">
            <v>543.77</v>
          </cell>
        </row>
        <row r="4432">
          <cell r="A4432" t="str">
            <v>216906</v>
          </cell>
          <cell r="B4432" t="str">
            <v>Te FD FFF PN-10 DN150x100 conforme NBR7675</v>
          </cell>
          <cell r="C4432" t="str">
            <v>ud</v>
          </cell>
          <cell r="D4432">
            <v>0</v>
          </cell>
          <cell r="E4432">
            <v>570.96</v>
          </cell>
          <cell r="F4432">
            <v>570.96</v>
          </cell>
        </row>
        <row r="4433">
          <cell r="A4433" t="str">
            <v>216907</v>
          </cell>
          <cell r="B4433" t="str">
            <v>Te FD FFF PN-10 DN200x50 conforme NBR7675 (14397)</v>
          </cell>
          <cell r="C4433" t="str">
            <v>ud</v>
          </cell>
          <cell r="D4433">
            <v>0</v>
          </cell>
          <cell r="E4433">
            <v>664.23</v>
          </cell>
          <cell r="F4433">
            <v>664.23</v>
          </cell>
        </row>
        <row r="4434">
          <cell r="A4434" t="str">
            <v>216908</v>
          </cell>
          <cell r="B4434" t="str">
            <v>Te FD FFF PN-10 DN200x75/80 conforme NBR7675 (42412)</v>
          </cell>
          <cell r="C4434" t="str">
            <v>ud</v>
          </cell>
          <cell r="D4434">
            <v>0</v>
          </cell>
          <cell r="E4434">
            <v>671.14</v>
          </cell>
          <cell r="F4434">
            <v>671.14</v>
          </cell>
        </row>
        <row r="4435">
          <cell r="A4435" t="str">
            <v>216909</v>
          </cell>
          <cell r="B4435" t="str">
            <v>Te FD FFF PN-10 DN200x100 conforme NBR7675 (159786)</v>
          </cell>
          <cell r="C4435" t="str">
            <v>ud</v>
          </cell>
          <cell r="D4435">
            <v>0</v>
          </cell>
          <cell r="E4435">
            <v>702.31</v>
          </cell>
          <cell r="F4435">
            <v>702.31</v>
          </cell>
        </row>
        <row r="4436">
          <cell r="A4436" t="str">
            <v>216910</v>
          </cell>
          <cell r="B4436" t="str">
            <v>Te FD FFF PN-10 DN200x150 conforme NBR7675 (141968)</v>
          </cell>
          <cell r="C4436" t="str">
            <v>ud</v>
          </cell>
          <cell r="D4436">
            <v>0</v>
          </cell>
          <cell r="E4436">
            <v>761.11</v>
          </cell>
          <cell r="F4436">
            <v>761.11</v>
          </cell>
        </row>
        <row r="4437">
          <cell r="A4437" t="str">
            <v>216911</v>
          </cell>
          <cell r="B4437" t="str">
            <v>Te FD FFF PN-10 DN250x50 conforme NBR7675 (284024)</v>
          </cell>
          <cell r="C4437" t="str">
            <v>ud</v>
          </cell>
          <cell r="D4437">
            <v>0</v>
          </cell>
          <cell r="E4437">
            <v>1087.55</v>
          </cell>
          <cell r="F4437">
            <v>1087.55</v>
          </cell>
        </row>
        <row r="4438">
          <cell r="A4438" t="str">
            <v>216912</v>
          </cell>
          <cell r="B4438" t="str">
            <v>Te FD FFF PN-10 DN250x75/80 conforme NBR7675</v>
          </cell>
          <cell r="C4438" t="str">
            <v>ud</v>
          </cell>
          <cell r="D4438">
            <v>0</v>
          </cell>
        </row>
        <row r="4439">
          <cell r="A4439" t="str">
            <v>216913</v>
          </cell>
          <cell r="B4439" t="str">
            <v>Te FD FFF PN-10 DN250x100 conforme NBR7675</v>
          </cell>
          <cell r="C4439" t="str">
            <v>ud</v>
          </cell>
          <cell r="D4439">
            <v>0</v>
          </cell>
          <cell r="E4439">
            <v>1087.55</v>
          </cell>
          <cell r="F4439">
            <v>1087.55</v>
          </cell>
        </row>
        <row r="4440">
          <cell r="A4440" t="str">
            <v>216914</v>
          </cell>
          <cell r="B4440" t="str">
            <v>Te FD FFF PN-10 DN250x200 conforme NBR7675 (13374)</v>
          </cell>
          <cell r="C4440" t="str">
            <v>ud</v>
          </cell>
          <cell r="D4440">
            <v>0</v>
          </cell>
          <cell r="E4440">
            <v>1114.73</v>
          </cell>
          <cell r="F4440">
            <v>1114.73</v>
          </cell>
        </row>
        <row r="4441">
          <cell r="A4441" t="str">
            <v>216915</v>
          </cell>
          <cell r="B4441" t="str">
            <v>Te FD FFF PN-10 DN300x100 conforme NBR7675 (146005)</v>
          </cell>
          <cell r="C4441" t="str">
            <v>ud</v>
          </cell>
          <cell r="D4441">
            <v>0</v>
          </cell>
          <cell r="E4441">
            <v>1370.02</v>
          </cell>
          <cell r="F4441">
            <v>1370.02</v>
          </cell>
        </row>
        <row r="4442">
          <cell r="A4442" t="str">
            <v>216916</v>
          </cell>
          <cell r="B4442" t="str">
            <v>Te FD FFF PN-10 DN300x200 conforme NBR7675 (13552)</v>
          </cell>
          <cell r="C4442" t="str">
            <v>ud</v>
          </cell>
          <cell r="D4442">
            <v>0</v>
          </cell>
          <cell r="E4442">
            <v>1453</v>
          </cell>
          <cell r="F4442">
            <v>1453</v>
          </cell>
        </row>
        <row r="4443">
          <cell r="A4443" t="str">
            <v>216917</v>
          </cell>
          <cell r="B4443" t="str">
            <v>Te FD FFF PN-10 DN350x100 conforme NBR7675</v>
          </cell>
          <cell r="C4443" t="str">
            <v>ud</v>
          </cell>
          <cell r="D4443">
            <v>0</v>
          </cell>
          <cell r="E4443">
            <v>1660.6</v>
          </cell>
          <cell r="F4443">
            <v>1660.6</v>
          </cell>
        </row>
        <row r="4444">
          <cell r="A4444" t="str">
            <v>216918</v>
          </cell>
          <cell r="B4444" t="str">
            <v>Te FD FFF PN-10 DN350x200 conforme NBR7675</v>
          </cell>
          <cell r="C4444" t="str">
            <v>ud</v>
          </cell>
          <cell r="D4444">
            <v>0</v>
          </cell>
          <cell r="E4444">
            <v>1833.57</v>
          </cell>
          <cell r="F4444">
            <v>1833.57</v>
          </cell>
        </row>
        <row r="4445">
          <cell r="A4445" t="str">
            <v>216919</v>
          </cell>
          <cell r="B4445" t="str">
            <v>Te FD FFF PN-10 DN350x300 conforme NBR7675</v>
          </cell>
          <cell r="C4445" t="str">
            <v>ud</v>
          </cell>
          <cell r="D4445">
            <v>0</v>
          </cell>
        </row>
        <row r="4446">
          <cell r="A4446" t="str">
            <v>216920</v>
          </cell>
          <cell r="B4446" t="str">
            <v>Te FD FFF PN-10 DN400x100 conforme NBR7675 (155756)</v>
          </cell>
          <cell r="C4446" t="str">
            <v>ud</v>
          </cell>
          <cell r="D4446">
            <v>0</v>
          </cell>
          <cell r="E4446">
            <v>2023.86</v>
          </cell>
          <cell r="F4446">
            <v>2023.86</v>
          </cell>
        </row>
        <row r="4447">
          <cell r="A4447" t="str">
            <v>216921</v>
          </cell>
          <cell r="B4447" t="str">
            <v>Te FD FFF PN-10 DN400x200 conforme NBR7675 (13897)</v>
          </cell>
          <cell r="C4447" t="str">
            <v>ud</v>
          </cell>
          <cell r="D4447">
            <v>0</v>
          </cell>
          <cell r="E4447">
            <v>2065.39</v>
          </cell>
          <cell r="F4447">
            <v>2065.39</v>
          </cell>
        </row>
        <row r="4448">
          <cell r="A4448" t="str">
            <v>216922</v>
          </cell>
          <cell r="B4448" t="str">
            <v>Te FD FFF PN-10 DN400x300 conforme NBR7675 (197009)</v>
          </cell>
          <cell r="C4448" t="str">
            <v>ud</v>
          </cell>
          <cell r="D4448">
            <v>0</v>
          </cell>
          <cell r="E4448">
            <v>2144.38</v>
          </cell>
          <cell r="F4448">
            <v>2144.38</v>
          </cell>
        </row>
        <row r="4449">
          <cell r="A4449" t="str">
            <v>216923</v>
          </cell>
          <cell r="B4449" t="str">
            <v>Te FD FFF PN-10 DN450x100 conforme NBR7675</v>
          </cell>
          <cell r="C4449" t="str">
            <v>ud</v>
          </cell>
          <cell r="D4449">
            <v>0</v>
          </cell>
        </row>
        <row r="4450">
          <cell r="A4450" t="str">
            <v>216924</v>
          </cell>
          <cell r="B4450" t="str">
            <v>Te FD FFF PN-10 DN450x200 conforme NBR7675</v>
          </cell>
          <cell r="C4450" t="str">
            <v>ud</v>
          </cell>
          <cell r="D4450">
            <v>0</v>
          </cell>
        </row>
        <row r="4451">
          <cell r="A4451" t="str">
            <v>216925</v>
          </cell>
          <cell r="B4451" t="str">
            <v>Te FD FFF PN-10 DN450x300 conforme NBR7675</v>
          </cell>
          <cell r="C4451" t="str">
            <v>ud</v>
          </cell>
          <cell r="D4451">
            <v>0</v>
          </cell>
        </row>
        <row r="4452">
          <cell r="A4452" t="str">
            <v>216926</v>
          </cell>
          <cell r="B4452" t="str">
            <v>Te FD FFF PN-10 DN450x400 conforme NBR7675 (289521)</v>
          </cell>
          <cell r="C4452" t="str">
            <v>ud</v>
          </cell>
          <cell r="D4452">
            <v>0</v>
          </cell>
        </row>
        <row r="4453">
          <cell r="A4453" t="str">
            <v>216927</v>
          </cell>
          <cell r="B4453" t="str">
            <v>Te FD FFF PN-10 DN500x100 conforme NBR7675 (195006)</v>
          </cell>
          <cell r="C4453" t="str">
            <v>ud</v>
          </cell>
          <cell r="D4453">
            <v>0</v>
          </cell>
        </row>
        <row r="4454">
          <cell r="A4454" t="str">
            <v>216928</v>
          </cell>
          <cell r="B4454" t="str">
            <v>Te FD FFF PN-10 DN500x200 conforme NBR7675</v>
          </cell>
          <cell r="C4454" t="str">
            <v>ud</v>
          </cell>
          <cell r="D4454">
            <v>0</v>
          </cell>
          <cell r="E4454">
            <v>4486.1400000000003</v>
          </cell>
          <cell r="F4454">
            <v>4486.1400000000003</v>
          </cell>
        </row>
        <row r="4455">
          <cell r="A4455" t="str">
            <v>216929</v>
          </cell>
          <cell r="B4455" t="str">
            <v>Te FD FFF PN-10 DN500x300 conforme NBR7675 (14605)</v>
          </cell>
          <cell r="C4455" t="str">
            <v>ud</v>
          </cell>
          <cell r="D4455">
            <v>0</v>
          </cell>
          <cell r="E4455">
            <v>4758.0200000000004</v>
          </cell>
          <cell r="F4455">
            <v>4758.0200000000004</v>
          </cell>
        </row>
        <row r="4456">
          <cell r="A4456" t="str">
            <v>216930</v>
          </cell>
          <cell r="B4456" t="str">
            <v>Te FD FFF PN-10 DN500x400 conforme NBR7675</v>
          </cell>
          <cell r="C4456" t="str">
            <v>ud</v>
          </cell>
          <cell r="D4456">
            <v>0</v>
          </cell>
        </row>
        <row r="4457">
          <cell r="A4457" t="str">
            <v>216931</v>
          </cell>
          <cell r="B4457" t="str">
            <v>Te FD FFF PN-10 DN600x100 conforme NBR7675</v>
          </cell>
          <cell r="C4457" t="str">
            <v>ud</v>
          </cell>
          <cell r="D4457">
            <v>0</v>
          </cell>
        </row>
        <row r="4458">
          <cell r="A4458" t="str">
            <v>216932</v>
          </cell>
          <cell r="B4458" t="str">
            <v>Te FD FFF PN-10 DN600x200 conforme NBR7675 (14796)</v>
          </cell>
          <cell r="C4458" t="str">
            <v>ud</v>
          </cell>
          <cell r="D4458">
            <v>0</v>
          </cell>
        </row>
        <row r="4459">
          <cell r="A4459" t="str">
            <v>216933</v>
          </cell>
          <cell r="B4459" t="str">
            <v>Te FD FFF PN-10 DN600x300 conforme NBR7675</v>
          </cell>
          <cell r="C4459" t="str">
            <v>ud</v>
          </cell>
          <cell r="D4459">
            <v>0</v>
          </cell>
          <cell r="E4459">
            <v>5241.29</v>
          </cell>
          <cell r="F4459">
            <v>5241.29</v>
          </cell>
        </row>
        <row r="4460">
          <cell r="A4460" t="str">
            <v>216934</v>
          </cell>
          <cell r="B4460" t="str">
            <v>Te FD FFF PN-10 DN600x400 conforme NBR7675</v>
          </cell>
          <cell r="C4460" t="str">
            <v>ud</v>
          </cell>
          <cell r="D4460">
            <v>0</v>
          </cell>
          <cell r="E4460">
            <v>5466.16</v>
          </cell>
          <cell r="F4460">
            <v>5466.16</v>
          </cell>
        </row>
        <row r="4461">
          <cell r="A4461" t="str">
            <v>216935</v>
          </cell>
          <cell r="B4461" t="str">
            <v>Te FD FFF PN-10 DN600x500 conforme NBR7675</v>
          </cell>
          <cell r="C4461" t="str">
            <v>ud</v>
          </cell>
          <cell r="D4461">
            <v>0</v>
          </cell>
          <cell r="E4461">
            <v>5794.82</v>
          </cell>
          <cell r="F4461">
            <v>5794.82</v>
          </cell>
        </row>
        <row r="4462">
          <cell r="A4462" t="str">
            <v>216936</v>
          </cell>
          <cell r="B4462" t="str">
            <v>Te FD FFF PN-10 DN700x200 conforme NBR7675</v>
          </cell>
          <cell r="C4462" t="str">
            <v>ud</v>
          </cell>
          <cell r="D4462">
            <v>0</v>
          </cell>
          <cell r="E4462">
            <v>4756.92</v>
          </cell>
          <cell r="F4462">
            <v>4756.92</v>
          </cell>
        </row>
        <row r="4463">
          <cell r="A4463" t="str">
            <v>216937</v>
          </cell>
          <cell r="B4463" t="str">
            <v>Te FD FFF PN-10 DN700x400 conforme NBR7675</v>
          </cell>
          <cell r="C4463" t="str">
            <v>ud</v>
          </cell>
          <cell r="D4463">
            <v>0</v>
          </cell>
          <cell r="E4463">
            <v>5902.07</v>
          </cell>
          <cell r="F4463">
            <v>5902.07</v>
          </cell>
        </row>
        <row r="4464">
          <cell r="A4464" t="str">
            <v>216938</v>
          </cell>
          <cell r="B4464" t="str">
            <v>Te FD FFF PN-10 DN800x200 conforme NBR7675 (63720)</v>
          </cell>
          <cell r="C4464" t="str">
            <v>ud</v>
          </cell>
          <cell r="D4464">
            <v>0</v>
          </cell>
        </row>
        <row r="4465">
          <cell r="A4465" t="str">
            <v>216939</v>
          </cell>
          <cell r="B4465" t="str">
            <v>Te FD FFF PN-10 DN800x400 conforme NBR7675 (285574)</v>
          </cell>
          <cell r="C4465" t="str">
            <v>ud</v>
          </cell>
          <cell r="D4465">
            <v>0</v>
          </cell>
        </row>
        <row r="4466">
          <cell r="A4466" t="str">
            <v>216940</v>
          </cell>
          <cell r="B4466" t="str">
            <v>Te FD FFF PN-10 DN800x600 conforme NBR7675</v>
          </cell>
          <cell r="C4466" t="str">
            <v>ud</v>
          </cell>
          <cell r="D4466">
            <v>0</v>
          </cell>
        </row>
        <row r="4467">
          <cell r="A4467" t="str">
            <v>216941</v>
          </cell>
          <cell r="B4467" t="str">
            <v>Te FD FFF PN-10 DN900x200 conforme NBR7675</v>
          </cell>
          <cell r="C4467" t="str">
            <v>ud</v>
          </cell>
          <cell r="D4467">
            <v>0</v>
          </cell>
        </row>
        <row r="4468">
          <cell r="A4468" t="str">
            <v>216942</v>
          </cell>
          <cell r="B4468" t="str">
            <v>Te FD FFF PN-10 DN900x400 conforme NBR7675</v>
          </cell>
          <cell r="C4468" t="str">
            <v>ud</v>
          </cell>
          <cell r="D4468">
            <v>0</v>
          </cell>
        </row>
        <row r="4469">
          <cell r="A4469" t="str">
            <v>216943</v>
          </cell>
          <cell r="B4469" t="str">
            <v>Te FD FFF PN-10 DN900x600 conforme NBR7675</v>
          </cell>
          <cell r="C4469" t="str">
            <v>ud</v>
          </cell>
          <cell r="D4469">
            <v>0</v>
          </cell>
        </row>
        <row r="4470">
          <cell r="A4470" t="str">
            <v>216944</v>
          </cell>
          <cell r="B4470" t="str">
            <v>Te FD FFF PN-10 DN1000x200 conforme NBR7675</v>
          </cell>
          <cell r="C4470" t="str">
            <v>ud</v>
          </cell>
          <cell r="D4470">
            <v>0</v>
          </cell>
        </row>
        <row r="4471">
          <cell r="A4471" t="str">
            <v>216945</v>
          </cell>
          <cell r="B4471" t="str">
            <v>Te FD FFF PN-10 DN1000x400 conforme NBR7675</v>
          </cell>
          <cell r="C4471" t="str">
            <v>ud</v>
          </cell>
          <cell r="D4471">
            <v>0</v>
          </cell>
        </row>
        <row r="4472">
          <cell r="A4472" t="str">
            <v>216946</v>
          </cell>
          <cell r="B4472" t="str">
            <v>Te FD FFF PN-10 DN1000x600 conforme NBR7675 (288174)</v>
          </cell>
          <cell r="C4472" t="str">
            <v>ud</v>
          </cell>
          <cell r="D4472">
            <v>0</v>
          </cell>
        </row>
        <row r="4473">
          <cell r="A4473" t="str">
            <v>216947</v>
          </cell>
          <cell r="B4473" t="str">
            <v>Te FD FFF PN-10 DN1200x200 conforme NBR7675</v>
          </cell>
          <cell r="C4473" t="str">
            <v>ud</v>
          </cell>
          <cell r="D4473">
            <v>0</v>
          </cell>
        </row>
        <row r="4474">
          <cell r="A4474" t="str">
            <v>216948</v>
          </cell>
          <cell r="B4474" t="str">
            <v>Te FD FFF PN-10 DN1200x400 conforme NBR7675</v>
          </cell>
          <cell r="C4474" t="str">
            <v>ud</v>
          </cell>
          <cell r="D4474">
            <v>0</v>
          </cell>
        </row>
        <row r="4475">
          <cell r="A4475" t="str">
            <v>216949</v>
          </cell>
          <cell r="B4475" t="str">
            <v>Te FD FFF PN-10 DN1200x600 conforme NBR7675</v>
          </cell>
          <cell r="C4475" t="str">
            <v>ud</v>
          </cell>
          <cell r="D4475">
            <v>0</v>
          </cell>
        </row>
        <row r="4476">
          <cell r="A4476" t="str">
            <v>216950</v>
          </cell>
          <cell r="B4476" t="str">
            <v>Te FD FFF PN-10 DN1200x800 conforme NBR7675</v>
          </cell>
          <cell r="C4476" t="str">
            <v>ud</v>
          </cell>
          <cell r="D4476">
            <v>0</v>
          </cell>
        </row>
        <row r="4477">
          <cell r="A4477" t="str">
            <v>216951</v>
          </cell>
          <cell r="B4477" t="str">
            <v>Te FD FFF PN-10 DN1200x1000 conforme NBR7675</v>
          </cell>
          <cell r="C4477" t="str">
            <v>ud</v>
          </cell>
          <cell r="D4477">
            <v>0</v>
          </cell>
        </row>
        <row r="4478">
          <cell r="A4478" t="str">
            <v>2170</v>
          </cell>
          <cell r="B4478" t="str">
            <v>TE DE REDUÇÃO FD COM FLANGES PN-16</v>
          </cell>
        </row>
        <row r="4479">
          <cell r="A4479" t="str">
            <v>217001</v>
          </cell>
          <cell r="B4479" t="str">
            <v>Te FD FFF PN-16 DN75/80x50 conforme NBR7675 (170305)</v>
          </cell>
          <cell r="C4479" t="str">
            <v>ud</v>
          </cell>
          <cell r="D4479">
            <v>0</v>
          </cell>
          <cell r="E4479">
            <v>255.99</v>
          </cell>
          <cell r="F4479">
            <v>255.99</v>
          </cell>
        </row>
        <row r="4480">
          <cell r="A4480" t="str">
            <v>217002</v>
          </cell>
          <cell r="B4480" t="str">
            <v>Te FD FFF PN-16 DN100x50 conforme NBR7675 (142026)</v>
          </cell>
          <cell r="C4480" t="str">
            <v>ud</v>
          </cell>
          <cell r="D4480">
            <v>0</v>
          </cell>
          <cell r="E4480">
            <v>332.15</v>
          </cell>
          <cell r="F4480">
            <v>332.15</v>
          </cell>
        </row>
        <row r="4481">
          <cell r="A4481" t="str">
            <v>217003</v>
          </cell>
          <cell r="B4481" t="str">
            <v>Te FD FFF PN-16 DN100x75/80 conforme NBR7675 (12726)</v>
          </cell>
          <cell r="C4481" t="str">
            <v>ud</v>
          </cell>
          <cell r="D4481">
            <v>0</v>
          </cell>
          <cell r="E4481">
            <v>332.15</v>
          </cell>
          <cell r="F4481">
            <v>332.15</v>
          </cell>
        </row>
        <row r="4482">
          <cell r="A4482" t="str">
            <v>217004</v>
          </cell>
          <cell r="B4482" t="str">
            <v>Te FD FFF PN-16 DN150x50 conforme NBR7675 (179647)</v>
          </cell>
          <cell r="C4482" t="str">
            <v>ud</v>
          </cell>
          <cell r="D4482">
            <v>0</v>
          </cell>
          <cell r="E4482">
            <v>475.81</v>
          </cell>
          <cell r="F4482">
            <v>475.81</v>
          </cell>
        </row>
        <row r="4483">
          <cell r="A4483" t="str">
            <v>217005</v>
          </cell>
          <cell r="B4483" t="str">
            <v>Te FD FFF PN-16 DN150x75/80 conforme NBR7675 (12963)</v>
          </cell>
          <cell r="C4483" t="str">
            <v>ud</v>
          </cell>
          <cell r="D4483">
            <v>0</v>
          </cell>
          <cell r="E4483">
            <v>543.77</v>
          </cell>
          <cell r="F4483">
            <v>543.77</v>
          </cell>
        </row>
        <row r="4484">
          <cell r="A4484" t="str">
            <v>217006</v>
          </cell>
          <cell r="B4484" t="str">
            <v>Te FD FFF PN-16 DN150x100 conforme NBR7675 (13005)</v>
          </cell>
          <cell r="C4484" t="str">
            <v>ud</v>
          </cell>
          <cell r="D4484">
            <v>0</v>
          </cell>
          <cell r="E4484">
            <v>570.96</v>
          </cell>
          <cell r="F4484">
            <v>570.96</v>
          </cell>
        </row>
        <row r="4485">
          <cell r="A4485" t="str">
            <v>217007</v>
          </cell>
          <cell r="B4485" t="str">
            <v>Te FD FFF PN-16 DN200x50 conforme NBR7675</v>
          </cell>
          <cell r="C4485" t="str">
            <v>ud</v>
          </cell>
          <cell r="D4485">
            <v>0</v>
          </cell>
          <cell r="E4485">
            <v>664.23</v>
          </cell>
          <cell r="F4485">
            <v>664.23</v>
          </cell>
        </row>
        <row r="4486">
          <cell r="A4486" t="str">
            <v>217008</v>
          </cell>
          <cell r="B4486" t="str">
            <v>Te FD FFF PN-16 DN200x75/80 conforme NBR7675 (13145)</v>
          </cell>
          <cell r="C4486" t="str">
            <v>ud</v>
          </cell>
          <cell r="D4486">
            <v>0</v>
          </cell>
          <cell r="E4486">
            <v>671.14</v>
          </cell>
          <cell r="F4486">
            <v>671.14</v>
          </cell>
        </row>
        <row r="4487">
          <cell r="A4487" t="str">
            <v>217009</v>
          </cell>
          <cell r="B4487" t="str">
            <v>Te FD FFF PN-16 DN200x100 conforme NBR7675 (13188)</v>
          </cell>
          <cell r="C4487" t="str">
            <v>ud</v>
          </cell>
          <cell r="D4487">
            <v>0</v>
          </cell>
          <cell r="E4487">
            <v>702.31</v>
          </cell>
          <cell r="F4487">
            <v>702.31</v>
          </cell>
        </row>
        <row r="4488">
          <cell r="A4488" t="str">
            <v>217010</v>
          </cell>
          <cell r="B4488" t="str">
            <v>Te FD FFF PN-16 DN200x150 conforme NBR7675 (13200)</v>
          </cell>
          <cell r="C4488" t="str">
            <v>ud</v>
          </cell>
          <cell r="D4488">
            <v>0</v>
          </cell>
          <cell r="E4488">
            <v>761.11</v>
          </cell>
          <cell r="F4488">
            <v>761.11</v>
          </cell>
        </row>
        <row r="4489">
          <cell r="A4489" t="str">
            <v>217011</v>
          </cell>
          <cell r="B4489" t="str">
            <v>Te FD FFF PN-16 DN250x50 conforme NBR7675</v>
          </cell>
          <cell r="C4489" t="str">
            <v>ud</v>
          </cell>
          <cell r="D4489">
            <v>0</v>
          </cell>
          <cell r="E4489">
            <v>1087.55</v>
          </cell>
          <cell r="F4489">
            <v>1087.55</v>
          </cell>
        </row>
        <row r="4490">
          <cell r="A4490" t="str">
            <v>217012</v>
          </cell>
          <cell r="B4490" t="str">
            <v>Te FD FFF PN-16 DN250x75/80 conforme NBR7675</v>
          </cell>
          <cell r="C4490" t="str">
            <v>ud</v>
          </cell>
          <cell r="D4490">
            <v>0</v>
          </cell>
        </row>
        <row r="4491">
          <cell r="A4491" t="str">
            <v>217013</v>
          </cell>
          <cell r="B4491" t="str">
            <v>Te FD FFF PN-16 DN250x100 conforme NBR7675 (13331)</v>
          </cell>
          <cell r="C4491" t="str">
            <v>ud</v>
          </cell>
          <cell r="D4491">
            <v>0</v>
          </cell>
          <cell r="E4491">
            <v>1087.55</v>
          </cell>
          <cell r="F4491">
            <v>1087.55</v>
          </cell>
        </row>
        <row r="4492">
          <cell r="A4492" t="str">
            <v>217014</v>
          </cell>
          <cell r="B4492" t="str">
            <v>Te FD FFF PN-16 DN250x200 conforme NBR7675 (136859)</v>
          </cell>
          <cell r="C4492" t="str">
            <v>ud</v>
          </cell>
          <cell r="D4492">
            <v>0</v>
          </cell>
          <cell r="E4492">
            <v>1114.73</v>
          </cell>
          <cell r="F4492">
            <v>1114.73</v>
          </cell>
        </row>
        <row r="4493">
          <cell r="A4493" t="str">
            <v>217015</v>
          </cell>
          <cell r="B4493" t="str">
            <v>Te FD FFF PN-16 DN300x100 conforme NBR7675 (13498)</v>
          </cell>
          <cell r="C4493" t="str">
            <v>ud</v>
          </cell>
          <cell r="D4493">
            <v>0</v>
          </cell>
          <cell r="E4493">
            <v>1370.02</v>
          </cell>
          <cell r="F4493">
            <v>1370.02</v>
          </cell>
        </row>
        <row r="4494">
          <cell r="A4494" t="str">
            <v>217016</v>
          </cell>
          <cell r="B4494" t="str">
            <v>Te FD FFF PN-16 DN300x200 conforme NBR7675 (136921)</v>
          </cell>
          <cell r="C4494" t="str">
            <v>ud</v>
          </cell>
          <cell r="D4494">
            <v>0</v>
          </cell>
          <cell r="E4494">
            <v>1453</v>
          </cell>
          <cell r="F4494">
            <v>1453</v>
          </cell>
        </row>
        <row r="4495">
          <cell r="A4495" t="str">
            <v>217017</v>
          </cell>
          <cell r="B4495" t="str">
            <v>Te FD FFF PN-16 DN350x100 conforme NBR7675</v>
          </cell>
          <cell r="C4495" t="str">
            <v>ud</v>
          </cell>
          <cell r="D4495">
            <v>0</v>
          </cell>
          <cell r="E4495">
            <v>1660.6</v>
          </cell>
          <cell r="F4495">
            <v>1660.6</v>
          </cell>
        </row>
        <row r="4496">
          <cell r="A4496" t="str">
            <v>217018</v>
          </cell>
          <cell r="B4496" t="str">
            <v>Te FD FFF PN-16 DN350x200 conforme NBR7675</v>
          </cell>
          <cell r="C4496" t="str">
            <v>ud</v>
          </cell>
          <cell r="D4496">
            <v>0</v>
          </cell>
          <cell r="E4496">
            <v>1833.57</v>
          </cell>
          <cell r="F4496">
            <v>1833.57</v>
          </cell>
        </row>
        <row r="4497">
          <cell r="A4497" t="str">
            <v>217019</v>
          </cell>
          <cell r="B4497" t="str">
            <v>Te FD FFF PN-16 DN350x300 conforme NBR7675</v>
          </cell>
          <cell r="C4497" t="str">
            <v>ud</v>
          </cell>
          <cell r="D4497">
            <v>0</v>
          </cell>
        </row>
        <row r="4498">
          <cell r="A4498" t="str">
            <v>217020</v>
          </cell>
          <cell r="B4498" t="str">
            <v>Te FD FFF PN-16 DN400x100 conforme NBR7675</v>
          </cell>
          <cell r="C4498" t="str">
            <v>ud</v>
          </cell>
          <cell r="D4498">
            <v>0</v>
          </cell>
          <cell r="E4498">
            <v>2023.86</v>
          </cell>
          <cell r="F4498">
            <v>2023.86</v>
          </cell>
        </row>
        <row r="4499">
          <cell r="A4499" t="str">
            <v>217021</v>
          </cell>
          <cell r="B4499" t="str">
            <v>Te FD FFF PN-16 DN400x200 conforme NBR7675</v>
          </cell>
          <cell r="C4499" t="str">
            <v>ud</v>
          </cell>
          <cell r="D4499">
            <v>0</v>
          </cell>
          <cell r="E4499">
            <v>2065.39</v>
          </cell>
          <cell r="F4499">
            <v>2065.39</v>
          </cell>
        </row>
        <row r="4500">
          <cell r="A4500" t="str">
            <v>217022</v>
          </cell>
          <cell r="B4500" t="str">
            <v>Te FD FFF PN-16 DN400x300 conforme NBR7675</v>
          </cell>
          <cell r="C4500" t="str">
            <v>ud</v>
          </cell>
          <cell r="D4500">
            <v>0</v>
          </cell>
          <cell r="E4500">
            <v>2144.38</v>
          </cell>
          <cell r="F4500">
            <v>2144.38</v>
          </cell>
        </row>
        <row r="4501">
          <cell r="A4501" t="str">
            <v>217023</v>
          </cell>
          <cell r="B4501" t="str">
            <v>Te FD FFF PN-16 DN450x100 conforme NBR7675</v>
          </cell>
          <cell r="C4501" t="str">
            <v>ud</v>
          </cell>
          <cell r="D4501">
            <v>0</v>
          </cell>
        </row>
        <row r="4502">
          <cell r="A4502" t="str">
            <v>217024</v>
          </cell>
          <cell r="B4502" t="str">
            <v>Te FD FFF PN-16 DN450x200 conforme NBR7675</v>
          </cell>
          <cell r="C4502" t="str">
            <v>ud</v>
          </cell>
          <cell r="D4502">
            <v>0</v>
          </cell>
        </row>
        <row r="4503">
          <cell r="A4503" t="str">
            <v>217025</v>
          </cell>
          <cell r="B4503" t="str">
            <v>Te FD FFF PN-16 DN450x300 conforme NBR7675</v>
          </cell>
          <cell r="C4503" t="str">
            <v>ud</v>
          </cell>
          <cell r="D4503">
            <v>0</v>
          </cell>
        </row>
        <row r="4504">
          <cell r="A4504" t="str">
            <v>217026</v>
          </cell>
          <cell r="B4504" t="str">
            <v>Te FD FFF PN-16 DN450x400 conforme NBR7675</v>
          </cell>
          <cell r="C4504" t="str">
            <v>ud</v>
          </cell>
          <cell r="D4504">
            <v>0</v>
          </cell>
        </row>
        <row r="4505">
          <cell r="A4505" t="str">
            <v>217027</v>
          </cell>
          <cell r="B4505" t="str">
            <v>Te FD FFF PN-16 DN500x100 conforme NBR7675 (14532)</v>
          </cell>
          <cell r="C4505" t="str">
            <v>ud</v>
          </cell>
          <cell r="D4505">
            <v>0</v>
          </cell>
        </row>
        <row r="4506">
          <cell r="A4506" t="str">
            <v>217028</v>
          </cell>
          <cell r="B4506" t="str">
            <v>Te FD FFF PN-16 DN500x200 conforme NBR7675 (137065)</v>
          </cell>
          <cell r="C4506" t="str">
            <v>ud</v>
          </cell>
          <cell r="D4506">
            <v>0</v>
          </cell>
          <cell r="E4506">
            <v>4486.1400000000003</v>
          </cell>
          <cell r="F4506">
            <v>4486.1400000000003</v>
          </cell>
        </row>
        <row r="4507">
          <cell r="A4507" t="str">
            <v>217029</v>
          </cell>
          <cell r="B4507" t="str">
            <v>Te FD FFF PN-16 DN500x300 conforme NBR7675</v>
          </cell>
          <cell r="C4507" t="str">
            <v>ud</v>
          </cell>
          <cell r="D4507">
            <v>0</v>
          </cell>
          <cell r="E4507">
            <v>4758.0200000000004</v>
          </cell>
          <cell r="F4507">
            <v>4758.0200000000004</v>
          </cell>
        </row>
        <row r="4508">
          <cell r="A4508" t="str">
            <v>217030</v>
          </cell>
          <cell r="B4508" t="str">
            <v>Te FD FFF PN-16 DN500x400 conforme NBR7675</v>
          </cell>
          <cell r="C4508" t="str">
            <v>ud</v>
          </cell>
          <cell r="D4508">
            <v>0</v>
          </cell>
        </row>
        <row r="4509">
          <cell r="A4509" t="str">
            <v>217031</v>
          </cell>
          <cell r="B4509" t="str">
            <v>Te FD FFF PN-16 DN600x100 conforme NBR7675</v>
          </cell>
          <cell r="C4509" t="str">
            <v>ud</v>
          </cell>
          <cell r="D4509">
            <v>0</v>
          </cell>
        </row>
        <row r="4510">
          <cell r="A4510" t="str">
            <v>217032</v>
          </cell>
          <cell r="B4510" t="str">
            <v>Te FD FFF PN-16 DN600x200 conforme NBR7675</v>
          </cell>
          <cell r="C4510" t="str">
            <v>ud</v>
          </cell>
          <cell r="D4510">
            <v>0</v>
          </cell>
        </row>
        <row r="4511">
          <cell r="A4511" t="str">
            <v>217033</v>
          </cell>
          <cell r="B4511" t="str">
            <v>Te FD FFF PN-16 DN600x300 conforme NBR7675</v>
          </cell>
          <cell r="C4511" t="str">
            <v>ud</v>
          </cell>
          <cell r="D4511">
            <v>0</v>
          </cell>
          <cell r="E4511">
            <v>5241.29</v>
          </cell>
          <cell r="F4511">
            <v>5241.29</v>
          </cell>
        </row>
        <row r="4512">
          <cell r="A4512" t="str">
            <v>217034</v>
          </cell>
          <cell r="B4512" t="str">
            <v>Te FD FFF PN-16 DN600x400 conforme NBR7675</v>
          </cell>
          <cell r="C4512" t="str">
            <v>ud</v>
          </cell>
          <cell r="D4512">
            <v>0</v>
          </cell>
          <cell r="E4512">
            <v>5466.16</v>
          </cell>
          <cell r="F4512">
            <v>5466.16</v>
          </cell>
        </row>
        <row r="4513">
          <cell r="A4513" t="str">
            <v>217035</v>
          </cell>
          <cell r="B4513" t="str">
            <v>Te FD FFF PN-16 DN600x500 conforme NBR7675</v>
          </cell>
          <cell r="C4513" t="str">
            <v>ud</v>
          </cell>
          <cell r="D4513">
            <v>0</v>
          </cell>
          <cell r="E4513">
            <v>5794.82</v>
          </cell>
          <cell r="F4513">
            <v>5794.82</v>
          </cell>
        </row>
        <row r="4514">
          <cell r="A4514" t="str">
            <v>217036</v>
          </cell>
          <cell r="B4514" t="str">
            <v>Te FD FFF PN-16 DN700x200 conforme NBR7675</v>
          </cell>
          <cell r="C4514" t="str">
            <v>ud</v>
          </cell>
          <cell r="D4514">
            <v>0</v>
          </cell>
          <cell r="E4514">
            <v>4756.92</v>
          </cell>
          <cell r="F4514">
            <v>4756.92</v>
          </cell>
        </row>
        <row r="4515">
          <cell r="A4515" t="str">
            <v>217037</v>
          </cell>
          <cell r="B4515" t="str">
            <v>Te FD FFF PN-16 DN700x400 conforme NBR7675</v>
          </cell>
          <cell r="C4515" t="str">
            <v>ud</v>
          </cell>
          <cell r="D4515">
            <v>0</v>
          </cell>
          <cell r="E4515">
            <v>5902.07</v>
          </cell>
          <cell r="F4515">
            <v>5902.07</v>
          </cell>
        </row>
        <row r="4516">
          <cell r="A4516" t="str">
            <v>217038</v>
          </cell>
          <cell r="B4516" t="str">
            <v>Te FD FFF PN-16 DN800x200 conforme NBR7675 (282672)</v>
          </cell>
          <cell r="C4516" t="str">
            <v>ud</v>
          </cell>
          <cell r="D4516">
            <v>0</v>
          </cell>
        </row>
        <row r="4517">
          <cell r="A4517" t="str">
            <v>217039</v>
          </cell>
          <cell r="B4517" t="str">
            <v>Te FD FFF PN-16 DN800x400 conforme NBR7675</v>
          </cell>
          <cell r="C4517" t="str">
            <v>ud</v>
          </cell>
          <cell r="D4517">
            <v>0</v>
          </cell>
        </row>
        <row r="4518">
          <cell r="A4518" t="str">
            <v>217040</v>
          </cell>
          <cell r="B4518" t="str">
            <v>Te FD FFF PN-16 DN800x600 conforme NBR7675 (137391)</v>
          </cell>
          <cell r="C4518" t="str">
            <v>ud</v>
          </cell>
          <cell r="D4518">
            <v>0</v>
          </cell>
        </row>
        <row r="4519">
          <cell r="A4519" t="str">
            <v>217041</v>
          </cell>
          <cell r="B4519" t="str">
            <v>Te FD FFF PN-16 DN900x200 conforme NBR7675</v>
          </cell>
          <cell r="C4519" t="str">
            <v>ud</v>
          </cell>
          <cell r="D4519">
            <v>0</v>
          </cell>
        </row>
        <row r="4520">
          <cell r="A4520" t="str">
            <v>217042</v>
          </cell>
          <cell r="B4520" t="str">
            <v>Te FD FFF PN-16 DN900x400 conforme NBR7675</v>
          </cell>
          <cell r="C4520" t="str">
            <v>ud</v>
          </cell>
          <cell r="D4520">
            <v>0</v>
          </cell>
        </row>
        <row r="4521">
          <cell r="A4521" t="str">
            <v>217043</v>
          </cell>
          <cell r="B4521" t="str">
            <v>Te FD FFF PN-16 DN900x600 conforme NBR7675</v>
          </cell>
          <cell r="C4521" t="str">
            <v>ud</v>
          </cell>
          <cell r="D4521">
            <v>0</v>
          </cell>
        </row>
        <row r="4522">
          <cell r="A4522" t="str">
            <v>217044</v>
          </cell>
          <cell r="B4522" t="str">
            <v>Te FD FFF PN-16 DN1000x200 conforme NBR7675</v>
          </cell>
          <cell r="C4522" t="str">
            <v>ud</v>
          </cell>
          <cell r="D4522">
            <v>0</v>
          </cell>
        </row>
        <row r="4523">
          <cell r="A4523" t="str">
            <v>217045</v>
          </cell>
          <cell r="B4523" t="str">
            <v>Te FD FFF PN-16 DN1000x400 conforme NBR7675</v>
          </cell>
          <cell r="C4523" t="str">
            <v>ud</v>
          </cell>
          <cell r="D4523">
            <v>0</v>
          </cell>
        </row>
        <row r="4524">
          <cell r="A4524" t="str">
            <v>217046</v>
          </cell>
          <cell r="B4524" t="str">
            <v>Te FD FFF PN-16 DN1000x600 conforme NBR7675</v>
          </cell>
          <cell r="C4524" t="str">
            <v>ud</v>
          </cell>
          <cell r="D4524">
            <v>0</v>
          </cell>
        </row>
        <row r="4525">
          <cell r="A4525" t="str">
            <v>217047</v>
          </cell>
          <cell r="B4525" t="str">
            <v>Te FD FFF PN-16 DN1200x200 conforme NBR7675</v>
          </cell>
          <cell r="C4525" t="str">
            <v>ud</v>
          </cell>
          <cell r="D4525">
            <v>0</v>
          </cell>
        </row>
        <row r="4526">
          <cell r="A4526" t="str">
            <v>217048</v>
          </cell>
          <cell r="B4526" t="str">
            <v>Te FD FFF PN-16 DN1200x400 conforme NBR7675</v>
          </cell>
          <cell r="C4526" t="str">
            <v>ud</v>
          </cell>
          <cell r="D4526">
            <v>0</v>
          </cell>
        </row>
        <row r="4527">
          <cell r="A4527" t="str">
            <v>217049</v>
          </cell>
          <cell r="B4527" t="str">
            <v>Te FD FFF PN-16 DN1200x600 conforme NBR7675</v>
          </cell>
          <cell r="C4527" t="str">
            <v>ud</v>
          </cell>
          <cell r="D4527">
            <v>0</v>
          </cell>
        </row>
        <row r="4528">
          <cell r="A4528" t="str">
            <v>217050</v>
          </cell>
          <cell r="B4528" t="str">
            <v>Te FD FFF PN-16 DN1200x800 conforme NBR7675</v>
          </cell>
          <cell r="C4528" t="str">
            <v>ud</v>
          </cell>
          <cell r="D4528">
            <v>0</v>
          </cell>
        </row>
        <row r="4529">
          <cell r="A4529" t="str">
            <v>217051</v>
          </cell>
          <cell r="B4529" t="str">
            <v>Te FD FFF PN-16 DN1200x1000 conforme NBR7675</v>
          </cell>
          <cell r="C4529" t="str">
            <v>ud</v>
          </cell>
          <cell r="D4529">
            <v>0</v>
          </cell>
        </row>
        <row r="4530">
          <cell r="A4530" t="str">
            <v>2171</v>
          </cell>
          <cell r="B4530" t="str">
            <v>TE DE REDUÇÃO FD COM FLANGES PN-25</v>
          </cell>
        </row>
        <row r="4531">
          <cell r="A4531" t="str">
            <v>217126</v>
          </cell>
          <cell r="B4531" t="str">
            <v>Te FD FFF PN-25 DN450x400 conforme NBR7675</v>
          </cell>
          <cell r="C4531" t="str">
            <v>ud</v>
          </cell>
          <cell r="D4531">
            <v>0</v>
          </cell>
        </row>
        <row r="4532">
          <cell r="A4532" t="str">
            <v>217127</v>
          </cell>
          <cell r="B4532" t="str">
            <v>Te FD FFF PN-25 DN500x100 conforme NBR7675 (137057)</v>
          </cell>
          <cell r="C4532" t="str">
            <v>ud</v>
          </cell>
          <cell r="D4532">
            <v>0</v>
          </cell>
        </row>
        <row r="4533">
          <cell r="A4533" t="str">
            <v>217128</v>
          </cell>
          <cell r="B4533" t="str">
            <v>Te FD FFF PN-25 DN500x200 conforme NBR7675</v>
          </cell>
          <cell r="C4533" t="str">
            <v>ud</v>
          </cell>
          <cell r="D4533">
            <v>0</v>
          </cell>
        </row>
        <row r="4534">
          <cell r="A4534" t="str">
            <v>217129</v>
          </cell>
          <cell r="B4534" t="str">
            <v>Te FD FFF PN-25 DN500x300 conforme NBR7675</v>
          </cell>
          <cell r="C4534" t="str">
            <v>ud</v>
          </cell>
          <cell r="D4534">
            <v>0</v>
          </cell>
        </row>
        <row r="4535">
          <cell r="A4535" t="str">
            <v>217130</v>
          </cell>
          <cell r="B4535" t="str">
            <v>Te FD FFF PN-25 DN500x400 conforme NBR7675</v>
          </cell>
          <cell r="C4535" t="str">
            <v>ud</v>
          </cell>
          <cell r="D4535">
            <v>0</v>
          </cell>
        </row>
        <row r="4536">
          <cell r="A4536" t="str">
            <v>217131</v>
          </cell>
          <cell r="B4536" t="str">
            <v>Te FD FFF PN-25 DN600x100 conforme NBR7675</v>
          </cell>
          <cell r="C4536" t="str">
            <v>ud</v>
          </cell>
          <cell r="D4536">
            <v>0</v>
          </cell>
        </row>
        <row r="4537">
          <cell r="A4537" t="str">
            <v>217132</v>
          </cell>
          <cell r="B4537" t="str">
            <v>Te FD FFF PN-25 DN600x200 conforme NBR7675</v>
          </cell>
          <cell r="C4537" t="str">
            <v>ud</v>
          </cell>
          <cell r="D4537">
            <v>0</v>
          </cell>
        </row>
        <row r="4538">
          <cell r="A4538" t="str">
            <v>217133</v>
          </cell>
          <cell r="B4538" t="str">
            <v>Te FD FFF PN-25 DN600x300 conforme NBR7675</v>
          </cell>
          <cell r="C4538" t="str">
            <v>ud</v>
          </cell>
          <cell r="D4538">
            <v>0</v>
          </cell>
        </row>
        <row r="4539">
          <cell r="A4539" t="str">
            <v>217134</v>
          </cell>
          <cell r="B4539" t="str">
            <v>Te FD FFF PN-25 DN600x400 conforme NBR7675 (137340)</v>
          </cell>
          <cell r="C4539" t="str">
            <v>ud</v>
          </cell>
          <cell r="D4539">
            <v>0</v>
          </cell>
        </row>
        <row r="4540">
          <cell r="A4540" t="str">
            <v>217135</v>
          </cell>
          <cell r="B4540" t="str">
            <v>Te FD FFF PN-25 DN600x500 conforme NBR7675</v>
          </cell>
          <cell r="C4540" t="str">
            <v>ud</v>
          </cell>
          <cell r="D4540">
            <v>0</v>
          </cell>
        </row>
        <row r="4541">
          <cell r="A4541" t="str">
            <v>217136</v>
          </cell>
          <cell r="B4541" t="str">
            <v>Te FD FFF PN-25 DN700x200 conforme NBR7675</v>
          </cell>
          <cell r="C4541" t="str">
            <v>ud</v>
          </cell>
          <cell r="D4541">
            <v>0</v>
          </cell>
        </row>
        <row r="4542">
          <cell r="A4542" t="str">
            <v>217137</v>
          </cell>
          <cell r="B4542" t="str">
            <v>Te FD FFF PN-25 DN700x400 conforme NBR7675</v>
          </cell>
          <cell r="C4542" t="str">
            <v>ud</v>
          </cell>
          <cell r="D4542">
            <v>0</v>
          </cell>
        </row>
        <row r="4543">
          <cell r="A4543" t="str">
            <v>217138</v>
          </cell>
          <cell r="B4543" t="str">
            <v>Te FD FFF PN-25 DN800x200 conforme NBR7675</v>
          </cell>
          <cell r="C4543" t="str">
            <v>ud</v>
          </cell>
          <cell r="D4543">
            <v>0</v>
          </cell>
        </row>
        <row r="4544">
          <cell r="A4544" t="str">
            <v>217139</v>
          </cell>
          <cell r="B4544" t="str">
            <v>Te FD FFF PN-25 DN800x400 conforme NBR7675</v>
          </cell>
          <cell r="C4544" t="str">
            <v>ud</v>
          </cell>
          <cell r="D4544">
            <v>0</v>
          </cell>
        </row>
        <row r="4545">
          <cell r="A4545" t="str">
            <v>217140</v>
          </cell>
          <cell r="B4545" t="str">
            <v>Te FD FFF PN-25 DN800x600 conforme NBR7675</v>
          </cell>
          <cell r="C4545" t="str">
            <v>ud</v>
          </cell>
          <cell r="D4545">
            <v>0</v>
          </cell>
        </row>
        <row r="4546">
          <cell r="A4546" t="str">
            <v>217141</v>
          </cell>
          <cell r="B4546" t="str">
            <v>Te FD FFF PN-25 DN900x200 conforme NBR7675</v>
          </cell>
          <cell r="C4546" t="str">
            <v>ud</v>
          </cell>
          <cell r="D4546">
            <v>0</v>
          </cell>
        </row>
        <row r="4547">
          <cell r="A4547" t="str">
            <v>217142</v>
          </cell>
          <cell r="B4547" t="str">
            <v>Te FD FFF PN-25 DN900x400 conforme NBR7675</v>
          </cell>
          <cell r="C4547" t="str">
            <v>ud</v>
          </cell>
          <cell r="D4547">
            <v>0</v>
          </cell>
        </row>
        <row r="4548">
          <cell r="A4548" t="str">
            <v>217143</v>
          </cell>
          <cell r="B4548" t="str">
            <v>Te FD FFF PN-25 DN900x600 conforme NBR7675</v>
          </cell>
          <cell r="C4548" t="str">
            <v>ud</v>
          </cell>
          <cell r="D4548">
            <v>0</v>
          </cell>
        </row>
        <row r="4549">
          <cell r="A4549" t="str">
            <v>217144</v>
          </cell>
          <cell r="B4549" t="str">
            <v>Te FD FFF PN-25 DN1000x200 conforme NBR7675</v>
          </cell>
          <cell r="C4549" t="str">
            <v>ud</v>
          </cell>
          <cell r="D4549">
            <v>0</v>
          </cell>
        </row>
        <row r="4550">
          <cell r="A4550" t="str">
            <v>217145</v>
          </cell>
          <cell r="B4550" t="str">
            <v>Te FD FFF PN-25 DN1000x400 conforme NBR7675</v>
          </cell>
          <cell r="C4550" t="str">
            <v>ud</v>
          </cell>
          <cell r="D4550">
            <v>0</v>
          </cell>
        </row>
        <row r="4551">
          <cell r="A4551" t="str">
            <v>217146</v>
          </cell>
          <cell r="B4551" t="str">
            <v>Te FD FFF PN-25 DN1000x600 conforme NBR7675</v>
          </cell>
          <cell r="C4551" t="str">
            <v>ud</v>
          </cell>
          <cell r="D4551">
            <v>0</v>
          </cell>
        </row>
        <row r="4552">
          <cell r="A4552" t="str">
            <v>217147</v>
          </cell>
          <cell r="B4552" t="str">
            <v>Te FD FFF PN-25 DN1200x200 conforme NBR7675</v>
          </cell>
          <cell r="C4552" t="str">
            <v>ud</v>
          </cell>
          <cell r="D4552">
            <v>0</v>
          </cell>
        </row>
        <row r="4553">
          <cell r="A4553" t="str">
            <v>217148</v>
          </cell>
          <cell r="B4553" t="str">
            <v>Te FD FFF PN-25 DN1200x400 conforme NBR7675</v>
          </cell>
          <cell r="C4553" t="str">
            <v>ud</v>
          </cell>
          <cell r="D4553">
            <v>0</v>
          </cell>
        </row>
        <row r="4554">
          <cell r="A4554" t="str">
            <v>217149</v>
          </cell>
          <cell r="B4554" t="str">
            <v>Te FD FFF PN-25 DN1200x600 conforme NBR7675</v>
          </cell>
          <cell r="C4554" t="str">
            <v>ud</v>
          </cell>
          <cell r="D4554">
            <v>0</v>
          </cell>
        </row>
        <row r="4555">
          <cell r="A4555" t="str">
            <v>217150</v>
          </cell>
          <cell r="B4555" t="str">
            <v>Te FD FFF PN-25 DN1200x800 conforme NBR7675</v>
          </cell>
          <cell r="C4555" t="str">
            <v>ud</v>
          </cell>
          <cell r="D4555">
            <v>0</v>
          </cell>
        </row>
        <row r="4556">
          <cell r="A4556" t="str">
            <v>217151</v>
          </cell>
          <cell r="B4556" t="str">
            <v>Te FD FFF PN-25 DN1200x1000 conforme NBR7675</v>
          </cell>
          <cell r="C4556" t="str">
            <v>ud</v>
          </cell>
          <cell r="D4556">
            <v>0</v>
          </cell>
        </row>
        <row r="4557">
          <cell r="A4557" t="str">
            <v>217101</v>
          </cell>
          <cell r="B4557" t="str">
            <v>Te FD FFF PN-25 DN75/80x50 conforme NBR7675 (12548)</v>
          </cell>
          <cell r="C4557" t="str">
            <v>ud</v>
          </cell>
          <cell r="D4557">
            <v>0</v>
          </cell>
        </row>
        <row r="4558">
          <cell r="A4558" t="str">
            <v>217102</v>
          </cell>
          <cell r="B4558" t="str">
            <v>Te FD FFF PN-25 DN100x50 conforme NBR7675 (12670)</v>
          </cell>
          <cell r="C4558" t="str">
            <v>ud</v>
          </cell>
          <cell r="D4558">
            <v>0</v>
          </cell>
        </row>
        <row r="4559">
          <cell r="A4559" t="str">
            <v>217103</v>
          </cell>
          <cell r="B4559" t="str">
            <v>Te FD FFF PN-25 DN100x75/80 conforme NBR7675 (137278)</v>
          </cell>
          <cell r="C4559" t="str">
            <v>ud</v>
          </cell>
          <cell r="D4559">
            <v>0</v>
          </cell>
        </row>
        <row r="4560">
          <cell r="A4560" t="str">
            <v>217104</v>
          </cell>
          <cell r="B4560" t="str">
            <v>Te FD FFF PN-25 DN150x50 conforme NBR7675 (12912)</v>
          </cell>
          <cell r="C4560" t="str">
            <v>ud</v>
          </cell>
          <cell r="D4560">
            <v>0</v>
          </cell>
        </row>
        <row r="4561">
          <cell r="A4561" t="str">
            <v>217105</v>
          </cell>
          <cell r="B4561" t="str">
            <v>Te FD FFF PN-25 DN150x75/80 conforme NBR7675 (136816)</v>
          </cell>
          <cell r="C4561" t="str">
            <v>ud</v>
          </cell>
          <cell r="D4561">
            <v>0</v>
          </cell>
        </row>
        <row r="4562">
          <cell r="A4562" t="str">
            <v>217106</v>
          </cell>
          <cell r="B4562" t="str">
            <v>Te FD FFF PN-25 DN150x100 conforme NBR7675 (136700)</v>
          </cell>
          <cell r="C4562" t="str">
            <v>ud</v>
          </cell>
          <cell r="D4562">
            <v>0</v>
          </cell>
        </row>
        <row r="4563">
          <cell r="A4563" t="str">
            <v>217107</v>
          </cell>
          <cell r="B4563" t="str">
            <v>Te FD FFF PN-25 DN200x50 conforme NBR7675 (13080)</v>
          </cell>
          <cell r="C4563" t="str">
            <v>ud</v>
          </cell>
          <cell r="D4563">
            <v>0</v>
          </cell>
        </row>
        <row r="4564">
          <cell r="A4564" t="str">
            <v>217108</v>
          </cell>
          <cell r="B4564" t="str">
            <v>Te FD FFF PN-25 DN200x75/80 conforme NBR7675 (136735)</v>
          </cell>
          <cell r="C4564" t="str">
            <v>ud</v>
          </cell>
          <cell r="D4564">
            <v>0</v>
          </cell>
        </row>
        <row r="4565">
          <cell r="A4565" t="str">
            <v>217109</v>
          </cell>
          <cell r="B4565" t="str">
            <v>Te FD FFF PN-25 DN200x100 conforme NBR7675</v>
          </cell>
          <cell r="C4565" t="str">
            <v>ud</v>
          </cell>
          <cell r="D4565">
            <v>0</v>
          </cell>
        </row>
        <row r="4566">
          <cell r="A4566" t="str">
            <v>217110</v>
          </cell>
          <cell r="B4566" t="str">
            <v>Te FD FFF PN-25 DN200x150 conforme NBR7675</v>
          </cell>
          <cell r="C4566" t="str">
            <v>ud</v>
          </cell>
          <cell r="D4566">
            <v>0</v>
          </cell>
        </row>
        <row r="4567">
          <cell r="A4567" t="str">
            <v>217111</v>
          </cell>
          <cell r="B4567" t="str">
            <v>Te FD FFF PN-25 DN250x50 conforme NBR7675</v>
          </cell>
          <cell r="C4567" t="str">
            <v>ud</v>
          </cell>
          <cell r="D4567">
            <v>0</v>
          </cell>
        </row>
        <row r="4568">
          <cell r="A4568" t="str">
            <v>217112</v>
          </cell>
          <cell r="B4568" t="str">
            <v>Te FD FFF PN-25 DN250x75/80 conforme NBR7675</v>
          </cell>
          <cell r="C4568" t="str">
            <v>ud</v>
          </cell>
          <cell r="D4568">
            <v>0</v>
          </cell>
        </row>
        <row r="4569">
          <cell r="A4569" t="str">
            <v>217113</v>
          </cell>
          <cell r="B4569" t="str">
            <v>Te FD FFF PN-25 DN250x100 conforme NBR7675 (136840)</v>
          </cell>
          <cell r="C4569" t="str">
            <v>ud</v>
          </cell>
          <cell r="D4569">
            <v>0</v>
          </cell>
        </row>
        <row r="4570">
          <cell r="A4570" t="str">
            <v>217114</v>
          </cell>
          <cell r="B4570" t="str">
            <v>Te FD FFF PN-25 DN250x200 conforme NBR7675</v>
          </cell>
          <cell r="C4570" t="str">
            <v>ud</v>
          </cell>
          <cell r="D4570">
            <v>0</v>
          </cell>
        </row>
        <row r="4571">
          <cell r="A4571" t="str">
            <v>217115</v>
          </cell>
          <cell r="B4571" t="str">
            <v>Te FD FFF PN-25 DN300x100 conforme NBR7675</v>
          </cell>
          <cell r="C4571" t="str">
            <v>ud</v>
          </cell>
          <cell r="D4571">
            <v>0</v>
          </cell>
        </row>
        <row r="4572">
          <cell r="A4572" t="str">
            <v>217116</v>
          </cell>
          <cell r="B4572" t="str">
            <v>Te FD FFF PN-25 DN300x200 conforme NBR7675 (136930)</v>
          </cell>
          <cell r="C4572" t="str">
            <v>ud</v>
          </cell>
          <cell r="D4572">
            <v>0</v>
          </cell>
        </row>
        <row r="4573">
          <cell r="A4573" t="str">
            <v>217117</v>
          </cell>
          <cell r="B4573" t="str">
            <v>Te FD FFF PN-25 DN350x100 conforme NBR7675</v>
          </cell>
          <cell r="C4573" t="str">
            <v>ud</v>
          </cell>
          <cell r="D4573">
            <v>0</v>
          </cell>
        </row>
        <row r="4574">
          <cell r="A4574" t="str">
            <v>217118</v>
          </cell>
          <cell r="B4574" t="str">
            <v>Te FD FFF PN-25 DN350x200 conforme NBR7675</v>
          </cell>
          <cell r="C4574" t="str">
            <v>ud</v>
          </cell>
          <cell r="D4574">
            <v>0</v>
          </cell>
        </row>
        <row r="4575">
          <cell r="A4575" t="str">
            <v>217119</v>
          </cell>
          <cell r="B4575" t="str">
            <v>Te FD FFF PN-25 DN350x300 conforme NBR7675</v>
          </cell>
          <cell r="C4575" t="str">
            <v>ud</v>
          </cell>
          <cell r="D4575">
            <v>0</v>
          </cell>
        </row>
        <row r="4576">
          <cell r="A4576" t="str">
            <v>217120</v>
          </cell>
          <cell r="B4576" t="str">
            <v>Te FD FFF PN-25 DN400x100 conforme NBR7675 (136980)</v>
          </cell>
          <cell r="C4576" t="str">
            <v>ud</v>
          </cell>
          <cell r="D4576">
            <v>0</v>
          </cell>
        </row>
        <row r="4577">
          <cell r="A4577" t="str">
            <v>217121</v>
          </cell>
          <cell r="B4577" t="str">
            <v>Te FD FFF PN-25 DN400x200 conforme NBR7675</v>
          </cell>
          <cell r="C4577" t="str">
            <v>ud</v>
          </cell>
          <cell r="D4577">
            <v>0</v>
          </cell>
        </row>
        <row r="4578">
          <cell r="A4578" t="str">
            <v>217122</v>
          </cell>
          <cell r="B4578" t="str">
            <v>Te FD FFF PN-25 DN400x300 conforme NBR7675</v>
          </cell>
          <cell r="C4578" t="str">
            <v>ud</v>
          </cell>
          <cell r="D4578">
            <v>0</v>
          </cell>
        </row>
        <row r="4579">
          <cell r="A4579" t="str">
            <v>217123</v>
          </cell>
          <cell r="B4579" t="str">
            <v>Te FD FFF PN-25 DN450x100 conforme NBR7675</v>
          </cell>
          <cell r="C4579" t="str">
            <v>ud</v>
          </cell>
          <cell r="D4579">
            <v>0</v>
          </cell>
        </row>
        <row r="4580">
          <cell r="A4580" t="str">
            <v>217124</v>
          </cell>
          <cell r="B4580" t="str">
            <v>Te FD FFF PN-25 DN450x200 conforme NBR7675</v>
          </cell>
          <cell r="C4580" t="str">
            <v>ud</v>
          </cell>
          <cell r="D4580">
            <v>0</v>
          </cell>
        </row>
        <row r="4581">
          <cell r="A4581" t="str">
            <v>217125</v>
          </cell>
          <cell r="B4581" t="str">
            <v>Te FD FFF PN-25 DN450x300 conforme NBR7675</v>
          </cell>
          <cell r="C4581" t="str">
            <v>ud</v>
          </cell>
          <cell r="D4581">
            <v>0</v>
          </cell>
        </row>
        <row r="4582">
          <cell r="A4582" t="str">
            <v>2172</v>
          </cell>
          <cell r="B4582" t="str">
            <v>TE DE REDUÇÃO FD JE P/ INTERLIGAÇÃO C/ PVC</v>
          </cell>
        </row>
        <row r="4583">
          <cell r="A4583" t="str">
            <v>217201</v>
          </cell>
          <cell r="B4583" t="str">
            <v>Te FD BBB JE para interligação PVC PBA DN100x50 conforme NBR5647 (164151)</v>
          </cell>
          <cell r="C4583" t="str">
            <v>ud</v>
          </cell>
          <cell r="D4583">
            <v>0</v>
          </cell>
          <cell r="E4583">
            <v>185.38</v>
          </cell>
          <cell r="F4583">
            <v>185.38</v>
          </cell>
        </row>
        <row r="4584">
          <cell r="A4584" t="str">
            <v>217202</v>
          </cell>
          <cell r="B4584" t="str">
            <v>Te FD BBB JE para interligação PVC PBA DN100x75 conforme NBR5647 (171344)</v>
          </cell>
          <cell r="C4584" t="str">
            <v>ud</v>
          </cell>
          <cell r="D4584">
            <v>0</v>
          </cell>
          <cell r="E4584">
            <v>185.38</v>
          </cell>
          <cell r="F4584">
            <v>185.38</v>
          </cell>
        </row>
        <row r="4585">
          <cell r="A4585" t="str">
            <v>217203</v>
          </cell>
          <cell r="B4585" t="str">
            <v>Te FD BBB JE para interligação PVC PBA DN150x50 conforme NBR5647 (101761)</v>
          </cell>
          <cell r="C4585" t="str">
            <v>ud</v>
          </cell>
          <cell r="D4585">
            <v>0</v>
          </cell>
          <cell r="E4585">
            <v>228.33</v>
          </cell>
          <cell r="F4585">
            <v>228.33</v>
          </cell>
        </row>
        <row r="4586">
          <cell r="A4586" t="str">
            <v>217204</v>
          </cell>
          <cell r="B4586" t="str">
            <v>Te FD BBB JE para interligação PVC PBA DN150x75 conforme NBR5647 (101770)</v>
          </cell>
          <cell r="C4586" t="str">
            <v>ud</v>
          </cell>
          <cell r="D4586">
            <v>0</v>
          </cell>
          <cell r="E4586">
            <v>235.27</v>
          </cell>
          <cell r="F4586">
            <v>235.27</v>
          </cell>
        </row>
        <row r="4587">
          <cell r="A4587" t="str">
            <v>217205</v>
          </cell>
          <cell r="B4587" t="str">
            <v>Te FD BBB JE para interligação PVC PBA DN150x100 conforme NBR5647 (101788)</v>
          </cell>
          <cell r="C4587" t="str">
            <v>ud</v>
          </cell>
          <cell r="D4587">
            <v>0</v>
          </cell>
          <cell r="E4587">
            <v>271.89</v>
          </cell>
          <cell r="F4587">
            <v>271.89</v>
          </cell>
        </row>
        <row r="4588">
          <cell r="A4588" t="str">
            <v>217206</v>
          </cell>
          <cell r="B4588" t="str">
            <v>Te FD BBB JE para interligação PVC PBA DN200x50 conforme NBR5647 (101796)</v>
          </cell>
          <cell r="C4588" t="str">
            <v>ud</v>
          </cell>
          <cell r="D4588">
            <v>0</v>
          </cell>
          <cell r="E4588">
            <v>304.42</v>
          </cell>
          <cell r="F4588">
            <v>304.42</v>
          </cell>
        </row>
        <row r="4589">
          <cell r="A4589" t="str">
            <v>217207</v>
          </cell>
          <cell r="B4589" t="str">
            <v>Te FD BBB JE para interligação PVC PBA DN200x75 conforme NBR5647 (101800)</v>
          </cell>
          <cell r="C4589" t="str">
            <v>ud</v>
          </cell>
          <cell r="D4589">
            <v>0</v>
          </cell>
          <cell r="E4589">
            <v>332.15</v>
          </cell>
          <cell r="F4589">
            <v>332.15</v>
          </cell>
        </row>
        <row r="4590">
          <cell r="A4590" t="str">
            <v>217208</v>
          </cell>
          <cell r="B4590" t="str">
            <v>Te FD BBB JE para interligação PVC PBA DN200x100 conforme NBR5647 (101818)</v>
          </cell>
          <cell r="C4590" t="str">
            <v>ud</v>
          </cell>
          <cell r="D4590">
            <v>0</v>
          </cell>
          <cell r="E4590">
            <v>332.15</v>
          </cell>
          <cell r="F4590">
            <v>332.15</v>
          </cell>
        </row>
        <row r="4591">
          <cell r="A4591" t="str">
            <v>217209</v>
          </cell>
          <cell r="B4591" t="str">
            <v>Te FD BBB JE para interligação PVC PBA DN250x50 conforme NBR5647 (101826)</v>
          </cell>
          <cell r="C4591" t="str">
            <v>ud</v>
          </cell>
          <cell r="D4591">
            <v>0</v>
          </cell>
          <cell r="E4591">
            <v>442.84</v>
          </cell>
          <cell r="F4591">
            <v>442.84</v>
          </cell>
        </row>
        <row r="4592">
          <cell r="A4592" t="str">
            <v>217210</v>
          </cell>
          <cell r="B4592" t="str">
            <v>Te FD BBB JE para interligação PVC PBA DN250x75 conforme NBR5647 (101834)</v>
          </cell>
          <cell r="C4592" t="str">
            <v>ud</v>
          </cell>
          <cell r="D4592">
            <v>0</v>
          </cell>
          <cell r="E4592">
            <v>470.51</v>
          </cell>
          <cell r="F4592">
            <v>470.51</v>
          </cell>
        </row>
        <row r="4593">
          <cell r="A4593" t="str">
            <v>217211</v>
          </cell>
          <cell r="B4593" t="str">
            <v>Te FD BBB JE para interligação PVC PBA DN250x100 conforme NBR5647 (101842)</v>
          </cell>
          <cell r="C4593" t="str">
            <v>ud</v>
          </cell>
          <cell r="D4593">
            <v>0</v>
          </cell>
          <cell r="E4593">
            <v>550.05999999999995</v>
          </cell>
          <cell r="F4593">
            <v>550.05999999999995</v>
          </cell>
        </row>
        <row r="4594">
          <cell r="A4594" t="str">
            <v>2173</v>
          </cell>
          <cell r="B4594" t="str">
            <v>TE DE REDUÇÃO FD JUNTA MECÂNICA COM FLANGE PN-10</v>
          </cell>
        </row>
        <row r="4595">
          <cell r="A4595" t="str">
            <v>217301</v>
          </cell>
          <cell r="B4595" t="str">
            <v xml:space="preserve">Te red FD JM/F PN-10 DN  300  100 </v>
          </cell>
          <cell r="C4595" t="str">
            <v>ud</v>
          </cell>
          <cell r="D4595">
            <v>0</v>
          </cell>
          <cell r="E4595">
            <v>1584.49</v>
          </cell>
          <cell r="F4595">
            <v>1584.49</v>
          </cell>
        </row>
        <row r="4596">
          <cell r="A4596" t="str">
            <v>217302</v>
          </cell>
          <cell r="B4596" t="str">
            <v>Te red FD JM/F PN-10 DN  300  200 (13560)</v>
          </cell>
          <cell r="C4596" t="str">
            <v>ud</v>
          </cell>
          <cell r="D4596">
            <v>0</v>
          </cell>
          <cell r="E4596">
            <v>1912.8</v>
          </cell>
          <cell r="F4596">
            <v>1912.8</v>
          </cell>
        </row>
        <row r="4597">
          <cell r="A4597" t="str">
            <v>217303</v>
          </cell>
          <cell r="B4597" t="str">
            <v xml:space="preserve">Te red FD JM/F PN-10 DN  350  100 </v>
          </cell>
          <cell r="C4597" t="str">
            <v>ud</v>
          </cell>
          <cell r="D4597">
            <v>0</v>
          </cell>
          <cell r="E4597">
            <v>2123.4299999999998</v>
          </cell>
          <cell r="F4597">
            <v>2123.4299999999998</v>
          </cell>
        </row>
        <row r="4598">
          <cell r="A4598" t="str">
            <v>217304</v>
          </cell>
          <cell r="B4598" t="str">
            <v xml:space="preserve">Te red FD JM/F PN-10 DN  350  200 </v>
          </cell>
          <cell r="C4598" t="str">
            <v>ud</v>
          </cell>
          <cell r="D4598">
            <v>0</v>
          </cell>
          <cell r="E4598">
            <v>2171.2800000000002</v>
          </cell>
          <cell r="F4598">
            <v>2171.2800000000002</v>
          </cell>
        </row>
        <row r="4599">
          <cell r="A4599" t="str">
            <v>217305</v>
          </cell>
          <cell r="B4599" t="str">
            <v xml:space="preserve">Te red FD JM/F PN-10 DN  350  250 </v>
          </cell>
          <cell r="C4599" t="str">
            <v>ud</v>
          </cell>
          <cell r="D4599">
            <v>0</v>
          </cell>
        </row>
        <row r="4600">
          <cell r="A4600" t="str">
            <v>217306</v>
          </cell>
          <cell r="B4600" t="str">
            <v xml:space="preserve">Te red FD JM/F PN-10 DN  350  300 </v>
          </cell>
          <cell r="C4600" t="str">
            <v>ud</v>
          </cell>
          <cell r="D4600">
            <v>0</v>
          </cell>
        </row>
        <row r="4601">
          <cell r="A4601" t="str">
            <v>217307</v>
          </cell>
          <cell r="B4601" t="str">
            <v xml:space="preserve">Te red FD JM/F PN-10 DN  400  100 </v>
          </cell>
          <cell r="C4601" t="str">
            <v>ud</v>
          </cell>
          <cell r="D4601">
            <v>0</v>
          </cell>
          <cell r="E4601">
            <v>2255.65</v>
          </cell>
          <cell r="F4601">
            <v>2255.65</v>
          </cell>
        </row>
        <row r="4602">
          <cell r="A4602" t="str">
            <v>217308</v>
          </cell>
          <cell r="B4602" t="str">
            <v xml:space="preserve">Te red FD JM/F PN-10 DN  400  200 </v>
          </cell>
          <cell r="C4602" t="str">
            <v>ud</v>
          </cell>
          <cell r="D4602">
            <v>0</v>
          </cell>
          <cell r="E4602">
            <v>2773.35</v>
          </cell>
          <cell r="F4602">
            <v>2773.35</v>
          </cell>
        </row>
        <row r="4603">
          <cell r="A4603" t="str">
            <v>217309</v>
          </cell>
          <cell r="B4603" t="str">
            <v xml:space="preserve">Te red FD JM/F PN-10 DN  400  300 </v>
          </cell>
          <cell r="C4603" t="str">
            <v>ud</v>
          </cell>
          <cell r="D4603">
            <v>0</v>
          </cell>
          <cell r="E4603">
            <v>3455.69</v>
          </cell>
          <cell r="F4603">
            <v>3455.69</v>
          </cell>
        </row>
        <row r="4604">
          <cell r="A4604" t="str">
            <v>217310</v>
          </cell>
          <cell r="B4604" t="str">
            <v xml:space="preserve">Te red FD JM/F PN-10 DN  450  100 </v>
          </cell>
          <cell r="C4604" t="str">
            <v>ud</v>
          </cell>
          <cell r="D4604">
            <v>0</v>
          </cell>
        </row>
        <row r="4605">
          <cell r="A4605" t="str">
            <v>217311</v>
          </cell>
          <cell r="B4605" t="str">
            <v xml:space="preserve">Te red FD JM/F PN-10 DN  450  200 </v>
          </cell>
          <cell r="C4605" t="str">
            <v>ud</v>
          </cell>
          <cell r="D4605">
            <v>0</v>
          </cell>
        </row>
        <row r="4606">
          <cell r="A4606" t="str">
            <v>217312</v>
          </cell>
          <cell r="B4606" t="str">
            <v xml:space="preserve">Te red FD JM/F PN-10 DN  450  300 </v>
          </cell>
          <cell r="C4606" t="str">
            <v>ud</v>
          </cell>
          <cell r="D4606">
            <v>0</v>
          </cell>
        </row>
        <row r="4607">
          <cell r="A4607" t="str">
            <v>217313</v>
          </cell>
          <cell r="B4607" t="str">
            <v xml:space="preserve">Te red FD JM/F PN-10 DN  450  400 </v>
          </cell>
          <cell r="C4607" t="str">
            <v>ud</v>
          </cell>
          <cell r="D4607">
            <v>0</v>
          </cell>
        </row>
        <row r="4608">
          <cell r="A4608" t="str">
            <v>217314</v>
          </cell>
          <cell r="B4608" t="str">
            <v xml:space="preserve">Te red FD JM/F PN-10 DN  500  100 </v>
          </cell>
          <cell r="C4608" t="str">
            <v>ud</v>
          </cell>
          <cell r="D4608">
            <v>0</v>
          </cell>
        </row>
        <row r="4609">
          <cell r="A4609" t="str">
            <v>217315</v>
          </cell>
          <cell r="B4609" t="str">
            <v>Te red FD JM/F PN-10 DN  500  200 (14575)</v>
          </cell>
          <cell r="C4609" t="str">
            <v>ud</v>
          </cell>
          <cell r="D4609">
            <v>0</v>
          </cell>
        </row>
        <row r="4610">
          <cell r="A4610" t="str">
            <v>217316</v>
          </cell>
          <cell r="B4610" t="str">
            <v xml:space="preserve">Te red FD JM/F PN-10 DN  600  100 </v>
          </cell>
          <cell r="C4610" t="str">
            <v>ud</v>
          </cell>
          <cell r="D4610">
            <v>0</v>
          </cell>
        </row>
        <row r="4611">
          <cell r="A4611" t="str">
            <v>217317</v>
          </cell>
          <cell r="B4611" t="str">
            <v>Te red FD JM/F PN-10 DN  600  200 (14800)</v>
          </cell>
          <cell r="C4611" t="str">
            <v>ud</v>
          </cell>
          <cell r="D4611">
            <v>0</v>
          </cell>
        </row>
        <row r="4612">
          <cell r="A4612" t="str">
            <v>217318</v>
          </cell>
          <cell r="B4612" t="str">
            <v xml:space="preserve">Te red FD JM/F PN-10 DN  600  300 </v>
          </cell>
          <cell r="C4612" t="str">
            <v>ud</v>
          </cell>
          <cell r="D4612">
            <v>0</v>
          </cell>
        </row>
        <row r="4613">
          <cell r="A4613" t="str">
            <v>217319</v>
          </cell>
          <cell r="B4613" t="str">
            <v xml:space="preserve">Te red FD JM/F PN-10 DN  700  200 </v>
          </cell>
          <cell r="C4613" t="str">
            <v>ud</v>
          </cell>
          <cell r="D4613">
            <v>0</v>
          </cell>
        </row>
        <row r="4614">
          <cell r="A4614" t="str">
            <v>217320</v>
          </cell>
          <cell r="B4614" t="str">
            <v xml:space="preserve">Te red FD JM/F PN-10 DN  700  400 </v>
          </cell>
          <cell r="C4614" t="str">
            <v>ud</v>
          </cell>
          <cell r="D4614">
            <v>0</v>
          </cell>
        </row>
        <row r="4615">
          <cell r="A4615" t="str">
            <v>217321</v>
          </cell>
          <cell r="B4615" t="str">
            <v xml:space="preserve">Te red FD JM/F PN-10 DN  700  600 </v>
          </cell>
          <cell r="C4615" t="str">
            <v>ud</v>
          </cell>
          <cell r="D4615">
            <v>0</v>
          </cell>
        </row>
        <row r="4616">
          <cell r="A4616" t="str">
            <v>217322</v>
          </cell>
          <cell r="B4616" t="str">
            <v xml:space="preserve">Te red FD JM/F PN-10 DN  800  200 </v>
          </cell>
          <cell r="C4616" t="str">
            <v>ud</v>
          </cell>
          <cell r="D4616">
            <v>0</v>
          </cell>
        </row>
        <row r="4617">
          <cell r="A4617" t="str">
            <v>217323</v>
          </cell>
          <cell r="B4617" t="str">
            <v>Te red FD JM/F PN-10 DN  800  400 (133167)</v>
          </cell>
          <cell r="C4617" t="str">
            <v>ud</v>
          </cell>
          <cell r="D4617">
            <v>0</v>
          </cell>
        </row>
        <row r="4618">
          <cell r="A4618" t="str">
            <v>217324</v>
          </cell>
          <cell r="B4618" t="str">
            <v xml:space="preserve">Te red FD JM/F PN-10 DN  500  300 </v>
          </cell>
          <cell r="C4618" t="str">
            <v>ud</v>
          </cell>
          <cell r="D4618">
            <v>0</v>
          </cell>
        </row>
        <row r="4619">
          <cell r="A4619" t="str">
            <v>217325</v>
          </cell>
          <cell r="B4619" t="str">
            <v xml:space="preserve">Te red FD JM/F PN-10 DN  500  400 </v>
          </cell>
          <cell r="C4619" t="str">
            <v>ud</v>
          </cell>
          <cell r="D4619">
            <v>0</v>
          </cell>
        </row>
        <row r="4620">
          <cell r="A4620" t="str">
            <v>217326</v>
          </cell>
          <cell r="B4620" t="str">
            <v xml:space="preserve">Te red FD JM/F PN-10 DN  600  400 </v>
          </cell>
          <cell r="C4620" t="str">
            <v>ud</v>
          </cell>
          <cell r="D4620">
            <v>0</v>
          </cell>
        </row>
        <row r="4621">
          <cell r="A4621" t="str">
            <v>217327</v>
          </cell>
          <cell r="B4621" t="str">
            <v xml:space="preserve">Te red FD JM/F PN-10 DN  800  600 </v>
          </cell>
          <cell r="C4621" t="str">
            <v>ud</v>
          </cell>
          <cell r="D4621">
            <v>0</v>
          </cell>
        </row>
        <row r="4622">
          <cell r="A4622" t="str">
            <v>217328</v>
          </cell>
          <cell r="B4622" t="str">
            <v xml:space="preserve">Te red FD JM/F PN-10 DN  900  200 (133191) </v>
          </cell>
          <cell r="C4622" t="str">
            <v>ud</v>
          </cell>
          <cell r="D4622">
            <v>0</v>
          </cell>
        </row>
        <row r="4623">
          <cell r="A4623" t="str">
            <v>217329</v>
          </cell>
          <cell r="B4623" t="str">
            <v>Te red FD JM/F PN-10 DN  900  400 (133140)</v>
          </cell>
          <cell r="C4623" t="str">
            <v>ud</v>
          </cell>
          <cell r="D4623">
            <v>0</v>
          </cell>
        </row>
        <row r="4624">
          <cell r="A4624" t="str">
            <v>217330</v>
          </cell>
          <cell r="B4624" t="str">
            <v xml:space="preserve">Te red FD JM/F PN-10 DN  900  600 </v>
          </cell>
          <cell r="C4624" t="str">
            <v>ud</v>
          </cell>
          <cell r="D4624">
            <v>0</v>
          </cell>
        </row>
        <row r="4625">
          <cell r="A4625" t="str">
            <v>217331</v>
          </cell>
          <cell r="B4625" t="str">
            <v xml:space="preserve">Te red FD JM/F PN-10 DN  900  800 </v>
          </cell>
          <cell r="C4625" t="str">
            <v>ud</v>
          </cell>
          <cell r="D4625">
            <v>0</v>
          </cell>
        </row>
        <row r="4626">
          <cell r="A4626" t="str">
            <v>217332</v>
          </cell>
          <cell r="B4626" t="str">
            <v xml:space="preserve">Te red FD JM/F PN-10 DN 1000 200 </v>
          </cell>
          <cell r="C4626" t="str">
            <v>ud</v>
          </cell>
          <cell r="D4626">
            <v>0</v>
          </cell>
        </row>
        <row r="4627">
          <cell r="A4627" t="str">
            <v>217333</v>
          </cell>
          <cell r="B4627" t="str">
            <v xml:space="preserve">Te red FD JM/F PN-10 DN 1000 400 </v>
          </cell>
          <cell r="C4627" t="str">
            <v>ud</v>
          </cell>
          <cell r="D4627">
            <v>0</v>
          </cell>
        </row>
        <row r="4628">
          <cell r="A4628" t="str">
            <v>217334</v>
          </cell>
          <cell r="B4628" t="str">
            <v xml:space="preserve">Te red FD JM/F PN-10 DN 1000 600 </v>
          </cell>
          <cell r="C4628" t="str">
            <v>ud</v>
          </cell>
          <cell r="D4628">
            <v>0</v>
          </cell>
        </row>
        <row r="4629">
          <cell r="A4629" t="str">
            <v>217335</v>
          </cell>
          <cell r="B4629" t="str">
            <v xml:space="preserve">Te red FD JM/F PN-10 DN 1000 800 </v>
          </cell>
          <cell r="C4629" t="str">
            <v>ud</v>
          </cell>
          <cell r="D4629">
            <v>0</v>
          </cell>
        </row>
        <row r="4630">
          <cell r="A4630" t="str">
            <v>217336</v>
          </cell>
          <cell r="B4630" t="str">
            <v xml:space="preserve">Te red FD JM/F PN-10 DN 1200 200 </v>
          </cell>
          <cell r="C4630" t="str">
            <v>ud</v>
          </cell>
          <cell r="D4630">
            <v>0</v>
          </cell>
        </row>
        <row r="4631">
          <cell r="A4631" t="str">
            <v>217337</v>
          </cell>
          <cell r="B4631" t="str">
            <v xml:space="preserve">Te red FD JM/F PN-10 DN 1200 400 </v>
          </cell>
          <cell r="C4631" t="str">
            <v>ud</v>
          </cell>
          <cell r="D4631">
            <v>0</v>
          </cell>
        </row>
        <row r="4632">
          <cell r="A4632" t="str">
            <v>217338</v>
          </cell>
          <cell r="B4632" t="str">
            <v xml:space="preserve">Te red FD JM/F PN-10 DN 1200 600 </v>
          </cell>
          <cell r="C4632" t="str">
            <v>ud</v>
          </cell>
          <cell r="D4632">
            <v>0</v>
          </cell>
        </row>
        <row r="4633">
          <cell r="A4633" t="str">
            <v>217339</v>
          </cell>
          <cell r="B4633" t="str">
            <v xml:space="preserve">Te red FD JM/F PN-10 DN 1200 1000 </v>
          </cell>
          <cell r="C4633" t="str">
            <v>ud</v>
          </cell>
          <cell r="D4633">
            <v>0</v>
          </cell>
        </row>
        <row r="4634">
          <cell r="A4634" t="str">
            <v>217340</v>
          </cell>
          <cell r="B4634" t="str">
            <v xml:space="preserve">Te red FD JM/F PN-10 DN 1200 800 </v>
          </cell>
          <cell r="C4634" t="str">
            <v>ud</v>
          </cell>
          <cell r="D4634">
            <v>0</v>
          </cell>
        </row>
        <row r="4635">
          <cell r="A4635" t="str">
            <v>2174</v>
          </cell>
          <cell r="B4635" t="str">
            <v>TE DE REDUÇÃO FD JUNTA MECÂNICA COM FLANGE PN-16</v>
          </cell>
        </row>
        <row r="4636">
          <cell r="A4636" t="str">
            <v>217401</v>
          </cell>
          <cell r="B4636" t="str">
            <v>Te red FD JM/F PN-16 DN  300  100 (13480)</v>
          </cell>
          <cell r="C4636" t="str">
            <v>ud</v>
          </cell>
          <cell r="D4636">
            <v>0</v>
          </cell>
        </row>
        <row r="4637">
          <cell r="A4637" t="str">
            <v>217402</v>
          </cell>
          <cell r="B4637" t="str">
            <v xml:space="preserve">Te red FD JM/F PN-16 DN  300  200 </v>
          </cell>
          <cell r="C4637" t="str">
            <v>ud</v>
          </cell>
          <cell r="D4637">
            <v>0</v>
          </cell>
        </row>
        <row r="4638">
          <cell r="A4638" t="str">
            <v>217403</v>
          </cell>
          <cell r="B4638" t="str">
            <v xml:space="preserve">Te red FD JM/F PN-16 DN  350  100 </v>
          </cell>
          <cell r="C4638" t="str">
            <v>ud</v>
          </cell>
          <cell r="D4638">
            <v>0</v>
          </cell>
        </row>
        <row r="4639">
          <cell r="A4639" t="str">
            <v>217404</v>
          </cell>
          <cell r="B4639" t="str">
            <v xml:space="preserve">Te red FD JM/F PN-16 DN  350  200 </v>
          </cell>
          <cell r="C4639" t="str">
            <v>ud</v>
          </cell>
          <cell r="D4639">
            <v>0</v>
          </cell>
        </row>
        <row r="4640">
          <cell r="A4640" t="str">
            <v>217405</v>
          </cell>
          <cell r="B4640" t="str">
            <v xml:space="preserve">Te red FD JM/F PN-16 DN  350  250 </v>
          </cell>
          <cell r="C4640" t="str">
            <v>ud</v>
          </cell>
          <cell r="D4640">
            <v>0</v>
          </cell>
        </row>
        <row r="4641">
          <cell r="A4641" t="str">
            <v>217406</v>
          </cell>
          <cell r="B4641" t="str">
            <v xml:space="preserve">Te red FD JM/F PN-16 DN  350  300 </v>
          </cell>
          <cell r="C4641" t="str">
            <v>ud</v>
          </cell>
          <cell r="D4641">
            <v>0</v>
          </cell>
        </row>
        <row r="4642">
          <cell r="A4642" t="str">
            <v>217407</v>
          </cell>
          <cell r="B4642" t="str">
            <v>Te red FD JM/F PN-16 DN  400  100 (13854)</v>
          </cell>
          <cell r="C4642" t="str">
            <v>ud</v>
          </cell>
          <cell r="D4642">
            <v>0</v>
          </cell>
        </row>
        <row r="4643">
          <cell r="A4643" t="str">
            <v>217408</v>
          </cell>
          <cell r="B4643" t="str">
            <v xml:space="preserve">Te red FD JM/F PN-16 DN  400  200 </v>
          </cell>
          <cell r="C4643" t="str">
            <v>ud</v>
          </cell>
          <cell r="D4643">
            <v>0</v>
          </cell>
        </row>
        <row r="4644">
          <cell r="A4644" t="str">
            <v>217409</v>
          </cell>
          <cell r="B4644" t="str">
            <v xml:space="preserve">Te red FD JM/F PN-16 DN  400  300 </v>
          </cell>
          <cell r="C4644" t="str">
            <v>ud</v>
          </cell>
          <cell r="D4644">
            <v>0</v>
          </cell>
        </row>
        <row r="4645">
          <cell r="A4645" t="str">
            <v>217410</v>
          </cell>
          <cell r="B4645" t="str">
            <v xml:space="preserve">Te red FD JM/F PN-16 DN  450  100 </v>
          </cell>
          <cell r="C4645" t="str">
            <v>ud</v>
          </cell>
          <cell r="D4645">
            <v>0</v>
          </cell>
        </row>
        <row r="4646">
          <cell r="A4646" t="str">
            <v>217411</v>
          </cell>
          <cell r="B4646" t="str">
            <v xml:space="preserve">Te red FD JM/F PN-16 DN  450  200 </v>
          </cell>
          <cell r="C4646" t="str">
            <v>ud</v>
          </cell>
          <cell r="D4646">
            <v>0</v>
          </cell>
        </row>
        <row r="4647">
          <cell r="A4647" t="str">
            <v>217412</v>
          </cell>
          <cell r="B4647" t="str">
            <v xml:space="preserve">Te red FD JM/F PN-16 DN  450  300 </v>
          </cell>
          <cell r="C4647" t="str">
            <v>ud</v>
          </cell>
          <cell r="D4647">
            <v>0</v>
          </cell>
        </row>
        <row r="4648">
          <cell r="A4648" t="str">
            <v>217413</v>
          </cell>
          <cell r="B4648" t="str">
            <v xml:space="preserve">Te red FD JM/F PN-16 DN  450  400 </v>
          </cell>
          <cell r="C4648" t="str">
            <v>ud</v>
          </cell>
          <cell r="D4648">
            <v>0</v>
          </cell>
        </row>
        <row r="4649">
          <cell r="A4649" t="str">
            <v>217414</v>
          </cell>
          <cell r="B4649" t="str">
            <v>Te red FD JM/F PN-16 DN  500  100 (14524)</v>
          </cell>
          <cell r="C4649" t="str">
            <v>ud</v>
          </cell>
          <cell r="D4649">
            <v>0</v>
          </cell>
        </row>
        <row r="4650">
          <cell r="A4650" t="str">
            <v>217415</v>
          </cell>
          <cell r="B4650" t="str">
            <v>Te red FD JM/F PN-16 DN  500  200 (137693)</v>
          </cell>
          <cell r="C4650" t="str">
            <v>ud</v>
          </cell>
          <cell r="D4650">
            <v>0</v>
          </cell>
        </row>
        <row r="4651">
          <cell r="A4651" t="str">
            <v>217416</v>
          </cell>
          <cell r="B4651" t="str">
            <v xml:space="preserve">Te red FD JM/F PN-16 DN  500  300 </v>
          </cell>
          <cell r="C4651" t="str">
            <v>ud</v>
          </cell>
          <cell r="D4651">
            <v>0</v>
          </cell>
        </row>
        <row r="4652">
          <cell r="A4652" t="str">
            <v>217417</v>
          </cell>
          <cell r="B4652" t="str">
            <v xml:space="preserve">Te red FD JM/F PN-16 DN  500  400 </v>
          </cell>
          <cell r="C4652" t="str">
            <v>ud</v>
          </cell>
          <cell r="D4652">
            <v>0</v>
          </cell>
        </row>
        <row r="4653">
          <cell r="A4653" t="str">
            <v>217418</v>
          </cell>
          <cell r="B4653" t="str">
            <v>Te red FD JM/F PN-16 DN  600  100 (14737)</v>
          </cell>
          <cell r="C4653" t="str">
            <v>ud</v>
          </cell>
          <cell r="D4653">
            <v>0</v>
          </cell>
        </row>
        <row r="4654">
          <cell r="A4654" t="str">
            <v>217419</v>
          </cell>
          <cell r="B4654" t="str">
            <v xml:space="preserve">Te red FD JM/F PN-16 DN  600  200 </v>
          </cell>
          <cell r="C4654" t="str">
            <v>ud</v>
          </cell>
          <cell r="D4654">
            <v>0</v>
          </cell>
        </row>
        <row r="4655">
          <cell r="A4655" t="str">
            <v>217420</v>
          </cell>
          <cell r="B4655" t="str">
            <v xml:space="preserve">Te red FD JM/F PN-16 DN  600  300 </v>
          </cell>
          <cell r="C4655" t="str">
            <v>ud</v>
          </cell>
          <cell r="D4655">
            <v>0</v>
          </cell>
        </row>
        <row r="4656">
          <cell r="A4656" t="str">
            <v>217421</v>
          </cell>
          <cell r="B4656" t="str">
            <v xml:space="preserve">Te red FD JM/F PN-16 DN  600  400 </v>
          </cell>
          <cell r="C4656" t="str">
            <v>ud</v>
          </cell>
          <cell r="D4656">
            <v>0</v>
          </cell>
        </row>
        <row r="4657">
          <cell r="A4657" t="str">
            <v>217422</v>
          </cell>
          <cell r="B4657" t="str">
            <v xml:space="preserve">Te red FD JM/F PN-16 DN  700  200 </v>
          </cell>
          <cell r="C4657" t="str">
            <v>ud</v>
          </cell>
          <cell r="D4657">
            <v>0</v>
          </cell>
        </row>
        <row r="4658">
          <cell r="A4658" t="str">
            <v>217423</v>
          </cell>
          <cell r="B4658" t="str">
            <v>Te red FD JM/F PN-16 DN  700  400 (255360)</v>
          </cell>
          <cell r="C4658" t="str">
            <v>ud</v>
          </cell>
          <cell r="D4658">
            <v>0</v>
          </cell>
        </row>
        <row r="4659">
          <cell r="A4659" t="str">
            <v>217424</v>
          </cell>
          <cell r="B4659" t="str">
            <v xml:space="preserve">Te red FD JM/F PN-16 DN  700  600 </v>
          </cell>
          <cell r="C4659" t="str">
            <v>ud</v>
          </cell>
          <cell r="D4659">
            <v>0</v>
          </cell>
        </row>
        <row r="4660">
          <cell r="A4660" t="str">
            <v>217425</v>
          </cell>
          <cell r="B4660" t="str">
            <v xml:space="preserve">Te red FD JM/F PN-16 DN  800  200 </v>
          </cell>
          <cell r="C4660" t="str">
            <v>ud</v>
          </cell>
          <cell r="D4660">
            <v>0</v>
          </cell>
        </row>
        <row r="4661">
          <cell r="A4661" t="str">
            <v>217426</v>
          </cell>
          <cell r="B4661" t="str">
            <v xml:space="preserve">Te red FD JM/F PN-16 DN  800  400 </v>
          </cell>
          <cell r="C4661" t="str">
            <v>ud</v>
          </cell>
          <cell r="D4661">
            <v>0</v>
          </cell>
        </row>
        <row r="4662">
          <cell r="A4662" t="str">
            <v>217427</v>
          </cell>
          <cell r="B4662" t="str">
            <v xml:space="preserve">Te red FD JM/F PN-16 DN  800  600 </v>
          </cell>
          <cell r="C4662" t="str">
            <v>ud</v>
          </cell>
          <cell r="D4662">
            <v>0</v>
          </cell>
        </row>
        <row r="4663">
          <cell r="A4663" t="str">
            <v>217428</v>
          </cell>
          <cell r="B4663" t="str">
            <v>Te red FD JM/F PN-16 DN  900  200 (155241)</v>
          </cell>
          <cell r="C4663" t="str">
            <v>ud</v>
          </cell>
          <cell r="D4663">
            <v>0</v>
          </cell>
        </row>
        <row r="4664">
          <cell r="A4664" t="str">
            <v>217429</v>
          </cell>
          <cell r="B4664" t="str">
            <v>Te red FD JM/F PN-16 DN  900  400 (155519)</v>
          </cell>
          <cell r="C4664" t="str">
            <v>ud</v>
          </cell>
          <cell r="D4664">
            <v>0</v>
          </cell>
        </row>
        <row r="4665">
          <cell r="A4665" t="str">
            <v>217430</v>
          </cell>
          <cell r="B4665" t="str">
            <v xml:space="preserve">Te red FD JM/F PN-16 DN  900  600 </v>
          </cell>
          <cell r="C4665" t="str">
            <v>ud</v>
          </cell>
          <cell r="D4665">
            <v>0</v>
          </cell>
        </row>
        <row r="4666">
          <cell r="A4666" t="str">
            <v>217431</v>
          </cell>
          <cell r="B4666" t="str">
            <v xml:space="preserve">Te red FD JM/F PN-16 DN  900  800 </v>
          </cell>
          <cell r="C4666" t="str">
            <v>ud</v>
          </cell>
          <cell r="D4666">
            <v>0</v>
          </cell>
        </row>
        <row r="4667">
          <cell r="A4667" t="str">
            <v>217432</v>
          </cell>
          <cell r="B4667" t="str">
            <v xml:space="preserve">Te red FD JM/F PN-16 DN 1000 200 </v>
          </cell>
          <cell r="C4667" t="str">
            <v>ud</v>
          </cell>
          <cell r="D4667">
            <v>0</v>
          </cell>
        </row>
        <row r="4668">
          <cell r="A4668" t="str">
            <v>217433</v>
          </cell>
          <cell r="B4668" t="str">
            <v xml:space="preserve">Te red FD JM/F PN-16 DN 1000 400 </v>
          </cell>
          <cell r="C4668" t="str">
            <v>ud</v>
          </cell>
          <cell r="D4668">
            <v>0</v>
          </cell>
        </row>
        <row r="4669">
          <cell r="A4669" t="str">
            <v>217434</v>
          </cell>
          <cell r="B4669" t="str">
            <v xml:space="preserve">Te red FD JM/F PN-16 DN 1000 600 </v>
          </cell>
          <cell r="C4669" t="str">
            <v>ud</v>
          </cell>
          <cell r="D4669">
            <v>0</v>
          </cell>
        </row>
        <row r="4670">
          <cell r="A4670" t="str">
            <v>217435</v>
          </cell>
          <cell r="B4670" t="str">
            <v xml:space="preserve">Te red FD JM/F PN-16 DN 1000 800 </v>
          </cell>
          <cell r="C4670" t="str">
            <v>ud</v>
          </cell>
          <cell r="D4670">
            <v>0</v>
          </cell>
        </row>
        <row r="4671">
          <cell r="A4671" t="str">
            <v>217436</v>
          </cell>
          <cell r="B4671" t="str">
            <v xml:space="preserve">Te red FD JM/F PN-16 DN 1200 200 </v>
          </cell>
          <cell r="C4671" t="str">
            <v>ud</v>
          </cell>
          <cell r="D4671">
            <v>0</v>
          </cell>
        </row>
        <row r="4672">
          <cell r="A4672" t="str">
            <v>217437</v>
          </cell>
          <cell r="B4672" t="str">
            <v xml:space="preserve">Te red FD JM/F PN-16 DN 1200 400 </v>
          </cell>
          <cell r="C4672" t="str">
            <v>ud</v>
          </cell>
          <cell r="D4672">
            <v>0</v>
          </cell>
        </row>
        <row r="4673">
          <cell r="A4673" t="str">
            <v>217438</v>
          </cell>
          <cell r="B4673" t="str">
            <v xml:space="preserve">Te red FD JM/F PN-16 DN 1200 600 </v>
          </cell>
          <cell r="C4673" t="str">
            <v>ud</v>
          </cell>
          <cell r="D4673">
            <v>0</v>
          </cell>
        </row>
        <row r="4674">
          <cell r="A4674" t="str">
            <v>217439</v>
          </cell>
          <cell r="B4674" t="str">
            <v xml:space="preserve">Te red FD JM/F PN-16 DN 1200 800 </v>
          </cell>
          <cell r="C4674" t="str">
            <v>ud</v>
          </cell>
          <cell r="D4674">
            <v>0</v>
          </cell>
        </row>
        <row r="4675">
          <cell r="A4675" t="str">
            <v>217440</v>
          </cell>
          <cell r="B4675" t="str">
            <v xml:space="preserve">Te red FD JM/F PN-16 DN 1200 1000 </v>
          </cell>
          <cell r="C4675" t="str">
            <v>ud</v>
          </cell>
          <cell r="D4675">
            <v>0</v>
          </cell>
        </row>
        <row r="4676">
          <cell r="A4676" t="str">
            <v>2175</v>
          </cell>
          <cell r="B4676" t="str">
            <v>TE DE REDUÇÃO FD JUNTA MECÂNICA COM FLANGE PN-25</v>
          </cell>
        </row>
        <row r="4677">
          <cell r="A4677" t="str">
            <v>217501</v>
          </cell>
          <cell r="B4677" t="str">
            <v xml:space="preserve">Te red FD JM/F PN-25 DN  300  100 </v>
          </cell>
          <cell r="C4677" t="str">
            <v>ud</v>
          </cell>
          <cell r="D4677">
            <v>0</v>
          </cell>
        </row>
        <row r="4678">
          <cell r="A4678" t="str">
            <v>217502</v>
          </cell>
          <cell r="B4678" t="str">
            <v xml:space="preserve">Te red FD JM/F PN-25 DN  300  200 </v>
          </cell>
          <cell r="C4678" t="str">
            <v>ud</v>
          </cell>
          <cell r="D4678">
            <v>0</v>
          </cell>
        </row>
        <row r="4679">
          <cell r="A4679" t="str">
            <v>217503</v>
          </cell>
          <cell r="B4679" t="str">
            <v xml:space="preserve">Te red FD JM/F PN-25 DN  350  100 </v>
          </cell>
          <cell r="C4679" t="str">
            <v>ud</v>
          </cell>
          <cell r="D4679">
            <v>0</v>
          </cell>
        </row>
        <row r="4680">
          <cell r="A4680" t="str">
            <v>217504</v>
          </cell>
          <cell r="B4680" t="str">
            <v xml:space="preserve">Te red FD JM/F PN-25 DN  350  200 </v>
          </cell>
          <cell r="C4680" t="str">
            <v>ud</v>
          </cell>
          <cell r="D4680">
            <v>0</v>
          </cell>
        </row>
        <row r="4681">
          <cell r="A4681" t="str">
            <v>217505</v>
          </cell>
          <cell r="B4681" t="str">
            <v xml:space="preserve">Te red FD JM/F PN-25 DN  350  250 </v>
          </cell>
          <cell r="C4681" t="str">
            <v>ud</v>
          </cell>
          <cell r="D4681">
            <v>0</v>
          </cell>
        </row>
        <row r="4682">
          <cell r="A4682" t="str">
            <v>217506</v>
          </cell>
          <cell r="B4682" t="str">
            <v xml:space="preserve">Te red FD JM/F PN-25 DN  350  300 </v>
          </cell>
          <cell r="C4682" t="str">
            <v>ud</v>
          </cell>
          <cell r="D4682">
            <v>0</v>
          </cell>
        </row>
        <row r="4683">
          <cell r="A4683" t="str">
            <v>217507</v>
          </cell>
          <cell r="B4683" t="str">
            <v xml:space="preserve">Te red FD JM/F PN-25 DN  400  100 </v>
          </cell>
          <cell r="C4683" t="str">
            <v>ud</v>
          </cell>
          <cell r="D4683">
            <v>0</v>
          </cell>
        </row>
        <row r="4684">
          <cell r="A4684" t="str">
            <v>217508</v>
          </cell>
          <cell r="B4684" t="str">
            <v xml:space="preserve">Te red FD JM/F PN-25 DN  400  200 </v>
          </cell>
          <cell r="C4684" t="str">
            <v>ud</v>
          </cell>
          <cell r="D4684">
            <v>0</v>
          </cell>
        </row>
        <row r="4685">
          <cell r="A4685" t="str">
            <v>217509</v>
          </cell>
          <cell r="B4685" t="str">
            <v xml:space="preserve">Te red FD JM/F PN-25 DN  400  300 </v>
          </cell>
          <cell r="C4685" t="str">
            <v>ud</v>
          </cell>
          <cell r="D4685">
            <v>0</v>
          </cell>
        </row>
        <row r="4686">
          <cell r="A4686" t="str">
            <v>217510</v>
          </cell>
          <cell r="B4686" t="str">
            <v xml:space="preserve">Te red FD JM/F PN-25 DN  450  100 </v>
          </cell>
          <cell r="C4686" t="str">
            <v>ud</v>
          </cell>
          <cell r="D4686">
            <v>0</v>
          </cell>
        </row>
        <row r="4687">
          <cell r="A4687" t="str">
            <v>217511</v>
          </cell>
          <cell r="B4687" t="str">
            <v xml:space="preserve">Te red FD JM/F PN-25 DN  450  200 </v>
          </cell>
          <cell r="C4687" t="str">
            <v>ud</v>
          </cell>
          <cell r="D4687">
            <v>0</v>
          </cell>
        </row>
        <row r="4688">
          <cell r="A4688" t="str">
            <v>217512</v>
          </cell>
          <cell r="B4688" t="str">
            <v xml:space="preserve">Te red FD JM/F PN-25 DN  450  300 </v>
          </cell>
          <cell r="C4688" t="str">
            <v>ud</v>
          </cell>
          <cell r="D4688">
            <v>0</v>
          </cell>
        </row>
        <row r="4689">
          <cell r="A4689" t="str">
            <v>217513</v>
          </cell>
          <cell r="B4689" t="str">
            <v xml:space="preserve">Te red FD JM/F PN-25 DN  450  400 </v>
          </cell>
          <cell r="C4689" t="str">
            <v>ud</v>
          </cell>
          <cell r="D4689">
            <v>0</v>
          </cell>
        </row>
        <row r="4690">
          <cell r="A4690" t="str">
            <v>217514</v>
          </cell>
          <cell r="B4690" t="str">
            <v xml:space="preserve">Te red FD JM/F PN-25 DN  500  100 </v>
          </cell>
          <cell r="C4690" t="str">
            <v>ud</v>
          </cell>
          <cell r="D4690">
            <v>0</v>
          </cell>
        </row>
        <row r="4691">
          <cell r="A4691" t="str">
            <v>217515</v>
          </cell>
          <cell r="B4691" t="str">
            <v xml:space="preserve">Te red FD JM/F PN-25 DN  500  200 </v>
          </cell>
          <cell r="C4691" t="str">
            <v>ud</v>
          </cell>
          <cell r="D4691">
            <v>0</v>
          </cell>
        </row>
        <row r="4692">
          <cell r="A4692" t="str">
            <v>217516</v>
          </cell>
          <cell r="B4692" t="str">
            <v xml:space="preserve">Te red FD JM/F PN-25 DN  500  300 </v>
          </cell>
          <cell r="C4692" t="str">
            <v>ud</v>
          </cell>
          <cell r="D4692">
            <v>0</v>
          </cell>
        </row>
        <row r="4693">
          <cell r="A4693" t="str">
            <v>217517</v>
          </cell>
          <cell r="B4693" t="str">
            <v xml:space="preserve">Te red FD JM/F PN-25 DN  500  400 </v>
          </cell>
          <cell r="C4693" t="str">
            <v>ud</v>
          </cell>
          <cell r="D4693">
            <v>0</v>
          </cell>
        </row>
        <row r="4694">
          <cell r="A4694" t="str">
            <v>217518</v>
          </cell>
          <cell r="B4694" t="str">
            <v xml:space="preserve">Te red FD JM/F PN-25 DN  600  100 </v>
          </cell>
          <cell r="C4694" t="str">
            <v>ud</v>
          </cell>
          <cell r="D4694">
            <v>0</v>
          </cell>
        </row>
        <row r="4695">
          <cell r="A4695" t="str">
            <v>217519</v>
          </cell>
          <cell r="B4695" t="str">
            <v xml:space="preserve">Te red FD JM/F PN-25 DN  600  200 </v>
          </cell>
          <cell r="C4695" t="str">
            <v>ud</v>
          </cell>
          <cell r="D4695">
            <v>0</v>
          </cell>
        </row>
        <row r="4696">
          <cell r="A4696" t="str">
            <v>217520</v>
          </cell>
          <cell r="B4696" t="str">
            <v xml:space="preserve">Te red FD JM/F PN-25 DN  600  300 </v>
          </cell>
          <cell r="C4696" t="str">
            <v>ud</v>
          </cell>
          <cell r="D4696">
            <v>0</v>
          </cell>
        </row>
        <row r="4697">
          <cell r="A4697" t="str">
            <v>217521</v>
          </cell>
          <cell r="B4697" t="str">
            <v xml:space="preserve">Te red FD JM/F PN-25 DN  600  400 </v>
          </cell>
          <cell r="C4697" t="str">
            <v>ud</v>
          </cell>
          <cell r="D4697">
            <v>0</v>
          </cell>
        </row>
        <row r="4698">
          <cell r="A4698" t="str">
            <v>217522</v>
          </cell>
          <cell r="B4698" t="str">
            <v xml:space="preserve">Te red FD JM/F PN-25 DN  700  200 </v>
          </cell>
          <cell r="C4698" t="str">
            <v>ud</v>
          </cell>
          <cell r="D4698">
            <v>0</v>
          </cell>
        </row>
        <row r="4699">
          <cell r="A4699" t="str">
            <v>217523</v>
          </cell>
          <cell r="B4699" t="str">
            <v xml:space="preserve">Te red FD JM/F PN-25 DN  700  400 </v>
          </cell>
          <cell r="C4699" t="str">
            <v>ud</v>
          </cell>
          <cell r="D4699">
            <v>0</v>
          </cell>
        </row>
        <row r="4700">
          <cell r="A4700" t="str">
            <v>217524</v>
          </cell>
          <cell r="B4700" t="str">
            <v xml:space="preserve">Te red FD JM/F PN-25 DN  700  600 </v>
          </cell>
          <cell r="C4700" t="str">
            <v>ud</v>
          </cell>
          <cell r="D4700">
            <v>0</v>
          </cell>
        </row>
        <row r="4701">
          <cell r="A4701" t="str">
            <v>217525</v>
          </cell>
          <cell r="B4701" t="str">
            <v xml:space="preserve">Te red FD JM/F PN-25 DN  800  200 </v>
          </cell>
          <cell r="C4701" t="str">
            <v>ud</v>
          </cell>
          <cell r="D4701">
            <v>0</v>
          </cell>
        </row>
        <row r="4702">
          <cell r="A4702" t="str">
            <v>217526</v>
          </cell>
          <cell r="B4702" t="str">
            <v xml:space="preserve">Te red FD JM/F PN-25 DN  800  400 </v>
          </cell>
          <cell r="C4702" t="str">
            <v>ud</v>
          </cell>
          <cell r="D4702">
            <v>0</v>
          </cell>
        </row>
        <row r="4703">
          <cell r="A4703" t="str">
            <v>217527</v>
          </cell>
          <cell r="B4703" t="str">
            <v>Te red FD JM/F PN-25 DN  800  600 (133159)</v>
          </cell>
          <cell r="C4703" t="str">
            <v>ud</v>
          </cell>
          <cell r="D4703">
            <v>0</v>
          </cell>
        </row>
        <row r="4704">
          <cell r="A4704" t="str">
            <v>217528</v>
          </cell>
          <cell r="B4704" t="str">
            <v xml:space="preserve">Te red FD JM/F PN-25 DN  900  200 </v>
          </cell>
          <cell r="C4704" t="str">
            <v>ud</v>
          </cell>
          <cell r="D4704">
            <v>0</v>
          </cell>
        </row>
        <row r="4705">
          <cell r="A4705" t="str">
            <v>217529</v>
          </cell>
          <cell r="B4705" t="str">
            <v xml:space="preserve">Te red FD JM/F PN-25 DN  900  400 </v>
          </cell>
          <cell r="C4705" t="str">
            <v>ud</v>
          </cell>
          <cell r="D4705">
            <v>0</v>
          </cell>
        </row>
        <row r="4706">
          <cell r="A4706" t="str">
            <v>217530</v>
          </cell>
          <cell r="B4706" t="str">
            <v xml:space="preserve">Te red FD JM/F PN-25 DN  900  600 </v>
          </cell>
          <cell r="C4706" t="str">
            <v>ud</v>
          </cell>
          <cell r="D4706">
            <v>0</v>
          </cell>
        </row>
        <row r="4707">
          <cell r="A4707" t="str">
            <v>217531</v>
          </cell>
          <cell r="B4707" t="str">
            <v xml:space="preserve">Te red FD JM/F PN-25 DN  900  800 </v>
          </cell>
          <cell r="C4707" t="str">
            <v>ud</v>
          </cell>
          <cell r="D4707">
            <v>0</v>
          </cell>
        </row>
        <row r="4708">
          <cell r="A4708" t="str">
            <v>217532</v>
          </cell>
          <cell r="B4708" t="str">
            <v xml:space="preserve">Te red FD JM/F PN-25 DN 1000 200 </v>
          </cell>
          <cell r="C4708" t="str">
            <v>ud</v>
          </cell>
          <cell r="D4708">
            <v>0</v>
          </cell>
        </row>
        <row r="4709">
          <cell r="A4709" t="str">
            <v>217533</v>
          </cell>
          <cell r="B4709" t="str">
            <v xml:space="preserve">Te red FD JM/F PN-25 DN 1000 400 </v>
          </cell>
          <cell r="C4709" t="str">
            <v>ud</v>
          </cell>
          <cell r="D4709">
            <v>0</v>
          </cell>
        </row>
        <row r="4710">
          <cell r="A4710" t="str">
            <v>217534</v>
          </cell>
          <cell r="B4710" t="str">
            <v xml:space="preserve">Te red FD JM/F PN-25 DN 1000 600 </v>
          </cell>
          <cell r="C4710" t="str">
            <v>ud</v>
          </cell>
          <cell r="D4710">
            <v>0</v>
          </cell>
        </row>
        <row r="4711">
          <cell r="A4711" t="str">
            <v>217535</v>
          </cell>
          <cell r="B4711" t="str">
            <v xml:space="preserve">Te red FD JM/F PN-25 DN 1000 800  </v>
          </cell>
          <cell r="C4711" t="str">
            <v>ud</v>
          </cell>
          <cell r="D4711">
            <v>0</v>
          </cell>
        </row>
        <row r="4712">
          <cell r="A4712" t="str">
            <v>217536</v>
          </cell>
          <cell r="B4712" t="str">
            <v xml:space="preserve">Te red FD JM/F PN-25 DN 1200 200 </v>
          </cell>
          <cell r="C4712" t="str">
            <v>ud</v>
          </cell>
          <cell r="D4712">
            <v>0</v>
          </cell>
        </row>
        <row r="4713">
          <cell r="A4713" t="str">
            <v>217537</v>
          </cell>
          <cell r="B4713" t="str">
            <v xml:space="preserve">Te red FD JM/F PN-25 DN 1200 400 </v>
          </cell>
          <cell r="C4713" t="str">
            <v>ud</v>
          </cell>
          <cell r="D4713">
            <v>0</v>
          </cell>
        </row>
        <row r="4714">
          <cell r="A4714" t="str">
            <v>217538</v>
          </cell>
          <cell r="B4714" t="str">
            <v xml:space="preserve">Te red FD JM/F PN-25 DN 1200 600 </v>
          </cell>
          <cell r="C4714" t="str">
            <v>ud</v>
          </cell>
          <cell r="D4714">
            <v>0</v>
          </cell>
        </row>
        <row r="4715">
          <cell r="A4715" t="str">
            <v>217539</v>
          </cell>
          <cell r="B4715" t="str">
            <v xml:space="preserve">Te red FD JM/F PN-25 DN 1200 800 </v>
          </cell>
          <cell r="C4715" t="str">
            <v>ud</v>
          </cell>
          <cell r="D4715">
            <v>0</v>
          </cell>
        </row>
        <row r="4716">
          <cell r="A4716" t="str">
            <v>217540</v>
          </cell>
          <cell r="B4716" t="str">
            <v xml:space="preserve">Te red FD JM/F PN-25 DN 1200 1000 </v>
          </cell>
          <cell r="C4716" t="str">
            <v>ud</v>
          </cell>
          <cell r="D4716">
            <v>0</v>
          </cell>
        </row>
        <row r="4717">
          <cell r="A4717" t="str">
            <v>2180</v>
          </cell>
          <cell r="B4717" t="str">
            <v>TOCO DE TUBO FD FLANGE/FLANGE</v>
          </cell>
        </row>
        <row r="4718">
          <cell r="A4718" t="str">
            <v>218001</v>
          </cell>
          <cell r="B4718" t="str">
            <v>Toco de tubo FD flange/flange PN-10/16/25 DN 50 comp = 0,25 m</v>
          </cell>
          <cell r="C4718" t="str">
            <v>ud</v>
          </cell>
          <cell r="D4718">
            <v>0</v>
          </cell>
          <cell r="E4718">
            <v>148.77000000000001</v>
          </cell>
          <cell r="F4718">
            <v>148.77000000000001</v>
          </cell>
        </row>
        <row r="4719">
          <cell r="A4719" t="str">
            <v>218002</v>
          </cell>
          <cell r="B4719" t="str">
            <v>Toco de tubo FD flange/flange PN-10/16/25 DN 50 comp = 0,50 m</v>
          </cell>
          <cell r="C4719" t="str">
            <v>ud</v>
          </cell>
          <cell r="D4719">
            <v>0</v>
          </cell>
          <cell r="E4719">
            <v>193.73</v>
          </cell>
          <cell r="F4719">
            <v>193.73</v>
          </cell>
        </row>
        <row r="4720">
          <cell r="A4720" t="str">
            <v>218003</v>
          </cell>
          <cell r="B4720" t="str">
            <v>Toco de tubo FD flange/flange PN-10/16 DN 75 comp = 0,25 m</v>
          </cell>
          <cell r="C4720" t="str">
            <v>ud</v>
          </cell>
          <cell r="D4720">
            <v>0</v>
          </cell>
          <cell r="E4720">
            <v>166.09</v>
          </cell>
          <cell r="F4720">
            <v>166.09</v>
          </cell>
        </row>
        <row r="4721">
          <cell r="A4721" t="str">
            <v>218004</v>
          </cell>
          <cell r="B4721" t="str">
            <v>Toco de tubo FD flange/flange PN-10/16 DN 75 comp = 0,50 m</v>
          </cell>
          <cell r="C4721" t="str">
            <v>ud</v>
          </cell>
          <cell r="D4721">
            <v>0</v>
          </cell>
          <cell r="E4721">
            <v>262.95</v>
          </cell>
          <cell r="F4721">
            <v>262.95</v>
          </cell>
        </row>
        <row r="4722">
          <cell r="A4722" t="str">
            <v>218005</v>
          </cell>
          <cell r="B4722" t="str">
            <v>Toco de tubo FD flange/flange PN-10/16 DN 75 comp = 1,00 m</v>
          </cell>
          <cell r="C4722" t="str">
            <v>ud</v>
          </cell>
          <cell r="D4722">
            <v>0</v>
          </cell>
          <cell r="E4722">
            <v>460.16</v>
          </cell>
          <cell r="F4722">
            <v>460.16</v>
          </cell>
        </row>
        <row r="4723">
          <cell r="A4723" t="str">
            <v>218006</v>
          </cell>
          <cell r="B4723" t="str">
            <v>Toco de tubo FD flange/flange PN-10/16/25 DN 80 comp = 0,25 m</v>
          </cell>
          <cell r="C4723" t="str">
            <v>ud</v>
          </cell>
          <cell r="D4723">
            <v>0</v>
          </cell>
          <cell r="E4723">
            <v>176.45</v>
          </cell>
          <cell r="F4723">
            <v>176.45</v>
          </cell>
        </row>
        <row r="4724">
          <cell r="A4724" t="str">
            <v>218007</v>
          </cell>
          <cell r="B4724" t="str">
            <v>Toco de tubo FD flange/flange PN-10/16/25 DN 80 comp = 0,50 m</v>
          </cell>
          <cell r="C4724" t="str">
            <v>ud</v>
          </cell>
          <cell r="D4724">
            <v>0</v>
          </cell>
          <cell r="E4724">
            <v>236.29</v>
          </cell>
          <cell r="F4724">
            <v>236.29</v>
          </cell>
        </row>
        <row r="4725">
          <cell r="A4725" t="str">
            <v>218008</v>
          </cell>
          <cell r="B4725" t="str">
            <v>Toco de tubo FD flange/flange PN-10/16/25 DN 80 comp = 1,00 m</v>
          </cell>
          <cell r="C4725" t="str">
            <v>ud</v>
          </cell>
          <cell r="D4725">
            <v>0</v>
          </cell>
          <cell r="E4725">
            <v>413.5</v>
          </cell>
          <cell r="F4725">
            <v>413.5</v>
          </cell>
        </row>
        <row r="4726">
          <cell r="A4726" t="str">
            <v>218009</v>
          </cell>
          <cell r="B4726" t="str">
            <v>Toco de tubo FD flange/flange PN-10/16/25 DN 80 comp = 1,50 m</v>
          </cell>
          <cell r="C4726" t="str">
            <v>ud</v>
          </cell>
          <cell r="D4726">
            <v>0</v>
          </cell>
          <cell r="E4726">
            <v>707.73</v>
          </cell>
          <cell r="F4726">
            <v>707.73</v>
          </cell>
        </row>
        <row r="4727">
          <cell r="A4727" t="str">
            <v>218010</v>
          </cell>
          <cell r="B4727" t="str">
            <v>Toco de tubo FD flange/flange PN-10/16/25 DN 80 comp = 2,00 m</v>
          </cell>
          <cell r="C4727" t="str">
            <v>ud</v>
          </cell>
          <cell r="D4727">
            <v>0</v>
          </cell>
          <cell r="E4727">
            <v>846.22</v>
          </cell>
          <cell r="F4727">
            <v>846.22</v>
          </cell>
        </row>
        <row r="4728">
          <cell r="A4728" t="str">
            <v>218011</v>
          </cell>
          <cell r="B4728" t="str">
            <v>Toco de tubo FD flange/flange PN-10/16/25 DN 80 comp = 2,50 m</v>
          </cell>
          <cell r="C4728" t="str">
            <v>ud</v>
          </cell>
          <cell r="D4728">
            <v>0</v>
          </cell>
          <cell r="E4728">
            <v>984.7</v>
          </cell>
          <cell r="F4728">
            <v>984.7</v>
          </cell>
        </row>
        <row r="4729">
          <cell r="A4729" t="str">
            <v>218012</v>
          </cell>
          <cell r="B4729" t="str">
            <v>Toco de tubo FD flange/flange PN-10/16/25 DN 80 comp = 3,00 m</v>
          </cell>
          <cell r="C4729" t="str">
            <v>ud</v>
          </cell>
          <cell r="D4729">
            <v>0</v>
          </cell>
          <cell r="E4729">
            <v>1125.19</v>
          </cell>
          <cell r="F4729">
            <v>1125.19</v>
          </cell>
        </row>
        <row r="4730">
          <cell r="A4730" t="str">
            <v>218013</v>
          </cell>
          <cell r="B4730" t="str">
            <v>Toco de tubo FD flange/flange PN-10/16/25 DN 80 comp = 3,50 m</v>
          </cell>
          <cell r="C4730" t="str">
            <v>ud</v>
          </cell>
          <cell r="D4730">
            <v>0</v>
          </cell>
          <cell r="E4730">
            <v>1234.45</v>
          </cell>
          <cell r="F4730">
            <v>1234.45</v>
          </cell>
        </row>
        <row r="4731">
          <cell r="A4731" t="str">
            <v>218014</v>
          </cell>
          <cell r="B4731" t="str">
            <v>Toco de tubo FD flange/flange PN-10/16/25 DN 80 comp = 4,00 m</v>
          </cell>
          <cell r="C4731" t="str">
            <v>ud</v>
          </cell>
          <cell r="D4731">
            <v>0</v>
          </cell>
          <cell r="E4731">
            <v>1327.38</v>
          </cell>
          <cell r="F4731">
            <v>1327.38</v>
          </cell>
        </row>
        <row r="4732">
          <cell r="A4732" t="str">
            <v>218015</v>
          </cell>
          <cell r="B4732" t="str">
            <v>Toco de tubo FD flange/flange PN-10/16/25 DN 80 comp = 4,50 m</v>
          </cell>
          <cell r="C4732" t="str">
            <v>ud</v>
          </cell>
          <cell r="D4732">
            <v>0</v>
          </cell>
          <cell r="E4732">
            <v>1420.29</v>
          </cell>
          <cell r="F4732">
            <v>1420.29</v>
          </cell>
        </row>
        <row r="4733">
          <cell r="A4733" t="str">
            <v>218016</v>
          </cell>
          <cell r="B4733" t="str">
            <v>Toco de tubo FD flange/flange PN-10/16/25 DN 80 comp = 5,00 m</v>
          </cell>
          <cell r="C4733" t="str">
            <v>ud</v>
          </cell>
          <cell r="D4733">
            <v>0</v>
          </cell>
          <cell r="E4733">
            <v>1584.33</v>
          </cell>
          <cell r="F4733">
            <v>1584.33</v>
          </cell>
        </row>
        <row r="4734">
          <cell r="A4734" t="str">
            <v>218017</v>
          </cell>
          <cell r="B4734" t="str">
            <v>Toco de tubo FD flange/flange PN-10/16/25 DN 80 comp = 5,50 m</v>
          </cell>
          <cell r="C4734" t="str">
            <v>ud</v>
          </cell>
          <cell r="D4734">
            <v>0</v>
          </cell>
          <cell r="E4734">
            <v>1610.12</v>
          </cell>
          <cell r="F4734">
            <v>1610.12</v>
          </cell>
        </row>
        <row r="4735">
          <cell r="A4735" t="str">
            <v>218018</v>
          </cell>
          <cell r="B4735" t="str">
            <v>Toco de tubo FD flange/flange PN-10/16/25 DN 80 comp = 5,80 m</v>
          </cell>
          <cell r="C4735" t="str">
            <v>ud</v>
          </cell>
          <cell r="D4735">
            <v>0</v>
          </cell>
          <cell r="E4735">
            <v>1622.76</v>
          </cell>
          <cell r="F4735">
            <v>1622.76</v>
          </cell>
        </row>
        <row r="4736">
          <cell r="A4736" t="str">
            <v>218019</v>
          </cell>
          <cell r="B4736" t="str">
            <v>Toco de tubo FD flange/flange PN-10/16 DN 100 comp = 0,25 m</v>
          </cell>
          <cell r="C4736" t="str">
            <v>ud</v>
          </cell>
          <cell r="D4736">
            <v>0</v>
          </cell>
          <cell r="E4736">
            <v>193.73</v>
          </cell>
          <cell r="F4736">
            <v>193.73</v>
          </cell>
        </row>
        <row r="4737">
          <cell r="A4737" t="str">
            <v>218020</v>
          </cell>
          <cell r="B4737" t="str">
            <v>Toco de tubo FD flange/flange PN-10/16 DN 100 comp = 0,50 m</v>
          </cell>
          <cell r="C4737" t="str">
            <v>ud</v>
          </cell>
          <cell r="D4737">
            <v>0</v>
          </cell>
          <cell r="E4737">
            <v>304.43</v>
          </cell>
          <cell r="F4737">
            <v>304.43</v>
          </cell>
        </row>
        <row r="4738">
          <cell r="A4738" t="str">
            <v>218021</v>
          </cell>
          <cell r="B4738" t="str">
            <v>Toco de tubo FD flange/flange PN-10/16 DN 100 comp = 1,00 m</v>
          </cell>
          <cell r="C4738" t="str">
            <v>ud</v>
          </cell>
          <cell r="D4738">
            <v>0</v>
          </cell>
          <cell r="E4738">
            <v>611.75</v>
          </cell>
          <cell r="F4738">
            <v>611.75</v>
          </cell>
        </row>
        <row r="4739">
          <cell r="A4739" t="str">
            <v>218022</v>
          </cell>
          <cell r="B4739" t="str">
            <v>Toco de tubo FD flange/flange PN-10/16 DN 100 comp = 1,50 m</v>
          </cell>
          <cell r="C4739" t="str">
            <v>ud</v>
          </cell>
          <cell r="D4739">
            <v>0</v>
          </cell>
          <cell r="E4739">
            <v>757.5</v>
          </cell>
          <cell r="F4739">
            <v>757.5</v>
          </cell>
        </row>
        <row r="4740">
          <cell r="A4740" t="str">
            <v>218023</v>
          </cell>
          <cell r="B4740" t="str">
            <v>Toco de tubo FD flange/flange PN-10/16 DN 100 comp = 2,00 m</v>
          </cell>
          <cell r="C4740" t="str">
            <v>ud</v>
          </cell>
          <cell r="D4740">
            <v>0</v>
          </cell>
          <cell r="E4740">
            <v>898.52</v>
          </cell>
          <cell r="F4740">
            <v>898.52</v>
          </cell>
        </row>
        <row r="4741">
          <cell r="A4741" t="str">
            <v>218024</v>
          </cell>
          <cell r="B4741" t="str">
            <v>Toco de tubo FD flange/flange PN-10/16 DN 100 comp = 2,50 m</v>
          </cell>
          <cell r="C4741" t="str">
            <v>ud</v>
          </cell>
          <cell r="D4741">
            <v>0</v>
          </cell>
          <cell r="E4741">
            <v>1039.55</v>
          </cell>
          <cell r="F4741">
            <v>1039.55</v>
          </cell>
        </row>
        <row r="4742">
          <cell r="A4742" t="str">
            <v>218025</v>
          </cell>
          <cell r="B4742" t="str">
            <v>Toco de tubo FD flange/flange PN-10/16 DN 100 comp = 3,00 m</v>
          </cell>
          <cell r="C4742" t="str">
            <v>ud</v>
          </cell>
          <cell r="D4742">
            <v>0</v>
          </cell>
          <cell r="E4742">
            <v>1180.57</v>
          </cell>
          <cell r="F4742">
            <v>1180.57</v>
          </cell>
        </row>
        <row r="4743">
          <cell r="A4743" t="str">
            <v>218026</v>
          </cell>
          <cell r="B4743" t="str">
            <v>Toco de tubo FD flange/flange PN-10/16 DN 100 comp = 3,50 m</v>
          </cell>
          <cell r="C4743" t="str">
            <v>ud</v>
          </cell>
          <cell r="D4743">
            <v>0</v>
          </cell>
          <cell r="E4743">
            <v>1321.6</v>
          </cell>
          <cell r="F4743">
            <v>1321.6</v>
          </cell>
        </row>
        <row r="4744">
          <cell r="A4744" t="str">
            <v>218027</v>
          </cell>
          <cell r="B4744" t="str">
            <v>Toco de tubo FD flange/flange PN-10/16 DN 100 comp = 4,00 m</v>
          </cell>
          <cell r="C4744" t="str">
            <v>ud</v>
          </cell>
          <cell r="D4744">
            <v>0</v>
          </cell>
          <cell r="E4744">
            <v>1449.3</v>
          </cell>
          <cell r="F4744">
            <v>1449.3</v>
          </cell>
        </row>
        <row r="4745">
          <cell r="A4745" t="str">
            <v>218028</v>
          </cell>
          <cell r="B4745" t="str">
            <v>Toco de tubo FD flange/flange PN-10/16 DN 100 comp = 4,50 m</v>
          </cell>
          <cell r="C4745" t="str">
            <v>ud</v>
          </cell>
          <cell r="D4745">
            <v>0</v>
          </cell>
          <cell r="E4745">
            <v>1549.24</v>
          </cell>
          <cell r="F4745">
            <v>1549.24</v>
          </cell>
        </row>
        <row r="4746">
          <cell r="A4746" t="str">
            <v>218029</v>
          </cell>
          <cell r="B4746" t="str">
            <v>Toco de tubo FD flange/flange PN-10/16 DN 100 comp = 5,00 m</v>
          </cell>
          <cell r="C4746" t="str">
            <v>ud</v>
          </cell>
          <cell r="D4746">
            <v>0</v>
          </cell>
          <cell r="E4746">
            <v>1720.58</v>
          </cell>
          <cell r="F4746">
            <v>1720.58</v>
          </cell>
        </row>
        <row r="4747">
          <cell r="A4747" t="str">
            <v>218030</v>
          </cell>
          <cell r="B4747" t="str">
            <v>Toco de tubo FD flange/flange PN-10/16 DN 100 comp = 5,50 m</v>
          </cell>
          <cell r="C4747" t="str">
            <v>ud</v>
          </cell>
          <cell r="D4747">
            <v>0</v>
          </cell>
          <cell r="E4747">
            <v>1749.57</v>
          </cell>
          <cell r="F4747">
            <v>1749.57</v>
          </cell>
        </row>
        <row r="4748">
          <cell r="A4748" t="str">
            <v>218031</v>
          </cell>
          <cell r="B4748" t="str">
            <v>Toco de tubo FD flange/flange PN-10/16 DN 100 comp = 5,80 m</v>
          </cell>
          <cell r="C4748" t="str">
            <v>ud</v>
          </cell>
          <cell r="D4748">
            <v>0</v>
          </cell>
          <cell r="E4748">
            <v>1765.7</v>
          </cell>
          <cell r="F4748">
            <v>1765.7</v>
          </cell>
        </row>
        <row r="4749">
          <cell r="A4749" t="str">
            <v>218032</v>
          </cell>
          <cell r="B4749" t="str">
            <v>Toco de tubo FD flange/flange PN-10/16 DN 150 comp = 0,25 m</v>
          </cell>
          <cell r="C4749" t="str">
            <v>ud</v>
          </cell>
          <cell r="D4749">
            <v>0</v>
          </cell>
          <cell r="E4749">
            <v>307.89999999999998</v>
          </cell>
          <cell r="F4749">
            <v>307.89999999999998</v>
          </cell>
        </row>
        <row r="4750">
          <cell r="A4750" t="str">
            <v>218033</v>
          </cell>
          <cell r="B4750" t="str">
            <v>Toco de tubo FD flange/flange PN-10/16 DN 150 comp = 0,50 m</v>
          </cell>
          <cell r="C4750" t="str">
            <v>ud</v>
          </cell>
          <cell r="D4750">
            <v>0</v>
          </cell>
          <cell r="E4750">
            <v>435.02</v>
          </cell>
          <cell r="F4750">
            <v>435.02</v>
          </cell>
        </row>
        <row r="4751">
          <cell r="A4751" t="str">
            <v>218034</v>
          </cell>
          <cell r="B4751" t="str">
            <v>Toco de tubo FD flange/flange PN-10/16 DN 150 comp = 1,00 m</v>
          </cell>
          <cell r="C4751" t="str">
            <v>ud</v>
          </cell>
          <cell r="D4751">
            <v>0</v>
          </cell>
          <cell r="E4751">
            <v>743.26</v>
          </cell>
          <cell r="F4751">
            <v>743.26</v>
          </cell>
        </row>
        <row r="4752">
          <cell r="A4752" t="str">
            <v>218035</v>
          </cell>
          <cell r="B4752" t="str">
            <v>Toco de tubo FD flange/flange PN-10/16 DN 150 comp = 1,50 m</v>
          </cell>
          <cell r="C4752" t="str">
            <v>ud</v>
          </cell>
          <cell r="D4752">
            <v>0</v>
          </cell>
          <cell r="E4752">
            <v>977</v>
          </cell>
          <cell r="F4752">
            <v>977</v>
          </cell>
        </row>
        <row r="4753">
          <cell r="A4753" t="str">
            <v>218036</v>
          </cell>
          <cell r="B4753" t="str">
            <v>Toco de tubo FD flange/flange PN-10/16 DN 150 comp = 2,00 m</v>
          </cell>
          <cell r="C4753" t="str">
            <v>ud</v>
          </cell>
          <cell r="D4753">
            <v>0</v>
          </cell>
          <cell r="E4753">
            <v>1140.9000000000001</v>
          </cell>
          <cell r="F4753">
            <v>1140.9000000000001</v>
          </cell>
        </row>
        <row r="4754">
          <cell r="A4754" t="str">
            <v>218037</v>
          </cell>
          <cell r="B4754" t="str">
            <v>Toco de tubo FD flange/flange PN-10/16 DN 150 comp = 2,50 m</v>
          </cell>
          <cell r="C4754" t="str">
            <v>ud</v>
          </cell>
          <cell r="D4754">
            <v>0</v>
          </cell>
          <cell r="E4754">
            <v>1304.79</v>
          </cell>
          <cell r="F4754">
            <v>1304.79</v>
          </cell>
        </row>
        <row r="4755">
          <cell r="A4755" t="str">
            <v>218038</v>
          </cell>
          <cell r="B4755" t="str">
            <v>Toco de tubo FD flange/flange PN-10/16 DN 150 comp = 3,00 m</v>
          </cell>
          <cell r="C4755" t="str">
            <v>ud</v>
          </cell>
          <cell r="D4755">
            <v>0</v>
          </cell>
          <cell r="E4755">
            <v>1468.69</v>
          </cell>
          <cell r="F4755">
            <v>1468.69</v>
          </cell>
        </row>
        <row r="4756">
          <cell r="A4756" t="str">
            <v>218039</v>
          </cell>
          <cell r="B4756" t="str">
            <v>Toco de tubo FD flange/flange PN-10/16 DN 150 comp = 3,50 m</v>
          </cell>
          <cell r="C4756" t="str">
            <v>ud</v>
          </cell>
          <cell r="D4756">
            <v>0</v>
          </cell>
          <cell r="E4756">
            <v>1632.58</v>
          </cell>
          <cell r="F4756">
            <v>1632.58</v>
          </cell>
        </row>
        <row r="4757">
          <cell r="A4757" t="str">
            <v>218040</v>
          </cell>
          <cell r="B4757" t="str">
            <v>Toco de tubo FD flange/flange PN-10/16 DN 150 comp = 4,00 m</v>
          </cell>
          <cell r="C4757" t="str">
            <v>ud</v>
          </cell>
          <cell r="D4757">
            <v>0</v>
          </cell>
          <cell r="E4757">
            <v>1796.47</v>
          </cell>
          <cell r="F4757">
            <v>1796.47</v>
          </cell>
        </row>
        <row r="4758">
          <cell r="A4758" t="str">
            <v>218041</v>
          </cell>
          <cell r="B4758" t="str">
            <v>Toco de tubo FD flange/flange PN-10/16 DN 150 comp = 4,50 m</v>
          </cell>
          <cell r="C4758" t="str">
            <v>ud</v>
          </cell>
          <cell r="D4758">
            <v>0</v>
          </cell>
          <cell r="E4758">
            <v>1950.62</v>
          </cell>
          <cell r="F4758">
            <v>1950.62</v>
          </cell>
        </row>
        <row r="4759">
          <cell r="A4759" t="str">
            <v>218042</v>
          </cell>
          <cell r="B4759" t="str">
            <v>Toco de tubo FD flange/flange PN-10/16 DN 150 comp = 5,00 m</v>
          </cell>
          <cell r="C4759" t="str">
            <v>ud</v>
          </cell>
          <cell r="D4759">
            <v>0</v>
          </cell>
          <cell r="E4759">
            <v>2124.2600000000002</v>
          </cell>
          <cell r="F4759">
            <v>2124.2600000000002</v>
          </cell>
        </row>
        <row r="4760">
          <cell r="A4760" t="str">
            <v>218043</v>
          </cell>
          <cell r="B4760" t="str">
            <v>Toco de tubo FD flange/flange PN-10/16 DN 150 comp = 5,50 m</v>
          </cell>
          <cell r="C4760" t="str">
            <v>ud</v>
          </cell>
          <cell r="D4760">
            <v>0</v>
          </cell>
          <cell r="E4760">
            <v>2209.23</v>
          </cell>
          <cell r="F4760">
            <v>2209.23</v>
          </cell>
        </row>
        <row r="4761">
          <cell r="A4761" t="str">
            <v>218044</v>
          </cell>
          <cell r="B4761" t="str">
            <v>Toco de tubo FD flange/flange PN-10/16 DN 150 comp = 5,80 m</v>
          </cell>
          <cell r="C4761" t="str">
            <v>ud</v>
          </cell>
          <cell r="D4761">
            <v>0</v>
          </cell>
          <cell r="E4761">
            <v>2386.4899999999998</v>
          </cell>
          <cell r="F4761">
            <v>2386.4899999999998</v>
          </cell>
        </row>
        <row r="4762">
          <cell r="A4762" t="str">
            <v>218045</v>
          </cell>
          <cell r="B4762" t="str">
            <v>Toco de tubo FD flange/flange PN-10/16 DN 200 comp = 0,25 m</v>
          </cell>
          <cell r="C4762" t="str">
            <v>ud</v>
          </cell>
          <cell r="D4762">
            <v>0</v>
          </cell>
          <cell r="E4762">
            <v>435.02</v>
          </cell>
          <cell r="F4762">
            <v>435.02</v>
          </cell>
        </row>
        <row r="4763">
          <cell r="A4763" t="str">
            <v>218046</v>
          </cell>
          <cell r="B4763" t="str">
            <v>Toco de tubo FD flange/flange PN-10/16 DN 200 comp = 0,50 m</v>
          </cell>
          <cell r="C4763" t="str">
            <v>ud</v>
          </cell>
          <cell r="D4763">
            <v>0</v>
          </cell>
          <cell r="E4763">
            <v>560.45000000000005</v>
          </cell>
          <cell r="F4763">
            <v>560.45000000000005</v>
          </cell>
        </row>
        <row r="4764">
          <cell r="A4764" t="str">
            <v>218047</v>
          </cell>
          <cell r="B4764" t="str">
            <v>Toco de tubo FD flange/flange PN-10/16 DN 200 comp = 1,00 m</v>
          </cell>
          <cell r="C4764" t="str">
            <v>ud</v>
          </cell>
          <cell r="D4764">
            <v>0</v>
          </cell>
          <cell r="E4764">
            <v>965.2</v>
          </cell>
          <cell r="F4764">
            <v>965.2</v>
          </cell>
        </row>
        <row r="4765">
          <cell r="A4765" t="str">
            <v>218048</v>
          </cell>
          <cell r="B4765" t="str">
            <v>Toco de tubo FD flange/flange PN-10/16 DN 200 comp = 1,50 m</v>
          </cell>
          <cell r="C4765" t="str">
            <v>ud</v>
          </cell>
          <cell r="D4765">
            <v>0</v>
          </cell>
          <cell r="E4765">
            <v>1243.3399999999999</v>
          </cell>
          <cell r="F4765">
            <v>1243.3399999999999</v>
          </cell>
        </row>
        <row r="4766">
          <cell r="A4766" t="str">
            <v>218049</v>
          </cell>
          <cell r="B4766" t="str">
            <v>Toco de tubo FD flange/flange PN-10/16 DN 200 comp = 2,00 m</v>
          </cell>
          <cell r="C4766" t="str">
            <v>ud</v>
          </cell>
          <cell r="D4766">
            <v>0</v>
          </cell>
          <cell r="E4766">
            <v>1446.62</v>
          </cell>
          <cell r="F4766">
            <v>1446.62</v>
          </cell>
        </row>
        <row r="4767">
          <cell r="A4767" t="str">
            <v>218050</v>
          </cell>
          <cell r="B4767" t="str">
            <v>Toco de tubo FD flange/flange PN-10/16 DN 200 comp = 2,50 m</v>
          </cell>
          <cell r="C4767" t="str">
            <v>ud</v>
          </cell>
          <cell r="D4767">
            <v>0</v>
          </cell>
          <cell r="E4767">
            <v>1649.9</v>
          </cell>
          <cell r="F4767">
            <v>1649.9</v>
          </cell>
        </row>
        <row r="4768">
          <cell r="A4768" t="str">
            <v>218051</v>
          </cell>
          <cell r="B4768" t="str">
            <v>Toco de tubo FD flange/flange PN-10/16 DN 200 comp = 3,00 m</v>
          </cell>
          <cell r="C4768" t="str">
            <v>ud</v>
          </cell>
          <cell r="D4768">
            <v>0</v>
          </cell>
          <cell r="E4768">
            <v>1853.18</v>
          </cell>
          <cell r="F4768">
            <v>1853.18</v>
          </cell>
        </row>
        <row r="4769">
          <cell r="A4769" t="str">
            <v>218052</v>
          </cell>
          <cell r="B4769" t="str">
            <v>Toco de tubo FD flange/flange PN-10/16 DN 200 comp = 3,50 m</v>
          </cell>
          <cell r="C4769" t="str">
            <v>ud</v>
          </cell>
          <cell r="D4769">
            <v>0</v>
          </cell>
          <cell r="E4769">
            <v>2056.46</v>
          </cell>
          <cell r="F4769">
            <v>2056.46</v>
          </cell>
        </row>
        <row r="4770">
          <cell r="A4770" t="str">
            <v>218053</v>
          </cell>
          <cell r="B4770" t="str">
            <v>Toco de tubo FD flange/flange PN-10/16 DN 200 comp = 4,00 m</v>
          </cell>
          <cell r="C4770" t="str">
            <v>ud</v>
          </cell>
          <cell r="D4770">
            <v>0</v>
          </cell>
          <cell r="E4770">
            <v>2259.7399999999998</v>
          </cell>
          <cell r="F4770">
            <v>2259.7399999999998</v>
          </cell>
        </row>
        <row r="4771">
          <cell r="A4771" t="str">
            <v>218054</v>
          </cell>
          <cell r="B4771" t="str">
            <v>Toco de tubo FD flange/flange PN-10/16 DN 200 comp = 4,50 m</v>
          </cell>
          <cell r="C4771" t="str">
            <v>ud</v>
          </cell>
          <cell r="D4771">
            <v>0</v>
          </cell>
          <cell r="E4771">
            <v>2430.58</v>
          </cell>
          <cell r="F4771">
            <v>2430.58</v>
          </cell>
        </row>
        <row r="4772">
          <cell r="A4772" t="str">
            <v>218055</v>
          </cell>
          <cell r="B4772" t="str">
            <v>Toco de tubo FD flange/flange PN-10/16 DN 200 comp = 5,00 m</v>
          </cell>
          <cell r="C4772" t="str">
            <v>ud</v>
          </cell>
          <cell r="D4772">
            <v>0</v>
          </cell>
          <cell r="E4772">
            <v>2666.3</v>
          </cell>
          <cell r="F4772">
            <v>2666.3</v>
          </cell>
        </row>
        <row r="4773">
          <cell r="A4773" t="str">
            <v>218056</v>
          </cell>
          <cell r="B4773" t="str">
            <v>Toco de tubo FD flange/flange PN-10/16 DN 200 comp = 5,50 m</v>
          </cell>
          <cell r="C4773" t="str">
            <v>ud</v>
          </cell>
          <cell r="D4773">
            <v>0</v>
          </cell>
          <cell r="E4773">
            <v>2765.23</v>
          </cell>
          <cell r="F4773">
            <v>2765.23</v>
          </cell>
        </row>
        <row r="4774">
          <cell r="A4774" t="str">
            <v>218057</v>
          </cell>
          <cell r="B4774" t="str">
            <v>Toco de tubo FD flange/flange PN-10/16 DN 200 comp = 5,80 m</v>
          </cell>
          <cell r="C4774" t="str">
            <v>ud</v>
          </cell>
          <cell r="D4774">
            <v>0</v>
          </cell>
          <cell r="E4774">
            <v>2991.54</v>
          </cell>
          <cell r="F4774">
            <v>2991.54</v>
          </cell>
        </row>
        <row r="4775">
          <cell r="A4775" t="str">
            <v>218058</v>
          </cell>
          <cell r="B4775" t="str">
            <v>Toco de tubo FD flange/flange PN-10/16 DN 250 comp = 0,25 m</v>
          </cell>
          <cell r="C4775" t="str">
            <v>ud</v>
          </cell>
          <cell r="D4775">
            <v>0</v>
          </cell>
          <cell r="E4775">
            <v>679.72</v>
          </cell>
          <cell r="F4775">
            <v>679.72</v>
          </cell>
        </row>
        <row r="4776">
          <cell r="A4776" t="str">
            <v>218059</v>
          </cell>
          <cell r="B4776" t="str">
            <v>Toco de tubo FD flange/flange PN-10/16 DN 250 comp = 0,50 m</v>
          </cell>
          <cell r="C4776" t="str">
            <v>ud</v>
          </cell>
          <cell r="D4776">
            <v>0</v>
          </cell>
          <cell r="E4776">
            <v>815.66</v>
          </cell>
          <cell r="F4776">
            <v>815.66</v>
          </cell>
        </row>
        <row r="4777">
          <cell r="A4777" t="str">
            <v>218060</v>
          </cell>
          <cell r="B4777" t="str">
            <v>Toco de tubo FD flange/flange PN-10/16 DN 250 comp = 1,00 m</v>
          </cell>
          <cell r="C4777" t="str">
            <v>ud</v>
          </cell>
          <cell r="D4777">
            <v>0</v>
          </cell>
          <cell r="E4777">
            <v>1087.55</v>
          </cell>
          <cell r="F4777">
            <v>1087.55</v>
          </cell>
        </row>
        <row r="4778">
          <cell r="A4778" t="str">
            <v>218061</v>
          </cell>
          <cell r="B4778" t="str">
            <v>Toco de tubo FD flange/flange PN-10/16 DN 250 comp = 1,50 m</v>
          </cell>
          <cell r="C4778" t="str">
            <v>ud</v>
          </cell>
          <cell r="D4778">
            <v>0</v>
          </cell>
          <cell r="E4778">
            <v>1699.22</v>
          </cell>
          <cell r="F4778">
            <v>1699.22</v>
          </cell>
        </row>
        <row r="4779">
          <cell r="A4779" t="str">
            <v>218062</v>
          </cell>
          <cell r="B4779" t="str">
            <v>Toco de tubo FD flange/flange PN-10/16 DN 250 comp = 2,00 m</v>
          </cell>
          <cell r="C4779" t="str">
            <v>ud</v>
          </cell>
          <cell r="D4779">
            <v>0</v>
          </cell>
          <cell r="E4779">
            <v>1927.67</v>
          </cell>
          <cell r="F4779">
            <v>1927.67</v>
          </cell>
        </row>
        <row r="4780">
          <cell r="A4780" t="str">
            <v>218063</v>
          </cell>
          <cell r="B4780" t="str">
            <v>Toco de tubo FD flange/flange PN-10/16 DN 250 comp = 2,50 m</v>
          </cell>
          <cell r="C4780" t="str">
            <v>ud</v>
          </cell>
          <cell r="D4780">
            <v>0</v>
          </cell>
          <cell r="E4780">
            <v>2204.88</v>
          </cell>
          <cell r="F4780">
            <v>2204.88</v>
          </cell>
        </row>
        <row r="4781">
          <cell r="A4781" t="str">
            <v>218064</v>
          </cell>
          <cell r="B4781" t="str">
            <v>Toco de tubo FD flange/flange PN-10/16 DN 250 comp = 3,00 m</v>
          </cell>
          <cell r="C4781" t="str">
            <v>ud</v>
          </cell>
          <cell r="D4781">
            <v>0</v>
          </cell>
          <cell r="E4781">
            <v>2347.86</v>
          </cell>
          <cell r="F4781">
            <v>2347.86</v>
          </cell>
        </row>
        <row r="4782">
          <cell r="A4782" t="str">
            <v>218065</v>
          </cell>
          <cell r="B4782" t="str">
            <v>Toco de tubo FD flange/flange PN-10/16 DN 250 comp = 3,50 m</v>
          </cell>
          <cell r="C4782" t="str">
            <v>ud</v>
          </cell>
          <cell r="D4782">
            <v>0</v>
          </cell>
          <cell r="E4782">
            <v>2559.63</v>
          </cell>
          <cell r="F4782">
            <v>2559.63</v>
          </cell>
        </row>
        <row r="4783">
          <cell r="A4783" t="str">
            <v>218066</v>
          </cell>
          <cell r="B4783" t="str">
            <v>Toco de tubo FD flange/flange PN-10/16 DN 250 comp = 4,00 m</v>
          </cell>
          <cell r="C4783" t="str">
            <v>ud</v>
          </cell>
          <cell r="D4783">
            <v>0</v>
          </cell>
          <cell r="E4783">
            <v>2768.1</v>
          </cell>
          <cell r="F4783">
            <v>2768.1</v>
          </cell>
        </row>
        <row r="4784">
          <cell r="A4784" t="str">
            <v>218067</v>
          </cell>
          <cell r="B4784" t="str">
            <v>Toco de tubo FD flange/flange PN-10/16 DN 250 comp = 4,50 m</v>
          </cell>
          <cell r="C4784" t="str">
            <v>ud</v>
          </cell>
          <cell r="D4784">
            <v>0</v>
          </cell>
          <cell r="E4784">
            <v>2979.88</v>
          </cell>
          <cell r="F4784">
            <v>2979.88</v>
          </cell>
        </row>
        <row r="4785">
          <cell r="A4785" t="str">
            <v>218068</v>
          </cell>
          <cell r="B4785" t="str">
            <v>Toco de tubo FD flange/flange PN-10/16 DN 250 comp = 5,00 m</v>
          </cell>
          <cell r="C4785" t="str">
            <v>ud</v>
          </cell>
          <cell r="D4785">
            <v>0</v>
          </cell>
          <cell r="E4785">
            <v>3320.86</v>
          </cell>
          <cell r="F4785">
            <v>3320.86</v>
          </cell>
        </row>
        <row r="4786">
          <cell r="A4786" t="str">
            <v>218069</v>
          </cell>
          <cell r="B4786" t="str">
            <v>Toco de tubo FD flange/flange PN-10/16 DN 250 comp = 5,50 m</v>
          </cell>
          <cell r="C4786" t="str">
            <v>ud</v>
          </cell>
          <cell r="D4786">
            <v>0</v>
          </cell>
          <cell r="E4786">
            <v>3401.22</v>
          </cell>
          <cell r="F4786">
            <v>3401.22</v>
          </cell>
        </row>
        <row r="4787">
          <cell r="A4787" t="str">
            <v>218070</v>
          </cell>
          <cell r="B4787" t="str">
            <v>Toco de tubo FD flange/flange PN-10/16 DN 250 comp = 5,80 m</v>
          </cell>
          <cell r="C4787" t="str">
            <v>ud</v>
          </cell>
          <cell r="D4787">
            <v>0</v>
          </cell>
          <cell r="E4787">
            <v>3449.5</v>
          </cell>
          <cell r="F4787">
            <v>3449.5</v>
          </cell>
        </row>
        <row r="4788">
          <cell r="A4788" t="str">
            <v>218071</v>
          </cell>
          <cell r="B4788" t="str">
            <v>Toco de tubo FD flange/flange PN-10/16 DN 300 comp = 0,25 m</v>
          </cell>
          <cell r="C4788" t="str">
            <v>ud</v>
          </cell>
          <cell r="D4788">
            <v>0</v>
          </cell>
          <cell r="E4788">
            <v>883.63</v>
          </cell>
          <cell r="F4788">
            <v>883.63</v>
          </cell>
        </row>
        <row r="4789">
          <cell r="A4789" t="str">
            <v>218072</v>
          </cell>
          <cell r="B4789" t="str">
            <v>Toco de tubo FD flange/flange PN-10/16 DN 300 comp = 0,50 m</v>
          </cell>
          <cell r="C4789" t="str">
            <v>ud</v>
          </cell>
          <cell r="D4789">
            <v>0</v>
          </cell>
          <cell r="E4789">
            <v>909.88</v>
          </cell>
          <cell r="F4789">
            <v>909.88</v>
          </cell>
        </row>
        <row r="4790">
          <cell r="A4790" t="str">
            <v>218073</v>
          </cell>
          <cell r="B4790" t="str">
            <v>Toco de tubo FD flange/flange PN-10/16 DN 300 comp = 1,00 m</v>
          </cell>
          <cell r="C4790" t="str">
            <v>ud</v>
          </cell>
          <cell r="D4790">
            <v>0</v>
          </cell>
          <cell r="E4790">
            <v>1495.38</v>
          </cell>
          <cell r="F4790">
            <v>1495.38</v>
          </cell>
        </row>
        <row r="4791">
          <cell r="A4791" t="str">
            <v>218074</v>
          </cell>
          <cell r="B4791" t="str">
            <v>Toco de tubo FD flange/flange PN-10/16 DN 300 comp = 1,50 m</v>
          </cell>
          <cell r="C4791" t="str">
            <v>ud</v>
          </cell>
          <cell r="D4791">
            <v>0</v>
          </cell>
          <cell r="E4791">
            <v>2096.2399999999998</v>
          </cell>
          <cell r="F4791">
            <v>2096.2399999999998</v>
          </cell>
        </row>
        <row r="4792">
          <cell r="A4792" t="str">
            <v>218075</v>
          </cell>
          <cell r="B4792" t="str">
            <v>Toco de tubo FD flange/flange PN-10/16 DN 300 comp = 2,00 m</v>
          </cell>
          <cell r="C4792" t="str">
            <v>ud</v>
          </cell>
          <cell r="D4792">
            <v>0</v>
          </cell>
          <cell r="E4792">
            <v>2350.1</v>
          </cell>
          <cell r="F4792">
            <v>2350.1</v>
          </cell>
        </row>
        <row r="4793">
          <cell r="A4793" t="str">
            <v>218076</v>
          </cell>
          <cell r="B4793" t="str">
            <v>Toco de tubo FD flange/flange PN-10/16 DN 300 comp = 2,50 m</v>
          </cell>
          <cell r="C4793" t="str">
            <v>ud</v>
          </cell>
          <cell r="D4793">
            <v>0</v>
          </cell>
          <cell r="E4793">
            <v>2604</v>
          </cell>
          <cell r="F4793">
            <v>2604</v>
          </cell>
        </row>
        <row r="4794">
          <cell r="A4794" t="str">
            <v>218077</v>
          </cell>
          <cell r="B4794" t="str">
            <v>Toco de tubo FD flange/flange PN-10/16 DN 300 comp = 3,00 m</v>
          </cell>
          <cell r="C4794" t="str">
            <v>ud</v>
          </cell>
          <cell r="D4794">
            <v>0</v>
          </cell>
          <cell r="E4794">
            <v>2857.83</v>
          </cell>
          <cell r="F4794">
            <v>2857.83</v>
          </cell>
        </row>
        <row r="4795">
          <cell r="A4795" t="str">
            <v>218078</v>
          </cell>
          <cell r="B4795" t="str">
            <v>Toco de tubo FD flange/flange PN-10/16 DN 300 comp = 3,50 m</v>
          </cell>
          <cell r="C4795" t="str">
            <v>ud</v>
          </cell>
          <cell r="D4795">
            <v>0</v>
          </cell>
          <cell r="E4795">
            <v>3111.71</v>
          </cell>
          <cell r="F4795">
            <v>3111.71</v>
          </cell>
        </row>
        <row r="4796">
          <cell r="A4796" t="str">
            <v>218079</v>
          </cell>
          <cell r="B4796" t="str">
            <v>Toco de tubo FD flange/flange PN-10/16 DN 300 comp = 4,00 m</v>
          </cell>
          <cell r="C4796" t="str">
            <v>ud</v>
          </cell>
          <cell r="D4796">
            <v>0</v>
          </cell>
          <cell r="E4796">
            <v>3365.59</v>
          </cell>
          <cell r="F4796">
            <v>3365.59</v>
          </cell>
        </row>
        <row r="4797">
          <cell r="A4797" t="str">
            <v>218080</v>
          </cell>
          <cell r="B4797" t="str">
            <v>Toco de tubo FD flange/flange PN-10/16 DN 300 comp = 4,50 m</v>
          </cell>
          <cell r="C4797" t="str">
            <v>ud</v>
          </cell>
          <cell r="D4797">
            <v>0</v>
          </cell>
          <cell r="E4797">
            <v>3619.47</v>
          </cell>
          <cell r="F4797">
            <v>3619.47</v>
          </cell>
        </row>
        <row r="4798">
          <cell r="A4798" t="str">
            <v>218081</v>
          </cell>
          <cell r="B4798" t="str">
            <v>Toco de tubo FD flange/flange PN-10/16 DN 300 comp = 5,00 m</v>
          </cell>
          <cell r="C4798" t="str">
            <v>ud</v>
          </cell>
          <cell r="D4798">
            <v>0</v>
          </cell>
          <cell r="E4798">
            <v>4029.1</v>
          </cell>
          <cell r="F4798">
            <v>4029.1</v>
          </cell>
        </row>
        <row r="4799">
          <cell r="A4799" t="str">
            <v>218082</v>
          </cell>
          <cell r="B4799" t="str">
            <v>Toco de tubo FD flange/flange PN-10/16 DN 300 comp = 5,50 m</v>
          </cell>
          <cell r="C4799" t="str">
            <v>ud</v>
          </cell>
          <cell r="D4799">
            <v>0</v>
          </cell>
          <cell r="E4799">
            <v>4128.62</v>
          </cell>
          <cell r="F4799">
            <v>4128.62</v>
          </cell>
        </row>
        <row r="4800">
          <cell r="A4800" t="str">
            <v>218083</v>
          </cell>
          <cell r="B4800" t="str">
            <v>Toco de tubo FD flange/flange PN-10/16 DN 300 comp = 5,80 m</v>
          </cell>
          <cell r="C4800" t="str">
            <v>ud</v>
          </cell>
          <cell r="D4800">
            <v>0</v>
          </cell>
          <cell r="E4800">
            <v>4695.8999999999996</v>
          </cell>
          <cell r="F4800">
            <v>4695.8999999999996</v>
          </cell>
        </row>
        <row r="4801">
          <cell r="A4801" t="str">
            <v>218084</v>
          </cell>
          <cell r="B4801" t="str">
            <v>Toco de tubo FD flange/flange PN-10 DN 400 comp = 0,25 m</v>
          </cell>
          <cell r="C4801" t="str">
            <v>ud</v>
          </cell>
          <cell r="D4801">
            <v>0</v>
          </cell>
          <cell r="E4801">
            <v>1291.46</v>
          </cell>
          <cell r="F4801">
            <v>1291.46</v>
          </cell>
        </row>
        <row r="4802">
          <cell r="A4802" t="str">
            <v>218085</v>
          </cell>
          <cell r="B4802" t="str">
            <v>Toco de tubo FD flange/flange PN-10 DN 400 comp = 0,50 m</v>
          </cell>
          <cell r="C4802" t="str">
            <v>ud</v>
          </cell>
          <cell r="D4802">
            <v>0</v>
          </cell>
          <cell r="E4802">
            <v>1699.29</v>
          </cell>
          <cell r="F4802">
            <v>1699.29</v>
          </cell>
        </row>
        <row r="4803">
          <cell r="A4803" t="str">
            <v>218086</v>
          </cell>
          <cell r="B4803" t="str">
            <v>Toco de tubo FD flange/flange PN-10 DN 400 comp = 1,00 m</v>
          </cell>
          <cell r="C4803" t="str">
            <v>ud</v>
          </cell>
          <cell r="D4803">
            <v>0</v>
          </cell>
          <cell r="E4803">
            <v>2143.84</v>
          </cell>
          <cell r="F4803">
            <v>2143.84</v>
          </cell>
        </row>
        <row r="4804">
          <cell r="A4804" t="str">
            <v>218087</v>
          </cell>
          <cell r="B4804" t="str">
            <v>Toco de tubo FD flange/flange PN-10 DN 400 comp = 1,50 m</v>
          </cell>
          <cell r="C4804" t="str">
            <v>ud</v>
          </cell>
          <cell r="D4804">
            <v>0</v>
          </cell>
          <cell r="E4804">
            <v>2880.55</v>
          </cell>
          <cell r="F4804">
            <v>2880.55</v>
          </cell>
        </row>
        <row r="4805">
          <cell r="A4805" t="str">
            <v>218088</v>
          </cell>
          <cell r="B4805" t="str">
            <v>Toco de tubo FD flange/flange PN-10 DN 400 comp = 2,00 m</v>
          </cell>
          <cell r="C4805" t="str">
            <v>ud</v>
          </cell>
          <cell r="D4805">
            <v>0</v>
          </cell>
          <cell r="E4805">
            <v>3226.08</v>
          </cell>
          <cell r="F4805">
            <v>3226.08</v>
          </cell>
        </row>
        <row r="4806">
          <cell r="A4806" t="str">
            <v>218089</v>
          </cell>
          <cell r="B4806" t="str">
            <v>Toco de tubo FD flange/flange PN-10 DN 400 comp = 2,50 m</v>
          </cell>
          <cell r="C4806" t="str">
            <v>ud</v>
          </cell>
          <cell r="D4806">
            <v>0</v>
          </cell>
          <cell r="E4806">
            <v>3568.18</v>
          </cell>
          <cell r="F4806">
            <v>3568.18</v>
          </cell>
        </row>
        <row r="4807">
          <cell r="A4807" t="str">
            <v>218090</v>
          </cell>
          <cell r="B4807" t="str">
            <v>Toco de tubo FD flange/flange PN-10 DN 400 comp = 3,00 m</v>
          </cell>
          <cell r="C4807" t="str">
            <v>ud</v>
          </cell>
          <cell r="D4807">
            <v>0</v>
          </cell>
          <cell r="E4807">
            <v>3913.51</v>
          </cell>
          <cell r="F4807">
            <v>3913.51</v>
          </cell>
        </row>
        <row r="4808">
          <cell r="A4808" t="str">
            <v>218091</v>
          </cell>
          <cell r="B4808" t="str">
            <v>Toco de tubo FD flange/flange PN-10 DN 400 comp = 3,50 m</v>
          </cell>
          <cell r="C4808" t="str">
            <v>ud</v>
          </cell>
          <cell r="D4808">
            <v>0</v>
          </cell>
          <cell r="E4808">
            <v>4259.1400000000003</v>
          </cell>
          <cell r="F4808">
            <v>4259.1400000000003</v>
          </cell>
        </row>
        <row r="4809">
          <cell r="A4809" t="str">
            <v>218092</v>
          </cell>
          <cell r="B4809" t="str">
            <v>Toco de tubo FD flange/flange PN-10 DN 400 comp = 4,00 m</v>
          </cell>
          <cell r="C4809" t="str">
            <v>ud</v>
          </cell>
          <cell r="D4809">
            <v>0</v>
          </cell>
          <cell r="E4809">
            <v>4604.63</v>
          </cell>
          <cell r="F4809">
            <v>4604.63</v>
          </cell>
        </row>
        <row r="4810">
          <cell r="A4810" t="str">
            <v>218093</v>
          </cell>
          <cell r="B4810" t="str">
            <v>Toco de tubo FD flange/flange PN-10 DN 400 comp = 4,50 m</v>
          </cell>
          <cell r="C4810" t="str">
            <v>ud</v>
          </cell>
          <cell r="D4810">
            <v>0</v>
          </cell>
          <cell r="E4810">
            <v>4950.1499999999996</v>
          </cell>
          <cell r="F4810">
            <v>4950.1499999999996</v>
          </cell>
        </row>
        <row r="4811">
          <cell r="A4811" t="str">
            <v>218094</v>
          </cell>
          <cell r="B4811" t="str">
            <v>Toco de tubo FD flange/flange PN-10 DN 400 comp = 5,00 m</v>
          </cell>
          <cell r="C4811" t="str">
            <v>ud</v>
          </cell>
          <cell r="D4811">
            <v>0</v>
          </cell>
          <cell r="E4811">
            <v>5490.34</v>
          </cell>
          <cell r="F4811">
            <v>5490.34</v>
          </cell>
        </row>
        <row r="4812">
          <cell r="A4812" t="str">
            <v>218095</v>
          </cell>
          <cell r="B4812" t="str">
            <v>Toco de tubo FD flange/flange PN-10 DN 400 comp = 5,50 m</v>
          </cell>
          <cell r="C4812" t="str">
            <v>ud</v>
          </cell>
          <cell r="D4812">
            <v>0</v>
          </cell>
          <cell r="E4812">
            <v>5642.89</v>
          </cell>
          <cell r="F4812">
            <v>5642.89</v>
          </cell>
        </row>
        <row r="4813">
          <cell r="A4813" t="str">
            <v>218096</v>
          </cell>
          <cell r="B4813" t="str">
            <v>Toco de tubo FD flange/flange PN-10 DN 400 comp = 5,80 m</v>
          </cell>
          <cell r="C4813" t="str">
            <v>ud</v>
          </cell>
          <cell r="D4813">
            <v>0</v>
          </cell>
          <cell r="E4813">
            <v>5734.39</v>
          </cell>
          <cell r="F4813">
            <v>5734.39</v>
          </cell>
        </row>
        <row r="4814">
          <cell r="A4814" t="str">
            <v>2181</v>
          </cell>
          <cell r="B4814" t="str">
            <v>TOCO DE TUBO FD PONTA/FLANGE</v>
          </cell>
        </row>
        <row r="4815">
          <cell r="A4815" t="str">
            <v>218101</v>
          </cell>
          <cell r="B4815" t="str">
            <v>Toco de tubo FD ponta/flange PN-10/16/25 DN 50 comp = 0,25 m</v>
          </cell>
          <cell r="C4815" t="str">
            <v>ud</v>
          </cell>
          <cell r="D4815">
            <v>0</v>
          </cell>
          <cell r="E4815">
            <v>110.71</v>
          </cell>
          <cell r="F4815">
            <v>110.71</v>
          </cell>
        </row>
        <row r="4816">
          <cell r="A4816" t="str">
            <v>218102</v>
          </cell>
          <cell r="B4816" t="str">
            <v>Toco de tubo FD ponta/flange PN-10/16/25 DN 50 comp = 0,50 m</v>
          </cell>
          <cell r="C4816" t="str">
            <v>ud</v>
          </cell>
          <cell r="D4816">
            <v>0</v>
          </cell>
          <cell r="E4816">
            <v>183.35</v>
          </cell>
          <cell r="F4816">
            <v>183.35</v>
          </cell>
        </row>
        <row r="4817">
          <cell r="A4817" t="str">
            <v>218103</v>
          </cell>
          <cell r="B4817" t="str">
            <v>Toco de tubo FD ponta/flange PN-10/16 DN 75 comp = 0,25 m</v>
          </cell>
          <cell r="C4817" t="str">
            <v>ud</v>
          </cell>
          <cell r="D4817">
            <v>0</v>
          </cell>
          <cell r="E4817">
            <v>131.47</v>
          </cell>
          <cell r="F4817">
            <v>131.47</v>
          </cell>
        </row>
        <row r="4818">
          <cell r="A4818" t="str">
            <v>218104</v>
          </cell>
          <cell r="B4818" t="str">
            <v>Toco de tubo FD ponta/flange PN-10/16 DN 75 comp = 0,50 m</v>
          </cell>
          <cell r="C4818" t="str">
            <v>ud</v>
          </cell>
          <cell r="D4818">
            <v>0</v>
          </cell>
          <cell r="E4818">
            <v>217.97</v>
          </cell>
          <cell r="F4818">
            <v>217.97</v>
          </cell>
        </row>
        <row r="4819">
          <cell r="A4819" t="str">
            <v>218105</v>
          </cell>
          <cell r="B4819" t="str">
            <v>Toco de tubo FD ponta/flange PN-10/16 DN 75 comp = 1,00 m</v>
          </cell>
          <cell r="C4819" t="str">
            <v>ud</v>
          </cell>
          <cell r="D4819">
            <v>0</v>
          </cell>
          <cell r="E4819">
            <v>298.69</v>
          </cell>
          <cell r="F4819">
            <v>298.69</v>
          </cell>
        </row>
        <row r="4820">
          <cell r="A4820" t="str">
            <v>218106</v>
          </cell>
          <cell r="B4820" t="str">
            <v>Toco de tubo FD ponta/flange PN-10/16/25 DN 80 comp = 0,25 m</v>
          </cell>
          <cell r="C4820" t="str">
            <v>ud</v>
          </cell>
          <cell r="D4820">
            <v>0</v>
          </cell>
          <cell r="E4820">
            <v>161.11000000000001</v>
          </cell>
          <cell r="F4820">
            <v>161.11000000000001</v>
          </cell>
        </row>
        <row r="4821">
          <cell r="A4821" t="str">
            <v>218107</v>
          </cell>
          <cell r="B4821" t="str">
            <v>Toco de tubo FD ponta/flange PN-10/16/25 DN 80 comp = 0,50 m</v>
          </cell>
          <cell r="C4821" t="str">
            <v>ud</v>
          </cell>
          <cell r="D4821">
            <v>0</v>
          </cell>
          <cell r="E4821">
            <v>240.58</v>
          </cell>
          <cell r="F4821">
            <v>240.58</v>
          </cell>
        </row>
        <row r="4822">
          <cell r="A4822" t="str">
            <v>218108</v>
          </cell>
          <cell r="B4822" t="str">
            <v>Toco de tubo FD ponta/flange PN-10/16/25 DN 80 comp = 1,00 m</v>
          </cell>
          <cell r="C4822" t="str">
            <v>ud</v>
          </cell>
          <cell r="D4822">
            <v>0</v>
          </cell>
          <cell r="E4822">
            <v>267.04000000000002</v>
          </cell>
          <cell r="F4822">
            <v>267.04000000000002</v>
          </cell>
        </row>
        <row r="4823">
          <cell r="A4823" t="str">
            <v>218109</v>
          </cell>
          <cell r="B4823" t="str">
            <v>Toco de tubo FD ponta/flange PN-10/16/25 DN 80 comp = 1,50 m</v>
          </cell>
          <cell r="C4823" t="str">
            <v>ud</v>
          </cell>
          <cell r="D4823">
            <v>0</v>
          </cell>
          <cell r="E4823">
            <v>561.59</v>
          </cell>
          <cell r="F4823">
            <v>561.59</v>
          </cell>
        </row>
        <row r="4824">
          <cell r="A4824" t="str">
            <v>218110</v>
          </cell>
          <cell r="B4824" t="str">
            <v>Toco de tubo FD ponta/flange PN-10/16/25 DN 80 comp = 2,00 m</v>
          </cell>
          <cell r="C4824" t="str">
            <v>ud</v>
          </cell>
          <cell r="D4824">
            <v>0</v>
          </cell>
          <cell r="E4824">
            <v>700.08</v>
          </cell>
          <cell r="F4824">
            <v>700.08</v>
          </cell>
        </row>
        <row r="4825">
          <cell r="A4825" t="str">
            <v>218111</v>
          </cell>
          <cell r="B4825" t="str">
            <v>Toco de tubo FD ponta/flange PN-10/16/25 DN 80 comp = 2,50 m</v>
          </cell>
          <cell r="C4825" t="str">
            <v>ud</v>
          </cell>
          <cell r="D4825">
            <v>0</v>
          </cell>
          <cell r="E4825">
            <v>834.83</v>
          </cell>
          <cell r="F4825">
            <v>834.83</v>
          </cell>
        </row>
        <row r="4826">
          <cell r="A4826" t="str">
            <v>218112</v>
          </cell>
          <cell r="B4826" t="str">
            <v>Toco de tubo FD ponta/flange PN-10/16/25 DN 80 comp = 3,00 m</v>
          </cell>
          <cell r="C4826" t="str">
            <v>ud</v>
          </cell>
          <cell r="D4826">
            <v>0</v>
          </cell>
          <cell r="E4826">
            <v>927.81</v>
          </cell>
          <cell r="F4826">
            <v>927.81</v>
          </cell>
        </row>
        <row r="4827">
          <cell r="A4827" t="str">
            <v>218113</v>
          </cell>
          <cell r="B4827" t="str">
            <v>Toco de tubo FD ponta/flange PN-10/16/25 DN 80 comp = 3,50 m</v>
          </cell>
          <cell r="C4827" t="str">
            <v>ud</v>
          </cell>
          <cell r="D4827">
            <v>0</v>
          </cell>
          <cell r="E4827">
            <v>1020.71</v>
          </cell>
          <cell r="F4827">
            <v>1020.71</v>
          </cell>
        </row>
        <row r="4828">
          <cell r="A4828" t="str">
            <v>218114</v>
          </cell>
          <cell r="B4828" t="str">
            <v>Toco de tubo FD ponta/flange PN-10/16/25 DN 80 comp = 4,00 m</v>
          </cell>
          <cell r="C4828" t="str">
            <v>ud</v>
          </cell>
          <cell r="D4828">
            <v>0</v>
          </cell>
          <cell r="E4828">
            <v>1113.5999999999999</v>
          </cell>
          <cell r="F4828">
            <v>1113.5999999999999</v>
          </cell>
        </row>
        <row r="4829">
          <cell r="A4829" t="str">
            <v>218115</v>
          </cell>
          <cell r="B4829" t="str">
            <v>Toco de tubo FD ponta/flange PN-10/16/25 DN 80 comp = 4,50 m</v>
          </cell>
          <cell r="C4829" t="str">
            <v>ud</v>
          </cell>
          <cell r="D4829">
            <v>0</v>
          </cell>
          <cell r="E4829">
            <v>1206.51</v>
          </cell>
          <cell r="F4829">
            <v>1206.51</v>
          </cell>
        </row>
        <row r="4830">
          <cell r="A4830" t="str">
            <v>218116</v>
          </cell>
          <cell r="B4830" t="str">
            <v>Toco de tubo FD ponta/flange PN-10/16/25 DN 80 comp = 5,00 m</v>
          </cell>
          <cell r="C4830" t="str">
            <v>ud</v>
          </cell>
          <cell r="D4830">
            <v>0</v>
          </cell>
          <cell r="E4830">
            <v>1370.59</v>
          </cell>
          <cell r="F4830">
            <v>1370.59</v>
          </cell>
        </row>
        <row r="4831">
          <cell r="A4831" t="str">
            <v>218117</v>
          </cell>
          <cell r="B4831" t="str">
            <v>Toco de tubo FD ponta/flange PN-10/16/25 DN 80 comp = 5,50 m</v>
          </cell>
          <cell r="C4831" t="str">
            <v>ud</v>
          </cell>
          <cell r="D4831">
            <v>0</v>
          </cell>
          <cell r="E4831">
            <v>1396.19</v>
          </cell>
          <cell r="F4831">
            <v>1396.19</v>
          </cell>
        </row>
        <row r="4832">
          <cell r="A4832" t="str">
            <v>218118</v>
          </cell>
          <cell r="B4832" t="str">
            <v>Toco de tubo FD ponta/flange PN-10/16/25 DN 80 comp = 5,80 m</v>
          </cell>
          <cell r="C4832" t="str">
            <v>ud</v>
          </cell>
          <cell r="D4832">
            <v>0</v>
          </cell>
          <cell r="E4832">
            <v>1408.96</v>
          </cell>
          <cell r="F4832">
            <v>1408.96</v>
          </cell>
        </row>
        <row r="4833">
          <cell r="A4833" t="str">
            <v>218119</v>
          </cell>
          <cell r="B4833" t="str">
            <v>Toco de tubo FD ponta/flange PN-10/16 DN 100 comp = 0,25 m</v>
          </cell>
          <cell r="C4833" t="str">
            <v>ud</v>
          </cell>
          <cell r="D4833">
            <v>0</v>
          </cell>
          <cell r="E4833">
            <v>166.09</v>
          </cell>
          <cell r="F4833">
            <v>166.09</v>
          </cell>
        </row>
        <row r="4834">
          <cell r="A4834" t="str">
            <v>218120</v>
          </cell>
          <cell r="B4834" t="str">
            <v>Toco de tubo FD ponta/flange PN-10/16 DN 100 comp = 0,50 m</v>
          </cell>
          <cell r="C4834" t="str">
            <v>ud</v>
          </cell>
          <cell r="D4834">
            <v>0</v>
          </cell>
          <cell r="E4834">
            <v>285.48</v>
          </cell>
          <cell r="F4834">
            <v>285.48</v>
          </cell>
        </row>
        <row r="4835">
          <cell r="A4835" t="str">
            <v>218121</v>
          </cell>
          <cell r="B4835" t="str">
            <v>Toco de tubo FD ponta/flange PN-10/16 DN 100 comp = 1,00 m</v>
          </cell>
          <cell r="C4835" t="str">
            <v>ud</v>
          </cell>
          <cell r="D4835">
            <v>0</v>
          </cell>
          <cell r="E4835">
            <v>448.61</v>
          </cell>
          <cell r="F4835">
            <v>448.61</v>
          </cell>
        </row>
        <row r="4836">
          <cell r="A4836" t="str">
            <v>218122</v>
          </cell>
          <cell r="B4836" t="str">
            <v>Toco de tubo FD ponta/flange PN-10/16 DN 100 comp = 1,50 m</v>
          </cell>
          <cell r="C4836" t="str">
            <v>ud</v>
          </cell>
          <cell r="D4836">
            <v>0</v>
          </cell>
          <cell r="E4836">
            <v>590.29</v>
          </cell>
          <cell r="F4836">
            <v>590.29</v>
          </cell>
        </row>
        <row r="4837">
          <cell r="A4837" t="str">
            <v>218123</v>
          </cell>
          <cell r="B4837" t="str">
            <v>Toco de tubo FD ponta/flange PN-10/16 DN 100 comp = 2,00 m</v>
          </cell>
          <cell r="C4837" t="str">
            <v>ud</v>
          </cell>
          <cell r="D4837">
            <v>0</v>
          </cell>
          <cell r="E4837">
            <v>731.31</v>
          </cell>
          <cell r="F4837">
            <v>731.31</v>
          </cell>
        </row>
        <row r="4838">
          <cell r="A4838" t="str">
            <v>218124</v>
          </cell>
          <cell r="B4838" t="str">
            <v>Toco de tubo FD ponta/flange PN-10/16 DN 100 comp = 2,50 m</v>
          </cell>
          <cell r="C4838" t="str">
            <v>ud</v>
          </cell>
          <cell r="D4838">
            <v>0</v>
          </cell>
          <cell r="E4838">
            <v>872.34</v>
          </cell>
          <cell r="F4838">
            <v>872.34</v>
          </cell>
        </row>
        <row r="4839">
          <cell r="A4839" t="str">
            <v>218125</v>
          </cell>
          <cell r="B4839" t="str">
            <v>Toco de tubo FD ponta/flange PN-10/16 DN 100 comp = 3,00 m</v>
          </cell>
          <cell r="C4839" t="str">
            <v>ud</v>
          </cell>
          <cell r="D4839">
            <v>0</v>
          </cell>
          <cell r="E4839">
            <v>1004</v>
          </cell>
          <cell r="F4839">
            <v>1004</v>
          </cell>
        </row>
        <row r="4840">
          <cell r="A4840" t="str">
            <v>218126</v>
          </cell>
          <cell r="B4840" t="str">
            <v>Toco de tubo FD ponta/flange PN-10/16 DN 100 comp = 3,50 m</v>
          </cell>
          <cell r="C4840" t="str">
            <v>ud</v>
          </cell>
          <cell r="D4840">
            <v>0</v>
          </cell>
          <cell r="E4840">
            <v>1103.9000000000001</v>
          </cell>
          <cell r="F4840">
            <v>1103.9000000000001</v>
          </cell>
        </row>
        <row r="4841">
          <cell r="A4841" t="str">
            <v>218127</v>
          </cell>
          <cell r="B4841" t="str">
            <v>Toco de tubo FD ponta/flange PN-10/16 DN 100 comp = 4,00 m</v>
          </cell>
          <cell r="C4841" t="str">
            <v>ud</v>
          </cell>
          <cell r="D4841">
            <v>0</v>
          </cell>
          <cell r="E4841">
            <v>1200.55</v>
          </cell>
          <cell r="F4841">
            <v>1200.55</v>
          </cell>
        </row>
        <row r="4842">
          <cell r="A4842" t="str">
            <v>218128</v>
          </cell>
          <cell r="B4842" t="str">
            <v>Toco de tubo FD ponta/flange PN-10/16 DN 100 comp = 4,50 m</v>
          </cell>
          <cell r="C4842" t="str">
            <v>ud</v>
          </cell>
          <cell r="D4842">
            <v>0</v>
          </cell>
          <cell r="E4842">
            <v>1300.42</v>
          </cell>
          <cell r="F4842">
            <v>1300.42</v>
          </cell>
        </row>
        <row r="4843">
          <cell r="A4843" t="str">
            <v>218129</v>
          </cell>
          <cell r="B4843" t="str">
            <v>Toco de tubo FD ponta/flange PN-10/16 DN 100 comp = 5,00 m</v>
          </cell>
          <cell r="C4843" t="str">
            <v>ud</v>
          </cell>
          <cell r="D4843">
            <v>0</v>
          </cell>
          <cell r="E4843">
            <v>1471.81</v>
          </cell>
          <cell r="F4843">
            <v>1471.81</v>
          </cell>
        </row>
        <row r="4844">
          <cell r="A4844" t="str">
            <v>218130</v>
          </cell>
          <cell r="B4844" t="str">
            <v>Toco de tubo FD ponta/flange PN-10/16 DN 100 comp = 5,50 m</v>
          </cell>
          <cell r="C4844" t="str">
            <v>ud</v>
          </cell>
          <cell r="D4844">
            <v>0</v>
          </cell>
          <cell r="E4844">
            <v>1500.79</v>
          </cell>
          <cell r="F4844">
            <v>1500.79</v>
          </cell>
        </row>
        <row r="4845">
          <cell r="A4845" t="str">
            <v>218131</v>
          </cell>
          <cell r="B4845" t="str">
            <v>Toco de tubo FD ponta/flange PN-10/16 DN 100 comp = 5,80 m</v>
          </cell>
          <cell r="C4845" t="str">
            <v>ud</v>
          </cell>
          <cell r="D4845">
            <v>0</v>
          </cell>
          <cell r="E4845">
            <v>1516.95</v>
          </cell>
          <cell r="F4845">
            <v>1516.95</v>
          </cell>
        </row>
        <row r="4846">
          <cell r="A4846" t="str">
            <v>218132</v>
          </cell>
          <cell r="B4846" t="str">
            <v>Toco de tubo FD ponta/flange PN-10/16 DN 150 comp = 0,25 m</v>
          </cell>
          <cell r="C4846" t="str">
            <v>ud</v>
          </cell>
          <cell r="D4846">
            <v>0</v>
          </cell>
          <cell r="E4846">
            <v>244.7</v>
          </cell>
          <cell r="F4846">
            <v>244.7</v>
          </cell>
        </row>
        <row r="4847">
          <cell r="A4847" t="str">
            <v>218133</v>
          </cell>
          <cell r="B4847" t="str">
            <v>Toco de tubo FD ponta/flange PN-10/16 DN 150 comp = 0,50 m</v>
          </cell>
          <cell r="C4847" t="str">
            <v>ud</v>
          </cell>
          <cell r="D4847">
            <v>0</v>
          </cell>
          <cell r="E4847">
            <v>339.86</v>
          </cell>
          <cell r="F4847">
            <v>339.86</v>
          </cell>
        </row>
        <row r="4848">
          <cell r="A4848" t="str">
            <v>218134</v>
          </cell>
          <cell r="B4848" t="str">
            <v>Toco de tubo FD ponta/flange PN-10/16 DN 150 comp = 1,00 m</v>
          </cell>
          <cell r="C4848" t="str">
            <v>ud</v>
          </cell>
          <cell r="D4848">
            <v>0</v>
          </cell>
          <cell r="E4848">
            <v>625.34</v>
          </cell>
          <cell r="F4848">
            <v>625.34</v>
          </cell>
        </row>
        <row r="4849">
          <cell r="A4849" t="str">
            <v>218135</v>
          </cell>
          <cell r="B4849" t="str">
            <v>Toco de tubo FD ponta/flange PN-10/16 DN 150 comp = 1,50 m</v>
          </cell>
          <cell r="C4849" t="str">
            <v>ud</v>
          </cell>
          <cell r="D4849">
            <v>0</v>
          </cell>
          <cell r="E4849">
            <v>734.34</v>
          </cell>
          <cell r="F4849">
            <v>734.34</v>
          </cell>
        </row>
        <row r="4850">
          <cell r="A4850" t="str">
            <v>218136</v>
          </cell>
          <cell r="B4850" t="str">
            <v>Toco de tubo FD ponta/flange PN-10/16 DN 150 comp = 2,00 m</v>
          </cell>
          <cell r="C4850" t="str">
            <v>ud</v>
          </cell>
          <cell r="D4850">
            <v>0</v>
          </cell>
          <cell r="E4850">
            <v>898.24</v>
          </cell>
          <cell r="F4850">
            <v>898.24</v>
          </cell>
        </row>
        <row r="4851">
          <cell r="A4851" t="str">
            <v>218137</v>
          </cell>
          <cell r="B4851" t="str">
            <v>Toco de tubo FD ponta/flange PN-10/16 DN 150 comp = 2,50 m</v>
          </cell>
          <cell r="C4851" t="str">
            <v>ud</v>
          </cell>
          <cell r="D4851">
            <v>0</v>
          </cell>
          <cell r="E4851">
            <v>1062.1300000000001</v>
          </cell>
          <cell r="F4851">
            <v>1062.1300000000001</v>
          </cell>
        </row>
        <row r="4852">
          <cell r="A4852" t="str">
            <v>218138</v>
          </cell>
          <cell r="B4852" t="str">
            <v>Toco de tubo FD ponta/flange PN-10/16 DN 150 comp = 3,00 m</v>
          </cell>
          <cell r="C4852" t="str">
            <v>ud</v>
          </cell>
          <cell r="D4852">
            <v>0</v>
          </cell>
          <cell r="E4852">
            <v>1226.03</v>
          </cell>
          <cell r="F4852">
            <v>1226.03</v>
          </cell>
        </row>
        <row r="4853">
          <cell r="A4853" t="str">
            <v>218139</v>
          </cell>
          <cell r="B4853" t="str">
            <v>Toco de tubo FD ponta/flange PN-10/16 DN 150 comp = 3,50 m</v>
          </cell>
          <cell r="C4853" t="str">
            <v>ud</v>
          </cell>
          <cell r="D4853">
            <v>0</v>
          </cell>
          <cell r="E4853">
            <v>1378.63</v>
          </cell>
          <cell r="F4853">
            <v>1378.63</v>
          </cell>
        </row>
        <row r="4854">
          <cell r="A4854" t="str">
            <v>218140</v>
          </cell>
          <cell r="B4854" t="str">
            <v>Toco de tubo FD ponta/flange PN-10/16 DN 150 comp = 4,00 m</v>
          </cell>
          <cell r="C4854" t="str">
            <v>ud</v>
          </cell>
          <cell r="D4854">
            <v>0</v>
          </cell>
          <cell r="E4854">
            <v>1553.82</v>
          </cell>
          <cell r="F4854">
            <v>1553.82</v>
          </cell>
        </row>
        <row r="4855">
          <cell r="A4855" t="str">
            <v>218141</v>
          </cell>
          <cell r="B4855" t="str">
            <v>Toco de tubo FD ponta/flange PN-10/16 DN 150 comp = 4,50 m</v>
          </cell>
          <cell r="C4855" t="str">
            <v>ud</v>
          </cell>
          <cell r="D4855">
            <v>0</v>
          </cell>
          <cell r="E4855">
            <v>1633.27</v>
          </cell>
          <cell r="F4855">
            <v>1633.27</v>
          </cell>
        </row>
        <row r="4856">
          <cell r="A4856" t="str">
            <v>218142</v>
          </cell>
          <cell r="B4856" t="str">
            <v>Toco de tubo FD ponta/flange PN-10/16 DN 150 comp = 5,00 m</v>
          </cell>
          <cell r="C4856" t="str">
            <v>ud</v>
          </cell>
          <cell r="D4856">
            <v>0</v>
          </cell>
          <cell r="E4856">
            <v>1881.6</v>
          </cell>
          <cell r="F4856">
            <v>1881.6</v>
          </cell>
        </row>
        <row r="4857">
          <cell r="A4857" t="str">
            <v>218143</v>
          </cell>
          <cell r="B4857" t="str">
            <v>Toco de tubo FD ponta/flange PN-10/16 DN 150 comp = 5,50 m</v>
          </cell>
          <cell r="C4857" t="str">
            <v>ud</v>
          </cell>
          <cell r="D4857">
            <v>0</v>
          </cell>
          <cell r="E4857">
            <v>1891.86</v>
          </cell>
          <cell r="F4857">
            <v>1891.86</v>
          </cell>
        </row>
        <row r="4858">
          <cell r="A4858" t="str">
            <v>218144</v>
          </cell>
          <cell r="B4858" t="str">
            <v>Toco de tubo FD ponta/flange PN-10/16 DN 150 comp = 5,80 m</v>
          </cell>
          <cell r="C4858" t="str">
            <v>ud</v>
          </cell>
          <cell r="D4858">
            <v>0</v>
          </cell>
          <cell r="E4858">
            <v>1917.66</v>
          </cell>
          <cell r="F4858">
            <v>1917.66</v>
          </cell>
        </row>
        <row r="4859">
          <cell r="A4859" t="str">
            <v>218145</v>
          </cell>
          <cell r="B4859" t="str">
            <v>Toco de tubo FD ponta/flange PN-10/16 DN 200 comp = 0,25 m</v>
          </cell>
          <cell r="C4859" t="str">
            <v>ud</v>
          </cell>
          <cell r="D4859">
            <v>0</v>
          </cell>
          <cell r="E4859">
            <v>299.08</v>
          </cell>
          <cell r="F4859">
            <v>299.08</v>
          </cell>
        </row>
        <row r="4860">
          <cell r="A4860" t="str">
            <v>218146</v>
          </cell>
          <cell r="B4860" t="str">
            <v>Toco de tubo FD ponta/flange PN-10/16 DN 200 comp = 0,50 m</v>
          </cell>
          <cell r="C4860" t="str">
            <v>ud</v>
          </cell>
          <cell r="D4860">
            <v>0</v>
          </cell>
          <cell r="E4860">
            <v>442.83</v>
          </cell>
          <cell r="F4860">
            <v>442.83</v>
          </cell>
        </row>
        <row r="4861">
          <cell r="A4861" t="str">
            <v>218147</v>
          </cell>
          <cell r="B4861" t="str">
            <v>Toco de tubo FD ponta/flange PN-10/16 DN 200 comp = 1,00 m</v>
          </cell>
          <cell r="C4861" t="str">
            <v>ud</v>
          </cell>
          <cell r="D4861">
            <v>0</v>
          </cell>
          <cell r="E4861">
            <v>883.63</v>
          </cell>
          <cell r="F4861">
            <v>883.63</v>
          </cell>
        </row>
        <row r="4862">
          <cell r="A4862" t="str">
            <v>218148</v>
          </cell>
          <cell r="B4862" t="str">
            <v>Toco de tubo FD ponta/flange PN-10/16 DN 200 comp = 1,50 m</v>
          </cell>
          <cell r="C4862" t="str">
            <v>ud</v>
          </cell>
          <cell r="D4862">
            <v>0</v>
          </cell>
          <cell r="E4862">
            <v>926.59</v>
          </cell>
          <cell r="F4862">
            <v>926.59</v>
          </cell>
        </row>
        <row r="4863">
          <cell r="A4863" t="str">
            <v>218149</v>
          </cell>
          <cell r="B4863" t="str">
            <v>Toco de tubo FD ponta/flange PN-10/16 DN 200 comp = 2,00 m</v>
          </cell>
          <cell r="C4863" t="str">
            <v>ud</v>
          </cell>
          <cell r="D4863">
            <v>0</v>
          </cell>
          <cell r="E4863">
            <v>1129.8699999999999</v>
          </cell>
          <cell r="F4863">
            <v>1129.8699999999999</v>
          </cell>
        </row>
        <row r="4864">
          <cell r="A4864" t="str">
            <v>218150</v>
          </cell>
          <cell r="B4864" t="str">
            <v>Toco de tubo FD ponta/flange PN-10/16 DN 200 comp = 2,50 m</v>
          </cell>
          <cell r="C4864" t="str">
            <v>ud</v>
          </cell>
          <cell r="D4864">
            <v>0</v>
          </cell>
          <cell r="E4864">
            <v>1333.15</v>
          </cell>
          <cell r="F4864">
            <v>1333.15</v>
          </cell>
        </row>
        <row r="4865">
          <cell r="A4865" t="str">
            <v>218151</v>
          </cell>
          <cell r="B4865" t="str">
            <v>Toco de tubo FD ponta/flange PN-10/16 DN 200 comp = 3,00 m</v>
          </cell>
          <cell r="C4865" t="str">
            <v>ud</v>
          </cell>
          <cell r="D4865">
            <v>0</v>
          </cell>
          <cell r="E4865">
            <v>1536.43</v>
          </cell>
          <cell r="F4865">
            <v>1536.43</v>
          </cell>
        </row>
        <row r="4866">
          <cell r="A4866" t="str">
            <v>218152</v>
          </cell>
          <cell r="B4866" t="str">
            <v>Toco de tubo FD ponta/flange PN-10/16 DN 200 comp = 3,50 m</v>
          </cell>
          <cell r="C4866" t="str">
            <v>ud</v>
          </cell>
          <cell r="D4866">
            <v>0</v>
          </cell>
          <cell r="E4866">
            <v>1739.71</v>
          </cell>
          <cell r="F4866">
            <v>1739.71</v>
          </cell>
        </row>
        <row r="4867">
          <cell r="A4867" t="str">
            <v>218153</v>
          </cell>
          <cell r="B4867" t="str">
            <v>Toco de tubo FD ponta/flange PN-10/16 DN 200 comp = 4,00 m</v>
          </cell>
          <cell r="C4867" t="str">
            <v>ud</v>
          </cell>
          <cell r="D4867">
            <v>0</v>
          </cell>
          <cell r="E4867">
            <v>1887.78</v>
          </cell>
          <cell r="F4867">
            <v>1887.78</v>
          </cell>
        </row>
        <row r="4868">
          <cell r="A4868" t="str">
            <v>218154</v>
          </cell>
          <cell r="B4868" t="str">
            <v>Toco de tubo FD ponta/flange PN-10/16 DN 200 comp = 4,50 m</v>
          </cell>
          <cell r="C4868" t="str">
            <v>ud</v>
          </cell>
          <cell r="D4868">
            <v>0</v>
          </cell>
          <cell r="E4868">
            <v>2054.69</v>
          </cell>
          <cell r="F4868">
            <v>2054.69</v>
          </cell>
        </row>
        <row r="4869">
          <cell r="A4869" t="str">
            <v>218155</v>
          </cell>
          <cell r="B4869" t="str">
            <v>Toco de tubo FD ponta/flange PN-10/16 DN 200 comp = 5,00 m</v>
          </cell>
          <cell r="C4869" t="str">
            <v>ud</v>
          </cell>
          <cell r="D4869">
            <v>0</v>
          </cell>
          <cell r="E4869">
            <v>2328.14</v>
          </cell>
          <cell r="F4869">
            <v>2328.14</v>
          </cell>
        </row>
        <row r="4870">
          <cell r="A4870" t="str">
            <v>218156</v>
          </cell>
          <cell r="B4870" t="str">
            <v>Toco de tubo FD ponta/flange PN-10/16 DN 200 comp = 5,50 m</v>
          </cell>
          <cell r="C4870" t="str">
            <v>ud</v>
          </cell>
          <cell r="D4870">
            <v>0</v>
          </cell>
          <cell r="E4870">
            <v>2386.14</v>
          </cell>
          <cell r="F4870">
            <v>2386.14</v>
          </cell>
        </row>
        <row r="4871">
          <cell r="A4871" t="str">
            <v>218157</v>
          </cell>
          <cell r="B4871" t="str">
            <v>Toco de tubo FD ponta/flange PN-10/16 DN 200 comp = 5,80 m</v>
          </cell>
          <cell r="C4871" t="str">
            <v>ud</v>
          </cell>
          <cell r="D4871">
            <v>0</v>
          </cell>
          <cell r="E4871">
            <v>2674.8</v>
          </cell>
          <cell r="F4871">
            <v>2674.8</v>
          </cell>
        </row>
        <row r="4872">
          <cell r="A4872" t="str">
            <v>218158</v>
          </cell>
          <cell r="B4872" t="str">
            <v>Toco de tubo FD ponta/flange PN-10/16 DN 250 comp = 0,25 m</v>
          </cell>
          <cell r="C4872" t="str">
            <v>ud</v>
          </cell>
          <cell r="D4872">
            <v>0</v>
          </cell>
          <cell r="E4872">
            <v>456.68</v>
          </cell>
          <cell r="F4872">
            <v>456.68</v>
          </cell>
        </row>
        <row r="4873">
          <cell r="A4873" t="str">
            <v>218159</v>
          </cell>
          <cell r="B4873" t="str">
            <v>Toco de tubo FD ponta/flange PN-10/16 DN 250 comp = 0,50 m</v>
          </cell>
          <cell r="C4873" t="str">
            <v>ud</v>
          </cell>
          <cell r="D4873">
            <v>0</v>
          </cell>
          <cell r="E4873">
            <v>633.09</v>
          </cell>
          <cell r="F4873">
            <v>633.09</v>
          </cell>
        </row>
        <row r="4874">
          <cell r="A4874" t="str">
            <v>218160</v>
          </cell>
          <cell r="B4874" t="str">
            <v>Toco de tubo FD ponta/flange PN-10/16 DN 250 comp = 1,00 m</v>
          </cell>
          <cell r="C4874" t="str">
            <v>ud</v>
          </cell>
          <cell r="D4874">
            <v>0</v>
          </cell>
          <cell r="E4874">
            <v>923.7</v>
          </cell>
          <cell r="F4874">
            <v>923.7</v>
          </cell>
        </row>
        <row r="4875">
          <cell r="A4875" t="str">
            <v>218161</v>
          </cell>
          <cell r="B4875" t="str">
            <v>Toco de tubo FD ponta/flange PN-10/16 DN 250 comp = 1,50 m</v>
          </cell>
          <cell r="C4875" t="str">
            <v>ud</v>
          </cell>
          <cell r="D4875">
            <v>0</v>
          </cell>
          <cell r="E4875">
            <v>1228.8499999999999</v>
          </cell>
          <cell r="F4875">
            <v>1228.8499999999999</v>
          </cell>
        </row>
        <row r="4876">
          <cell r="A4876" t="str">
            <v>218162</v>
          </cell>
          <cell r="B4876" t="str">
            <v>Toco de tubo FD ponta/flange PN-10/16 DN 250 comp = 2,00 m</v>
          </cell>
          <cell r="C4876" t="str">
            <v>ud</v>
          </cell>
          <cell r="D4876">
            <v>0</v>
          </cell>
          <cell r="E4876">
            <v>1481.68</v>
          </cell>
          <cell r="F4876">
            <v>1481.68</v>
          </cell>
        </row>
        <row r="4877">
          <cell r="A4877" t="str">
            <v>218163</v>
          </cell>
          <cell r="B4877" t="str">
            <v>Toco de tubo FD ponta/flange PN-10/16 DN 250 comp = 2,50 m</v>
          </cell>
          <cell r="C4877" t="str">
            <v>ud</v>
          </cell>
          <cell r="D4877">
            <v>0</v>
          </cell>
          <cell r="E4877">
            <v>1689.67</v>
          </cell>
          <cell r="F4877">
            <v>1689.67</v>
          </cell>
        </row>
        <row r="4878">
          <cell r="A4878" t="str">
            <v>218164</v>
          </cell>
          <cell r="B4878" t="str">
            <v>Toco de tubo FD ponta/flange PN-10/16 DN 250 comp = 3,00 m</v>
          </cell>
          <cell r="C4878" t="str">
            <v>ud</v>
          </cell>
          <cell r="D4878">
            <v>0</v>
          </cell>
          <cell r="E4878">
            <v>1689.67</v>
          </cell>
          <cell r="F4878">
            <v>1689.67</v>
          </cell>
        </row>
        <row r="4879">
          <cell r="A4879" t="str">
            <v>218165</v>
          </cell>
          <cell r="B4879" t="str">
            <v>Toco de tubo FD ponta/flange PN-10/16 DN 250 comp = 3,50 m</v>
          </cell>
          <cell r="C4879" t="str">
            <v>ud</v>
          </cell>
          <cell r="D4879">
            <v>0</v>
          </cell>
          <cell r="E4879">
            <v>2109.9</v>
          </cell>
          <cell r="F4879">
            <v>2109.9</v>
          </cell>
        </row>
        <row r="4880">
          <cell r="A4880" t="str">
            <v>218166</v>
          </cell>
          <cell r="B4880" t="str">
            <v>Toco de tubo FD ponta/flange PN-10/16 DN 250 comp = 4,00 m</v>
          </cell>
          <cell r="C4880" t="str">
            <v>ud</v>
          </cell>
          <cell r="D4880">
            <v>0</v>
          </cell>
          <cell r="E4880">
            <v>2321.6</v>
          </cell>
          <cell r="F4880">
            <v>2321.6</v>
          </cell>
        </row>
        <row r="4881">
          <cell r="A4881" t="str">
            <v>218167</v>
          </cell>
          <cell r="B4881" t="str">
            <v>Toco de tubo FD ponta/flange PN-10/16 DN 250 comp = 4,50 m</v>
          </cell>
          <cell r="C4881" t="str">
            <v>ud</v>
          </cell>
          <cell r="D4881">
            <v>0</v>
          </cell>
          <cell r="E4881">
            <v>2530.1</v>
          </cell>
          <cell r="F4881">
            <v>2530.1</v>
          </cell>
        </row>
        <row r="4882">
          <cell r="A4882" t="str">
            <v>218168</v>
          </cell>
          <cell r="B4882" t="str">
            <v>Toco de tubo FD ponta/flange PN-10/16 DN 250 comp = 5,00 m</v>
          </cell>
          <cell r="C4882" t="str">
            <v>ud</v>
          </cell>
          <cell r="D4882">
            <v>0</v>
          </cell>
          <cell r="E4882">
            <v>2874.29</v>
          </cell>
          <cell r="F4882">
            <v>2874.29</v>
          </cell>
        </row>
        <row r="4883">
          <cell r="A4883" t="str">
            <v>218169</v>
          </cell>
          <cell r="B4883" t="str">
            <v>Toco de tubo FD ponta/flange PN-10/16 DN 250 comp = 5,50 m</v>
          </cell>
          <cell r="C4883" t="str">
            <v>ud</v>
          </cell>
          <cell r="D4883">
            <v>0</v>
          </cell>
          <cell r="E4883">
            <v>2951.51</v>
          </cell>
          <cell r="F4883">
            <v>2951.51</v>
          </cell>
        </row>
        <row r="4884">
          <cell r="A4884" t="str">
            <v>218170</v>
          </cell>
          <cell r="B4884" t="str">
            <v>Toco de tubo FD ponta/flange PN-10/16 DN 250 comp = 5,80 m</v>
          </cell>
          <cell r="C4884" t="str">
            <v>ud</v>
          </cell>
          <cell r="D4884">
            <v>0</v>
          </cell>
          <cell r="E4884">
            <v>2999.77</v>
          </cell>
          <cell r="F4884">
            <v>2999.77</v>
          </cell>
        </row>
        <row r="4885">
          <cell r="A4885" t="str">
            <v>218171</v>
          </cell>
          <cell r="B4885" t="str">
            <v>Toco de tubo FD ponta/flange PN-10/16 DN 300 comp = 0,25 m</v>
          </cell>
          <cell r="C4885" t="str">
            <v>ud</v>
          </cell>
          <cell r="D4885">
            <v>0</v>
          </cell>
          <cell r="E4885">
            <v>665.85</v>
          </cell>
          <cell r="F4885">
            <v>665.85</v>
          </cell>
        </row>
        <row r="4886">
          <cell r="A4886" t="str">
            <v>218172</v>
          </cell>
          <cell r="B4886" t="str">
            <v>Toco de tubo FD ponta/flange PN-10/16 DN 300 comp = 0,50 m</v>
          </cell>
          <cell r="C4886" t="str">
            <v>ud</v>
          </cell>
          <cell r="D4886">
            <v>0</v>
          </cell>
          <cell r="E4886">
            <v>858.01</v>
          </cell>
          <cell r="F4886">
            <v>858.01</v>
          </cell>
        </row>
        <row r="4887">
          <cell r="A4887" t="str">
            <v>218173</v>
          </cell>
          <cell r="B4887" t="str">
            <v>Toco de tubo FD ponta/flange PN-10/16 DN 300 comp = 1,00 m</v>
          </cell>
          <cell r="C4887" t="str">
            <v>ud</v>
          </cell>
          <cell r="D4887">
            <v>0</v>
          </cell>
          <cell r="E4887">
            <v>1270.5999999999999</v>
          </cell>
          <cell r="F4887">
            <v>1270.5999999999999</v>
          </cell>
        </row>
        <row r="4888">
          <cell r="A4888" t="str">
            <v>218174</v>
          </cell>
          <cell r="B4888" t="str">
            <v>Toco de tubo FD ponta/flange PN-10/16 DN 300 comp = 1,50 m</v>
          </cell>
          <cell r="C4888" t="str">
            <v>ud</v>
          </cell>
          <cell r="D4888">
            <v>0</v>
          </cell>
          <cell r="E4888">
            <v>1524.5</v>
          </cell>
          <cell r="F4888">
            <v>1524.5</v>
          </cell>
        </row>
        <row r="4889">
          <cell r="A4889" t="str">
            <v>218175</v>
          </cell>
          <cell r="B4889" t="str">
            <v>Toco de tubo FD ponta/flange PN-10/16 DN 300 comp = 2,00 m</v>
          </cell>
          <cell r="C4889" t="str">
            <v>ud</v>
          </cell>
          <cell r="D4889">
            <v>0</v>
          </cell>
          <cell r="E4889">
            <v>1781.57</v>
          </cell>
          <cell r="F4889">
            <v>1781.57</v>
          </cell>
        </row>
        <row r="4890">
          <cell r="A4890" t="str">
            <v>218176</v>
          </cell>
          <cell r="B4890" t="str">
            <v>Toco de tubo FD ponta/flange PN-10/16 DN 300 comp = 2,50 m</v>
          </cell>
          <cell r="C4890" t="str">
            <v>ud</v>
          </cell>
          <cell r="D4890">
            <v>0</v>
          </cell>
          <cell r="E4890">
            <v>2113.16</v>
          </cell>
          <cell r="F4890">
            <v>2113.16</v>
          </cell>
        </row>
        <row r="4891">
          <cell r="A4891" t="str">
            <v>218177</v>
          </cell>
          <cell r="B4891" t="str">
            <v>Toco de tubo FD ponta/flange PN-10/16 DN 300 comp = 3,00 m</v>
          </cell>
          <cell r="C4891" t="str">
            <v>ud</v>
          </cell>
          <cell r="D4891">
            <v>0</v>
          </cell>
          <cell r="E4891">
            <v>2300.5</v>
          </cell>
          <cell r="F4891">
            <v>2300.5</v>
          </cell>
        </row>
        <row r="4892">
          <cell r="A4892" t="str">
            <v>218178</v>
          </cell>
          <cell r="B4892" t="str">
            <v>Toco de tubo FD ponta/flange PN-10/16 DN 300 comp = 3,50 m</v>
          </cell>
          <cell r="C4892" t="str">
            <v>ud</v>
          </cell>
          <cell r="D4892">
            <v>0</v>
          </cell>
          <cell r="E4892">
            <v>2543.16</v>
          </cell>
          <cell r="F4892">
            <v>2543.16</v>
          </cell>
        </row>
        <row r="4893">
          <cell r="A4893" t="str">
            <v>218179</v>
          </cell>
          <cell r="B4893" t="str">
            <v>Toco de tubo FD ponta/flange PN-10/16 DN 300 comp = 4,00 m</v>
          </cell>
          <cell r="C4893" t="str">
            <v>ud</v>
          </cell>
          <cell r="D4893">
            <v>0</v>
          </cell>
          <cell r="E4893">
            <v>2797.06</v>
          </cell>
          <cell r="F4893">
            <v>2797.06</v>
          </cell>
        </row>
        <row r="4894">
          <cell r="A4894" t="str">
            <v>218180</v>
          </cell>
          <cell r="B4894" t="str">
            <v>Toco de tubo FD ponta/flange PN-10/16 DN 300 comp = 4,50 m</v>
          </cell>
          <cell r="C4894" t="str">
            <v>ud</v>
          </cell>
          <cell r="D4894">
            <v>0</v>
          </cell>
          <cell r="E4894">
            <v>3050.97</v>
          </cell>
          <cell r="F4894">
            <v>3050.97</v>
          </cell>
        </row>
        <row r="4895">
          <cell r="A4895" t="str">
            <v>218181</v>
          </cell>
          <cell r="B4895" t="str">
            <v>Toco de tubo FD ponta/flange PN-10/16 DN 300 comp = 5,00 m</v>
          </cell>
          <cell r="C4895" t="str">
            <v>ud</v>
          </cell>
          <cell r="D4895">
            <v>0</v>
          </cell>
          <cell r="E4895">
            <v>3460.54</v>
          </cell>
          <cell r="F4895">
            <v>3460.54</v>
          </cell>
        </row>
        <row r="4896">
          <cell r="A4896" t="str">
            <v>218182</v>
          </cell>
          <cell r="B4896" t="str">
            <v>Toco de tubo FD ponta/flange PN-10/16 DN 300 comp = 5,50 m</v>
          </cell>
          <cell r="C4896" t="str">
            <v>ud</v>
          </cell>
          <cell r="D4896">
            <v>0</v>
          </cell>
          <cell r="E4896">
            <v>3560.1</v>
          </cell>
          <cell r="F4896">
            <v>3560.1</v>
          </cell>
        </row>
        <row r="4897">
          <cell r="A4897" t="str">
            <v>218183</v>
          </cell>
          <cell r="B4897" t="str">
            <v>Toco de tubo FD ponta/flange PN-10/16 DN 300 comp = 5,80 m</v>
          </cell>
          <cell r="C4897" t="str">
            <v>ud</v>
          </cell>
          <cell r="D4897">
            <v>0</v>
          </cell>
          <cell r="E4897">
            <v>3621.07</v>
          </cell>
          <cell r="F4897">
            <v>3621.07</v>
          </cell>
        </row>
        <row r="4898">
          <cell r="A4898" t="str">
            <v>218184</v>
          </cell>
          <cell r="B4898" t="str">
            <v>Toco de tubo FD ponta/flange PN-10 DN 400 comp = 0,25 m</v>
          </cell>
          <cell r="C4898" t="str">
            <v>ud</v>
          </cell>
          <cell r="D4898">
            <v>0</v>
          </cell>
          <cell r="E4898">
            <v>875.27</v>
          </cell>
          <cell r="F4898">
            <v>875.27</v>
          </cell>
        </row>
        <row r="4899">
          <cell r="A4899" t="str">
            <v>218185</v>
          </cell>
          <cell r="B4899" t="str">
            <v>Toco de tubo FD ponta/flange PN-10 DN 400 comp = 0,50 m</v>
          </cell>
          <cell r="C4899" t="str">
            <v>ud</v>
          </cell>
          <cell r="D4899">
            <v>0</v>
          </cell>
          <cell r="E4899">
            <v>1228.1500000000001</v>
          </cell>
          <cell r="F4899">
            <v>1228.1500000000001</v>
          </cell>
        </row>
        <row r="4900">
          <cell r="A4900" t="str">
            <v>218186</v>
          </cell>
          <cell r="B4900" t="str">
            <v>Toco de tubo FD ponta/flange PN-10 DN 400 comp = 1,00 m</v>
          </cell>
          <cell r="C4900" t="str">
            <v>ud</v>
          </cell>
          <cell r="D4900">
            <v>0</v>
          </cell>
          <cell r="E4900">
            <v>1752.92</v>
          </cell>
          <cell r="F4900">
            <v>1752.92</v>
          </cell>
        </row>
        <row r="4901">
          <cell r="A4901" t="str">
            <v>218187</v>
          </cell>
          <cell r="B4901" t="str">
            <v>Toco de tubo FD ponta/flange PN-10 DN 400 comp = 1,50 m</v>
          </cell>
          <cell r="C4901" t="str">
            <v>ud</v>
          </cell>
          <cell r="D4901">
            <v>0</v>
          </cell>
          <cell r="E4901">
            <v>2089.9299999999998</v>
          </cell>
          <cell r="F4901">
            <v>2089.9299999999998</v>
          </cell>
        </row>
        <row r="4902">
          <cell r="A4902" t="str">
            <v>218188</v>
          </cell>
          <cell r="B4902" t="str">
            <v>Toco de tubo FD ponta/flange PN-10 DN 400 comp = 2,00 m</v>
          </cell>
          <cell r="C4902" t="str">
            <v>ud</v>
          </cell>
          <cell r="D4902">
            <v>0</v>
          </cell>
          <cell r="E4902">
            <v>2443.92</v>
          </cell>
          <cell r="F4902">
            <v>2443.92</v>
          </cell>
        </row>
        <row r="4903">
          <cell r="A4903" t="str">
            <v>218189</v>
          </cell>
          <cell r="B4903" t="str">
            <v>Toco de tubo FD ponta/flange PN-10 DN 400 comp = 2,50 m</v>
          </cell>
          <cell r="C4903" t="str">
            <v>ud</v>
          </cell>
          <cell r="D4903">
            <v>0</v>
          </cell>
          <cell r="E4903">
            <v>2789.42</v>
          </cell>
          <cell r="F4903">
            <v>2789.42</v>
          </cell>
        </row>
        <row r="4904">
          <cell r="A4904" t="str">
            <v>218190</v>
          </cell>
          <cell r="B4904" t="str">
            <v>Toco de tubo FD ponta/flange PN-10 DN 400 comp = 3,00 m</v>
          </cell>
          <cell r="C4904" t="str">
            <v>ud</v>
          </cell>
          <cell r="D4904">
            <v>0</v>
          </cell>
          <cell r="E4904">
            <v>3131.51</v>
          </cell>
          <cell r="F4904">
            <v>3131.51</v>
          </cell>
        </row>
        <row r="4905">
          <cell r="A4905" t="str">
            <v>218191</v>
          </cell>
          <cell r="B4905" t="str">
            <v>Toco de tubo FD ponta/flange PN-10 DN 400 comp = 3,50 m</v>
          </cell>
          <cell r="C4905" t="str">
            <v>ud</v>
          </cell>
          <cell r="D4905">
            <v>0</v>
          </cell>
          <cell r="E4905">
            <v>3476.99</v>
          </cell>
          <cell r="F4905">
            <v>3476.99</v>
          </cell>
        </row>
        <row r="4906">
          <cell r="A4906" t="str">
            <v>218192</v>
          </cell>
          <cell r="B4906" t="str">
            <v>Toco de tubo FD ponta/flange PN-10 DN 400 comp = 4,00 m</v>
          </cell>
          <cell r="C4906" t="str">
            <v>ud</v>
          </cell>
          <cell r="D4906">
            <v>0</v>
          </cell>
          <cell r="E4906">
            <v>3822.52</v>
          </cell>
          <cell r="F4906">
            <v>3822.52</v>
          </cell>
        </row>
        <row r="4907">
          <cell r="A4907" t="str">
            <v>218193</v>
          </cell>
          <cell r="B4907" t="str">
            <v>Toco de tubo FD ponta/flange PN-10 DN 400 comp = 4,50 m</v>
          </cell>
          <cell r="C4907" t="str">
            <v>ud</v>
          </cell>
          <cell r="D4907">
            <v>0</v>
          </cell>
          <cell r="E4907">
            <v>4167.9799999999996</v>
          </cell>
          <cell r="F4907">
            <v>4167.9799999999996</v>
          </cell>
        </row>
        <row r="4908">
          <cell r="A4908" t="str">
            <v>218194</v>
          </cell>
          <cell r="B4908" t="str">
            <v>Toco de tubo FD ponta/flange PN-10 DN 400 comp = 5,00 m</v>
          </cell>
          <cell r="C4908" t="str">
            <v>ud</v>
          </cell>
          <cell r="D4908">
            <v>0</v>
          </cell>
          <cell r="E4908">
            <v>4838.03</v>
          </cell>
          <cell r="F4908">
            <v>4838.03</v>
          </cell>
        </row>
        <row r="4909">
          <cell r="A4909" t="str">
            <v>218195</v>
          </cell>
          <cell r="B4909" t="str">
            <v>Toco de tubo FD ponta/flange PN-10 DN 400 comp = 5,50 m</v>
          </cell>
          <cell r="C4909" t="str">
            <v>ud</v>
          </cell>
          <cell r="D4909">
            <v>0</v>
          </cell>
          <cell r="E4909">
            <v>4860.74</v>
          </cell>
          <cell r="F4909">
            <v>4860.74</v>
          </cell>
        </row>
        <row r="4910">
          <cell r="A4910" t="str">
            <v>218196</v>
          </cell>
          <cell r="B4910" t="str">
            <v>Toco de tubo FD ponta/flange PN-10 DN 400 comp = 5,80 m</v>
          </cell>
          <cell r="C4910" t="str">
            <v>ud</v>
          </cell>
          <cell r="D4910">
            <v>0</v>
          </cell>
          <cell r="E4910">
            <v>4952.29</v>
          </cell>
          <cell r="F4910">
            <v>4952.29</v>
          </cell>
        </row>
        <row r="4911">
          <cell r="A4911" t="str">
            <v>2182</v>
          </cell>
          <cell r="B4911" t="str">
            <v>TOCO DE TUBO FD FLANGE/FLANGE C/ ABA DE VEDAÇÃO</v>
          </cell>
        </row>
        <row r="4912">
          <cell r="A4912" t="str">
            <v>218201</v>
          </cell>
          <cell r="B4912" t="str">
            <v>Toco de tubo FD flange/flange c/ aba de vedação PN-10/16/25 DN 50 comp = 0,25 m</v>
          </cell>
          <cell r="C4912" t="str">
            <v>ud</v>
          </cell>
          <cell r="D4912">
            <v>0</v>
          </cell>
          <cell r="E4912">
            <v>223.15</v>
          </cell>
          <cell r="F4912">
            <v>223.15</v>
          </cell>
        </row>
        <row r="4913">
          <cell r="A4913" t="str">
            <v>218202</v>
          </cell>
          <cell r="B4913" t="str">
            <v>Toco de tubo FD flange/flange c/ aba de vedação PN-10/16/25 DN 50 comp = 0,50 m</v>
          </cell>
          <cell r="C4913" t="str">
            <v>ud</v>
          </cell>
          <cell r="D4913">
            <v>0</v>
          </cell>
          <cell r="E4913">
            <v>290.58999999999997</v>
          </cell>
          <cell r="F4913">
            <v>290.58999999999997</v>
          </cell>
        </row>
        <row r="4914">
          <cell r="A4914" t="str">
            <v>218203</v>
          </cell>
          <cell r="B4914" t="str">
            <v>Toco de tubo FD flange/flange c/ aba de vedação PN-10/16 DN 75 comp = 0,25 m</v>
          </cell>
          <cell r="C4914" t="str">
            <v>ud</v>
          </cell>
          <cell r="D4914">
            <v>0</v>
          </cell>
          <cell r="E4914">
            <v>249.13</v>
          </cell>
          <cell r="F4914">
            <v>249.13</v>
          </cell>
        </row>
        <row r="4915">
          <cell r="A4915" t="str">
            <v>218204</v>
          </cell>
          <cell r="B4915" t="str">
            <v>Toco de tubo FD flange/flange c/ aba de vedação PN-10/16 DN 75 comp = 0,50 m</v>
          </cell>
          <cell r="C4915" t="str">
            <v>ud</v>
          </cell>
          <cell r="D4915">
            <v>0</v>
          </cell>
          <cell r="E4915">
            <v>394.42</v>
          </cell>
          <cell r="F4915">
            <v>394.42</v>
          </cell>
        </row>
        <row r="4916">
          <cell r="A4916" t="str">
            <v>218205</v>
          </cell>
          <cell r="B4916" t="str">
            <v>Toco de tubo FD flange/flange c/ aba de vedação PN-10/16 DN 75 comp = 1,00 m</v>
          </cell>
          <cell r="C4916" t="str">
            <v>ud</v>
          </cell>
          <cell r="D4916">
            <v>0</v>
          </cell>
          <cell r="E4916">
            <v>690.24</v>
          </cell>
          <cell r="F4916">
            <v>690.24</v>
          </cell>
        </row>
        <row r="4917">
          <cell r="A4917" t="str">
            <v>218206</v>
          </cell>
          <cell r="B4917" t="str">
            <v>Toco de tubo FD flange/flange c/ aba de vedação PN-10/16/25 DN 80 comp = 0,25 m</v>
          </cell>
          <cell r="C4917" t="str">
            <v>ud</v>
          </cell>
          <cell r="D4917">
            <v>0</v>
          </cell>
          <cell r="E4917">
            <v>432.51</v>
          </cell>
          <cell r="F4917">
            <v>432.51</v>
          </cell>
        </row>
        <row r="4918">
          <cell r="A4918" t="str">
            <v>218207</v>
          </cell>
          <cell r="B4918" t="str">
            <v>Toco de tubo FD flange/flange c/ aba de vedação PN-10/16/25 DN 80 comp = 0,50 m</v>
          </cell>
          <cell r="C4918" t="str">
            <v>ud</v>
          </cell>
          <cell r="D4918">
            <v>0</v>
          </cell>
          <cell r="E4918">
            <v>474.58</v>
          </cell>
          <cell r="F4918">
            <v>474.58</v>
          </cell>
        </row>
        <row r="4919">
          <cell r="A4919" t="str">
            <v>218208</v>
          </cell>
          <cell r="B4919" t="str">
            <v>Toco de tubo FD flange/flange c/ aba de vedação PN-10/16/25 DN 80 comp = 1,00 m</v>
          </cell>
          <cell r="C4919" t="str">
            <v>ud</v>
          </cell>
          <cell r="D4919">
            <v>0</v>
          </cell>
          <cell r="E4919">
            <v>622.01</v>
          </cell>
          <cell r="F4919">
            <v>622.01</v>
          </cell>
        </row>
        <row r="4920">
          <cell r="A4920" t="str">
            <v>218209</v>
          </cell>
          <cell r="B4920" t="str">
            <v>Toco de tubo FD flange/flange c/ aba de vedação PN-10/16/25 DN 80 comp = 1,50 m</v>
          </cell>
          <cell r="C4920" t="str">
            <v>ud</v>
          </cell>
          <cell r="D4920">
            <v>0</v>
          </cell>
          <cell r="E4920">
            <v>989.4</v>
          </cell>
          <cell r="F4920">
            <v>989.4</v>
          </cell>
        </row>
        <row r="4921">
          <cell r="A4921" t="str">
            <v>218210</v>
          </cell>
          <cell r="B4921" t="str">
            <v>Toco de tubo FD flange/flange c/ aba de vedação PN-10/16/25 DN 80 comp = 2,00 m</v>
          </cell>
          <cell r="C4921" t="str">
            <v>ud</v>
          </cell>
          <cell r="D4921">
            <v>0</v>
          </cell>
          <cell r="E4921">
            <v>1126.72</v>
          </cell>
          <cell r="F4921">
            <v>1126.72</v>
          </cell>
        </row>
        <row r="4922">
          <cell r="A4922" t="str">
            <v>218211</v>
          </cell>
          <cell r="B4922" t="str">
            <v>Toco de tubo FD flange/flange c/ aba de vedação PN-10/16/25 DN 80 comp = 2,50 m</v>
          </cell>
          <cell r="C4922" t="str">
            <v>ud</v>
          </cell>
          <cell r="D4922">
            <v>0</v>
          </cell>
          <cell r="E4922">
            <v>1264.3599999999999</v>
          </cell>
          <cell r="F4922">
            <v>1264.3599999999999</v>
          </cell>
        </row>
        <row r="4923">
          <cell r="A4923" t="str">
            <v>218212</v>
          </cell>
          <cell r="B4923" t="str">
            <v>Toco de tubo FD flange/flange c/ aba de vedação PN-10/16/25 DN 80 comp = 3,00 m</v>
          </cell>
          <cell r="C4923" t="str">
            <v>ud</v>
          </cell>
          <cell r="D4923">
            <v>0</v>
          </cell>
          <cell r="E4923">
            <v>1404.72</v>
          </cell>
          <cell r="F4923">
            <v>1404.72</v>
          </cell>
        </row>
        <row r="4924">
          <cell r="A4924" t="str">
            <v>218213</v>
          </cell>
          <cell r="B4924" t="str">
            <v>Toco de tubo FD flange/flange c/ aba de vedação PN-10/16/25 DN 80 comp = 3,50 m</v>
          </cell>
          <cell r="C4924" t="str">
            <v>ud</v>
          </cell>
          <cell r="D4924">
            <v>0</v>
          </cell>
          <cell r="E4924">
            <v>1540.22</v>
          </cell>
          <cell r="F4924">
            <v>1540.22</v>
          </cell>
        </row>
        <row r="4925">
          <cell r="A4925" t="str">
            <v>218214</v>
          </cell>
          <cell r="B4925" t="str">
            <v>Toco de tubo FD flange/flange c/ aba de vedação PN-10/16/25 DN 80 comp = 4,00 m</v>
          </cell>
          <cell r="C4925" t="str">
            <v>ud</v>
          </cell>
          <cell r="D4925">
            <v>0</v>
          </cell>
          <cell r="E4925">
            <v>1678.31</v>
          </cell>
          <cell r="F4925">
            <v>1678.31</v>
          </cell>
        </row>
        <row r="4926">
          <cell r="A4926" t="str">
            <v>218215</v>
          </cell>
          <cell r="B4926" t="str">
            <v>Toco de tubo FD flange/flange c/ aba de vedação PN-10/16/25 DN 80 comp = 4,50 m</v>
          </cell>
          <cell r="C4926" t="str">
            <v>ud</v>
          </cell>
          <cell r="D4926">
            <v>0</v>
          </cell>
          <cell r="E4926">
            <v>1814.12</v>
          </cell>
          <cell r="F4926">
            <v>1814.12</v>
          </cell>
        </row>
        <row r="4927">
          <cell r="A4927" t="str">
            <v>218216</v>
          </cell>
          <cell r="B4927" t="str">
            <v>Toco de tubo FD flange/flange c/ aba de vedação PN-10/16/25 DN 80 comp = 5,00 m</v>
          </cell>
          <cell r="C4927" t="str">
            <v>ud</v>
          </cell>
          <cell r="D4927">
            <v>0</v>
          </cell>
          <cell r="E4927">
            <v>1954.69</v>
          </cell>
          <cell r="F4927">
            <v>1954.69</v>
          </cell>
        </row>
        <row r="4928">
          <cell r="A4928" t="str">
            <v>218217</v>
          </cell>
          <cell r="B4928" t="str">
            <v>Toco de tubo FD flange/flange c/ aba de vedação PN-10/16/25 DN 80 comp = 5,50 m</v>
          </cell>
          <cell r="C4928" t="str">
            <v>ud</v>
          </cell>
          <cell r="D4928">
            <v>0</v>
          </cell>
          <cell r="E4928">
            <v>2092.96</v>
          </cell>
          <cell r="F4928">
            <v>2092.96</v>
          </cell>
        </row>
        <row r="4929">
          <cell r="A4929" t="str">
            <v>218218</v>
          </cell>
          <cell r="B4929" t="str">
            <v>Toco de tubo FD flange/flange c/ aba de vedação PN-10/16/25 DN 80 comp = 5,80 m</v>
          </cell>
          <cell r="C4929" t="str">
            <v>ud</v>
          </cell>
          <cell r="D4929">
            <v>0</v>
          </cell>
          <cell r="E4929">
            <v>2175.9299999999998</v>
          </cell>
          <cell r="F4929">
            <v>2175.9299999999998</v>
          </cell>
        </row>
        <row r="4930">
          <cell r="A4930" t="str">
            <v>218219</v>
          </cell>
          <cell r="B4930" t="str">
            <v>Toco de tubo FD flange/flange c/ aba de vedação PN-10/16 DN 100 comp = 0,25 m</v>
          </cell>
          <cell r="C4930" t="str">
            <v>ud</v>
          </cell>
          <cell r="D4930">
            <v>0</v>
          </cell>
          <cell r="E4930">
            <v>479</v>
          </cell>
          <cell r="F4930">
            <v>479</v>
          </cell>
        </row>
        <row r="4931">
          <cell r="A4931" t="str">
            <v>218220</v>
          </cell>
          <cell r="B4931" t="str">
            <v>Toco de tubo FD flange/flange c/ aba de vedação PN-10/16 DN 100 comp = 0,50 m</v>
          </cell>
          <cell r="C4931" t="str">
            <v>ud</v>
          </cell>
          <cell r="D4931">
            <v>0</v>
          </cell>
          <cell r="E4931">
            <v>591.70000000000005</v>
          </cell>
          <cell r="F4931">
            <v>591.70000000000005</v>
          </cell>
        </row>
        <row r="4932">
          <cell r="A4932" t="str">
            <v>218221</v>
          </cell>
          <cell r="B4932" t="str">
            <v>Toco de tubo FD flange/flange c/ aba de vedação PN-10/16 DN 100 comp = 1,00 m</v>
          </cell>
          <cell r="C4932" t="str">
            <v>ud</v>
          </cell>
          <cell r="D4932">
            <v>0</v>
          </cell>
          <cell r="E4932">
            <v>943.63</v>
          </cell>
          <cell r="F4932">
            <v>943.63</v>
          </cell>
        </row>
        <row r="4933">
          <cell r="A4933" t="str">
            <v>218222</v>
          </cell>
          <cell r="B4933" t="str">
            <v>Toco de tubo FD flange/flange c/ aba de vedação PN-10/16 DN 100 comp = 1,50 m</v>
          </cell>
          <cell r="C4933" t="str">
            <v>ud</v>
          </cell>
          <cell r="D4933">
            <v>0</v>
          </cell>
          <cell r="E4933">
            <v>1076.19</v>
          </cell>
          <cell r="F4933">
            <v>1076.19</v>
          </cell>
        </row>
        <row r="4934">
          <cell r="A4934" t="str">
            <v>218223</v>
          </cell>
          <cell r="B4934" t="str">
            <v>Toco de tubo FD flange/flange c/ aba de vedação PN-10/16 DN 100 comp = 2,00 m</v>
          </cell>
          <cell r="C4934" t="str">
            <v>ud</v>
          </cell>
          <cell r="D4934">
            <v>0</v>
          </cell>
          <cell r="E4934">
            <v>1215.3599999999999</v>
          </cell>
          <cell r="F4934">
            <v>1215.3599999999999</v>
          </cell>
        </row>
        <row r="4935">
          <cell r="A4935" t="str">
            <v>218224</v>
          </cell>
          <cell r="B4935" t="str">
            <v>Toco de tubo FD flange/flange c/ aba de vedação PN-10/16 DN 100 comp = 2,50 m</v>
          </cell>
          <cell r="C4935" t="str">
            <v>ud</v>
          </cell>
          <cell r="D4935">
            <v>0</v>
          </cell>
          <cell r="E4935">
            <v>1355.06</v>
          </cell>
          <cell r="F4935">
            <v>1355.06</v>
          </cell>
        </row>
        <row r="4936">
          <cell r="A4936" t="str">
            <v>218225</v>
          </cell>
          <cell r="B4936" t="str">
            <v>Toco de tubo FD flange/flange c/ aba de vedação PN-10/16 DN 100 comp = 3,00 m</v>
          </cell>
          <cell r="C4936" t="str">
            <v>ud</v>
          </cell>
          <cell r="D4936">
            <v>0</v>
          </cell>
          <cell r="E4936">
            <v>1495.07</v>
          </cell>
          <cell r="F4936">
            <v>1495.07</v>
          </cell>
        </row>
        <row r="4937">
          <cell r="A4937" t="str">
            <v>218226</v>
          </cell>
          <cell r="B4937" t="str">
            <v>Toco de tubo FD flange/flange c/ aba de vedação PN-10/16 DN 100 comp = 3,50 m</v>
          </cell>
          <cell r="C4937" t="str">
            <v>ud</v>
          </cell>
          <cell r="D4937">
            <v>0</v>
          </cell>
          <cell r="E4937">
            <v>1635.31</v>
          </cell>
          <cell r="F4937">
            <v>1635.31</v>
          </cell>
        </row>
        <row r="4938">
          <cell r="A4938" t="str">
            <v>218227</v>
          </cell>
          <cell r="B4938" t="str">
            <v>Toco de tubo FD flange/flange c/ aba de vedação PN-10/16 DN 100 comp = 4,00 m</v>
          </cell>
          <cell r="C4938" t="str">
            <v>ud</v>
          </cell>
          <cell r="D4938">
            <v>0</v>
          </cell>
          <cell r="E4938">
            <v>1775.71</v>
          </cell>
          <cell r="F4938">
            <v>1775.71</v>
          </cell>
        </row>
        <row r="4939">
          <cell r="A4939" t="str">
            <v>218228</v>
          </cell>
          <cell r="B4939" t="str">
            <v>Toco de tubo FD flange/flange c/ aba de vedação PN-10/16 DN 100 comp = 4,50 m</v>
          </cell>
          <cell r="C4939" t="str">
            <v>ud</v>
          </cell>
          <cell r="D4939">
            <v>0</v>
          </cell>
          <cell r="E4939">
            <v>1916.21</v>
          </cell>
          <cell r="F4939">
            <v>1916.21</v>
          </cell>
        </row>
        <row r="4940">
          <cell r="A4940" t="str">
            <v>218229</v>
          </cell>
          <cell r="B4940" t="str">
            <v>Toco de tubo FD flange/flange c/ aba de vedação PN-10/16 DN 100 comp = 5,00 m</v>
          </cell>
          <cell r="C4940" t="str">
            <v>ud</v>
          </cell>
          <cell r="D4940">
            <v>0</v>
          </cell>
          <cell r="E4940">
            <v>2056.81</v>
          </cell>
          <cell r="F4940">
            <v>2056.81</v>
          </cell>
        </row>
        <row r="4941">
          <cell r="A4941" t="str">
            <v>218230</v>
          </cell>
          <cell r="B4941" t="str">
            <v>Toco de tubo FD flange/flange c/ aba de vedação PN-10/16 DN 100 comp = 5,50 m</v>
          </cell>
          <cell r="C4941" t="str">
            <v>ud</v>
          </cell>
          <cell r="D4941">
            <v>0</v>
          </cell>
          <cell r="E4941">
            <v>2197.46</v>
          </cell>
          <cell r="F4941">
            <v>2197.46</v>
          </cell>
        </row>
        <row r="4942">
          <cell r="A4942" t="str">
            <v>218231</v>
          </cell>
          <cell r="B4942" t="str">
            <v>Toco de tubo FD flange/flange c/ aba de vedação PN-10/16 DN 100 comp = 5,80 m</v>
          </cell>
          <cell r="C4942" t="str">
            <v>ud</v>
          </cell>
          <cell r="D4942">
            <v>0</v>
          </cell>
          <cell r="E4942">
            <v>2281.88</v>
          </cell>
          <cell r="F4942">
            <v>2281.88</v>
          </cell>
        </row>
        <row r="4943">
          <cell r="A4943" t="str">
            <v>218232</v>
          </cell>
          <cell r="B4943" t="str">
            <v>Toco de tubo FD flange/flange c/ aba de vedação PN-10/16 DN 150 comp = 0,25 m</v>
          </cell>
          <cell r="C4943" t="str">
            <v>ud</v>
          </cell>
          <cell r="D4943">
            <v>0</v>
          </cell>
          <cell r="E4943">
            <v>731.26</v>
          </cell>
          <cell r="F4943">
            <v>731.26</v>
          </cell>
        </row>
        <row r="4944">
          <cell r="A4944" t="str">
            <v>218233</v>
          </cell>
          <cell r="B4944" t="str">
            <v>Toco de tubo FD flange/flange c/ aba de vedação PN-10/16 DN 150 comp = 0,50 m</v>
          </cell>
          <cell r="C4944" t="str">
            <v>ud</v>
          </cell>
          <cell r="D4944">
            <v>0</v>
          </cell>
          <cell r="E4944">
            <v>870.04</v>
          </cell>
          <cell r="F4944">
            <v>870.04</v>
          </cell>
        </row>
        <row r="4945">
          <cell r="A4945" t="str">
            <v>218234</v>
          </cell>
          <cell r="B4945" t="str">
            <v>Toco de tubo FD flange/flange c/ aba de vedação PN-10/16 DN 150 comp = 1,00 m</v>
          </cell>
          <cell r="C4945" t="str">
            <v>ud</v>
          </cell>
          <cell r="D4945">
            <v>0</v>
          </cell>
          <cell r="E4945">
            <v>1167.3599999999999</v>
          </cell>
          <cell r="F4945">
            <v>1167.3599999999999</v>
          </cell>
        </row>
        <row r="4946">
          <cell r="A4946" t="str">
            <v>218235</v>
          </cell>
          <cell r="B4946" t="str">
            <v>Toco de tubo FD flange/flange c/ aba de vedação PN-10/16 DN 150 comp = 1,50 m</v>
          </cell>
          <cell r="C4946" t="str">
            <v>ud</v>
          </cell>
          <cell r="D4946">
            <v>0</v>
          </cell>
          <cell r="E4946">
            <v>1423.24</v>
          </cell>
          <cell r="F4946">
            <v>1423.24</v>
          </cell>
        </row>
        <row r="4947">
          <cell r="A4947" t="str">
            <v>218236</v>
          </cell>
          <cell r="B4947" t="str">
            <v>Toco de tubo FD flange/flange c/ aba de vedação PN-10/16 DN 150 comp = 2,00 m</v>
          </cell>
          <cell r="C4947" t="str">
            <v>ud</v>
          </cell>
          <cell r="D4947">
            <v>0</v>
          </cell>
          <cell r="E4947">
            <v>1582.1</v>
          </cell>
          <cell r="F4947">
            <v>1582.1</v>
          </cell>
        </row>
        <row r="4948">
          <cell r="A4948" t="str">
            <v>218237</v>
          </cell>
          <cell r="B4948" t="str">
            <v>Toco de tubo FD flange/flange c/ aba de vedação PN-10/16 DN 150 comp = 2,50 m</v>
          </cell>
          <cell r="C4948" t="str">
            <v>ud</v>
          </cell>
          <cell r="D4948">
            <v>0</v>
          </cell>
          <cell r="E4948">
            <v>1742.29</v>
          </cell>
          <cell r="F4948">
            <v>1742.29</v>
          </cell>
        </row>
        <row r="4949">
          <cell r="A4949" t="str">
            <v>218238</v>
          </cell>
          <cell r="B4949" t="str">
            <v>Toco de tubo FD flange/flange c/ aba de vedação PN-10/16 DN 150 comp = 3,00 m</v>
          </cell>
          <cell r="C4949" t="str">
            <v>ud</v>
          </cell>
          <cell r="D4949">
            <v>0</v>
          </cell>
          <cell r="E4949">
            <v>1903.36</v>
          </cell>
          <cell r="F4949">
            <v>1903.36</v>
          </cell>
        </row>
        <row r="4950">
          <cell r="A4950" t="str">
            <v>218239</v>
          </cell>
          <cell r="B4950" t="str">
            <v>Toco de tubo FD flange/flange c/ aba de vedação PN-10/16 DN 150 comp = 3,50 m</v>
          </cell>
          <cell r="C4950" t="str">
            <v>ud</v>
          </cell>
          <cell r="D4950">
            <v>0</v>
          </cell>
          <cell r="E4950">
            <v>2065.02</v>
          </cell>
          <cell r="F4950">
            <v>2065.02</v>
          </cell>
        </row>
        <row r="4951">
          <cell r="A4951" t="str">
            <v>218240</v>
          </cell>
          <cell r="B4951" t="str">
            <v>Toco de tubo FD flange/flange c/ aba de vedação PN-10/16 DN 150 comp = 4,00 m</v>
          </cell>
          <cell r="C4951" t="str">
            <v>ud</v>
          </cell>
          <cell r="D4951">
            <v>0</v>
          </cell>
          <cell r="E4951">
            <v>2227.1</v>
          </cell>
          <cell r="F4951">
            <v>2227.1</v>
          </cell>
        </row>
        <row r="4952">
          <cell r="A4952" t="str">
            <v>218241</v>
          </cell>
          <cell r="B4952" t="str">
            <v>Toco de tubo FD flange/flange c/ aba de vedação PN-10/16 DN 150 comp = 4,50 m</v>
          </cell>
          <cell r="C4952" t="str">
            <v>ud</v>
          </cell>
          <cell r="D4952">
            <v>0</v>
          </cell>
          <cell r="E4952">
            <v>2389.5</v>
          </cell>
          <cell r="F4952">
            <v>2389.5</v>
          </cell>
        </row>
        <row r="4953">
          <cell r="A4953" t="str">
            <v>218242</v>
          </cell>
          <cell r="B4953" t="str">
            <v>Toco de tubo FD flange/flange c/ aba de vedação PN-10/16 DN 150 comp = 5,00 m</v>
          </cell>
          <cell r="C4953" t="str">
            <v>ud</v>
          </cell>
          <cell r="D4953">
            <v>0</v>
          </cell>
          <cell r="E4953">
            <v>2552.13</v>
          </cell>
          <cell r="F4953">
            <v>2552.13</v>
          </cell>
        </row>
        <row r="4954">
          <cell r="A4954" t="str">
            <v>218243</v>
          </cell>
          <cell r="B4954" t="str">
            <v>Toco de tubo FD flange/flange c/ aba de vedação PN-10/16 DN 150 comp = 5,50 m</v>
          </cell>
          <cell r="C4954" t="str">
            <v>ud</v>
          </cell>
          <cell r="D4954">
            <v>0</v>
          </cell>
          <cell r="E4954">
            <v>2714.96</v>
          </cell>
          <cell r="F4954">
            <v>2714.96</v>
          </cell>
        </row>
        <row r="4955">
          <cell r="A4955" t="str">
            <v>218244</v>
          </cell>
          <cell r="B4955" t="str">
            <v>Toco de tubo FD flange/flange c/ aba de vedação PN-10/16 DN 150 comp = 5,80 m</v>
          </cell>
          <cell r="C4955" t="str">
            <v>ud</v>
          </cell>
          <cell r="D4955">
            <v>0</v>
          </cell>
          <cell r="E4955">
            <v>2812.72</v>
          </cell>
          <cell r="F4955">
            <v>2812.72</v>
          </cell>
        </row>
        <row r="4956">
          <cell r="A4956" t="str">
            <v>218245</v>
          </cell>
          <cell r="B4956" t="str">
            <v>Toco de tubo FD flange/flange c/ aba de vedação PN-10/16 DN 200 comp = 0,25 m</v>
          </cell>
          <cell r="C4956" t="str">
            <v>ud</v>
          </cell>
          <cell r="D4956">
            <v>0</v>
          </cell>
          <cell r="E4956">
            <v>1016.56</v>
          </cell>
          <cell r="F4956">
            <v>1016.56</v>
          </cell>
        </row>
        <row r="4957">
          <cell r="A4957" t="str">
            <v>218246</v>
          </cell>
          <cell r="B4957" t="str">
            <v>Toco de tubo FD flange/flange c/ aba de vedação PN-10/16 DN 200 comp = 0,50 m</v>
          </cell>
          <cell r="C4957" t="str">
            <v>ud</v>
          </cell>
          <cell r="D4957">
            <v>0</v>
          </cell>
          <cell r="E4957">
            <v>1107.02</v>
          </cell>
          <cell r="F4957">
            <v>1107.02</v>
          </cell>
        </row>
        <row r="4958">
          <cell r="A4958" t="str">
            <v>218247</v>
          </cell>
          <cell r="B4958" t="str">
            <v>Toco de tubo FD flange/flange c/ aba de vedação PN-10/16 DN 200 comp = 1,00 m</v>
          </cell>
          <cell r="C4958" t="str">
            <v>ud</v>
          </cell>
          <cell r="D4958">
            <v>0</v>
          </cell>
          <cell r="E4958">
            <v>1513.07</v>
          </cell>
          <cell r="F4958">
            <v>1513.07</v>
          </cell>
        </row>
        <row r="4959">
          <cell r="A4959" t="str">
            <v>218248</v>
          </cell>
          <cell r="B4959" t="str">
            <v>Toco de tubo FD flange/flange c/ aba de vedação PN-10/16 DN 200 comp = 1,50 m</v>
          </cell>
          <cell r="C4959" t="str">
            <v>ud</v>
          </cell>
          <cell r="D4959">
            <v>0</v>
          </cell>
          <cell r="E4959">
            <v>1818.91</v>
          </cell>
          <cell r="F4959">
            <v>1818.91</v>
          </cell>
        </row>
        <row r="4960">
          <cell r="A4960" t="str">
            <v>218249</v>
          </cell>
          <cell r="B4960" t="str">
            <v>Toco de tubo FD flange/flange c/ aba de vedação PN-10/16 DN 200 comp = 2,00 m</v>
          </cell>
          <cell r="C4960" t="str">
            <v>ud</v>
          </cell>
          <cell r="D4960">
            <v>0</v>
          </cell>
          <cell r="E4960">
            <v>2014.61</v>
          </cell>
          <cell r="F4960">
            <v>2014.61</v>
          </cell>
        </row>
        <row r="4961">
          <cell r="A4961" t="str">
            <v>218250</v>
          </cell>
          <cell r="B4961" t="str">
            <v>Toco de tubo FD flange/flange c/ aba de vedação PN-10/16 DN 200 comp = 2,50 m</v>
          </cell>
          <cell r="C4961" t="str">
            <v>ud</v>
          </cell>
          <cell r="D4961">
            <v>0</v>
          </cell>
          <cell r="E4961">
            <v>2212.31</v>
          </cell>
          <cell r="F4961">
            <v>2212.31</v>
          </cell>
        </row>
        <row r="4962">
          <cell r="A4962" t="str">
            <v>218251</v>
          </cell>
          <cell r="B4962" t="str">
            <v>Toco de tubo FD flange/flange c/ aba de vedação PN-10/16 DN 200 comp = 3,00 m</v>
          </cell>
          <cell r="C4962" t="str">
            <v>ud</v>
          </cell>
          <cell r="D4962">
            <v>0</v>
          </cell>
          <cell r="E4962">
            <v>2411.31</v>
          </cell>
          <cell r="F4962">
            <v>2411.31</v>
          </cell>
        </row>
        <row r="4963">
          <cell r="A4963" t="str">
            <v>218252</v>
          </cell>
          <cell r="B4963" t="str">
            <v>Toco de tubo FD flange/flange c/ aba de vedação PN-10/16 DN 200 comp = 3,50 m</v>
          </cell>
          <cell r="C4963" t="str">
            <v>ud</v>
          </cell>
          <cell r="D4963">
            <v>0</v>
          </cell>
          <cell r="E4963">
            <v>2611.1999999999998</v>
          </cell>
          <cell r="F4963">
            <v>2611.1999999999998</v>
          </cell>
        </row>
        <row r="4964">
          <cell r="A4964" t="str">
            <v>218253</v>
          </cell>
          <cell r="B4964" t="str">
            <v>Toco de tubo FD flange/flange c/ aba de vedação PN-10/16 DN 200 comp = 4,00 m</v>
          </cell>
          <cell r="C4964" t="str">
            <v>ud</v>
          </cell>
          <cell r="D4964">
            <v>0</v>
          </cell>
          <cell r="E4964">
            <v>2811.73</v>
          </cell>
          <cell r="F4964">
            <v>2811.73</v>
          </cell>
        </row>
        <row r="4965">
          <cell r="A4965" t="str">
            <v>218254</v>
          </cell>
          <cell r="B4965" t="str">
            <v>Toco de tubo FD flange/flange c/ aba de vedação PN-10/16 DN 200 comp = 4,50 m</v>
          </cell>
          <cell r="C4965" t="str">
            <v>ud</v>
          </cell>
          <cell r="D4965">
            <v>0</v>
          </cell>
          <cell r="E4965">
            <v>3012.74</v>
          </cell>
          <cell r="F4965">
            <v>3012.74</v>
          </cell>
        </row>
        <row r="4966">
          <cell r="A4966" t="str">
            <v>218255</v>
          </cell>
          <cell r="B4966" t="str">
            <v>Toco de tubo FD flange/flange c/ aba de vedação PN-10/16 DN 200 comp = 5,00 m</v>
          </cell>
          <cell r="C4966" t="str">
            <v>ud</v>
          </cell>
          <cell r="D4966">
            <v>0</v>
          </cell>
          <cell r="E4966">
            <v>3214.11</v>
          </cell>
          <cell r="F4966">
            <v>3214.11</v>
          </cell>
        </row>
        <row r="4967">
          <cell r="A4967" t="str">
            <v>218256</v>
          </cell>
          <cell r="B4967" t="str">
            <v>Toco de tubo FD flange/flange c/ aba de vedação PN-10/16 DN 200 comp = 5,50 m</v>
          </cell>
          <cell r="C4967" t="str">
            <v>ud</v>
          </cell>
          <cell r="D4967">
            <v>0</v>
          </cell>
          <cell r="E4967">
            <v>3415.76</v>
          </cell>
          <cell r="F4967">
            <v>3415.76</v>
          </cell>
        </row>
        <row r="4968">
          <cell r="A4968" t="str">
            <v>218257</v>
          </cell>
          <cell r="B4968" t="str">
            <v>Toco de tubo FD flange/flange c/ aba de vedação PN-10/16 DN 200 comp = 5,80 m</v>
          </cell>
          <cell r="C4968" t="str">
            <v>ud</v>
          </cell>
          <cell r="D4968">
            <v>0</v>
          </cell>
          <cell r="E4968">
            <v>3536.85</v>
          </cell>
          <cell r="F4968">
            <v>3536.85</v>
          </cell>
        </row>
        <row r="4969">
          <cell r="A4969" t="str">
            <v>218258</v>
          </cell>
          <cell r="B4969" t="str">
            <v>Toco de tubo FD flange/flange c/ aba de vedação PN-10/16 DN 250 comp = 0,25 m</v>
          </cell>
          <cell r="C4969" t="str">
            <v>ud</v>
          </cell>
          <cell r="D4969">
            <v>0</v>
          </cell>
          <cell r="E4969">
            <v>1498.37</v>
          </cell>
          <cell r="F4969">
            <v>1498.37</v>
          </cell>
        </row>
        <row r="4970">
          <cell r="A4970" t="str">
            <v>218259</v>
          </cell>
          <cell r="B4970" t="str">
            <v>Toco de tubo FD flange/flange c/ aba de vedação PN-10/16 DN 250 comp = 0,50 m</v>
          </cell>
          <cell r="C4970" t="str">
            <v>ud</v>
          </cell>
          <cell r="D4970">
            <v>0</v>
          </cell>
          <cell r="E4970">
            <v>1635.6</v>
          </cell>
          <cell r="F4970">
            <v>1635.6</v>
          </cell>
        </row>
        <row r="4971">
          <cell r="A4971" t="str">
            <v>218260</v>
          </cell>
          <cell r="B4971" t="str">
            <v>Toco de tubo FD flange/flange c/ aba de vedação PN-10/16 DN 250 comp = 1,00 m</v>
          </cell>
          <cell r="C4971" t="str">
            <v>ud</v>
          </cell>
          <cell r="D4971">
            <v>0</v>
          </cell>
          <cell r="E4971">
            <v>1912.36</v>
          </cell>
          <cell r="F4971">
            <v>1912.36</v>
          </cell>
        </row>
        <row r="4972">
          <cell r="A4972" t="str">
            <v>218261</v>
          </cell>
          <cell r="B4972" t="str">
            <v>Toco de tubo FD flange/flange c/ aba de vedação PN-10/16 DN 250 comp = 1,50 m</v>
          </cell>
          <cell r="C4972" t="str">
            <v>ud</v>
          </cell>
          <cell r="D4972">
            <v>0</v>
          </cell>
          <cell r="E4972">
            <v>2561.1999999999998</v>
          </cell>
          <cell r="F4972">
            <v>2561.1999999999998</v>
          </cell>
        </row>
        <row r="4973">
          <cell r="A4973" t="str">
            <v>218262</v>
          </cell>
          <cell r="B4973" t="str">
            <v>Toco de tubo FD flange/flange c/ aba de vedação PN-10/16 DN 250 comp = 2,00 m</v>
          </cell>
          <cell r="C4973" t="str">
            <v>ud</v>
          </cell>
          <cell r="D4973">
            <v>0</v>
          </cell>
          <cell r="E4973">
            <v>2802.6</v>
          </cell>
          <cell r="F4973">
            <v>2802.6</v>
          </cell>
        </row>
        <row r="4974">
          <cell r="A4974" t="str">
            <v>218263</v>
          </cell>
          <cell r="B4974" t="str">
            <v>Toco de tubo FD flange/flange c/ aba de vedação PN-10/16 DN 250 comp = 2,50 m</v>
          </cell>
          <cell r="C4974" t="str">
            <v>ud</v>
          </cell>
          <cell r="D4974">
            <v>0</v>
          </cell>
          <cell r="E4974">
            <v>3046.82</v>
          </cell>
          <cell r="F4974">
            <v>3046.82</v>
          </cell>
        </row>
        <row r="4975">
          <cell r="A4975" t="str">
            <v>218264</v>
          </cell>
          <cell r="B4975" t="str">
            <v>Toco de tubo FD flange/flange c/ aba de vedação PN-10/16 DN 250 comp = 3,00 m</v>
          </cell>
          <cell r="C4975" t="str">
            <v>ud</v>
          </cell>
          <cell r="D4975">
            <v>0</v>
          </cell>
          <cell r="E4975">
            <v>3292.93</v>
          </cell>
          <cell r="F4975">
            <v>3292.93</v>
          </cell>
        </row>
        <row r="4976">
          <cell r="A4976" t="str">
            <v>218265</v>
          </cell>
          <cell r="B4976" t="str">
            <v>Toco de tubo FD flange/flange c/ aba de vedação PN-10/16 DN 250 comp = 3,50 m</v>
          </cell>
          <cell r="C4976" t="str">
            <v>ud</v>
          </cell>
          <cell r="D4976">
            <v>0</v>
          </cell>
          <cell r="E4976">
            <v>3540.38</v>
          </cell>
          <cell r="F4976">
            <v>3540.38</v>
          </cell>
        </row>
        <row r="4977">
          <cell r="A4977" t="str">
            <v>218266</v>
          </cell>
          <cell r="B4977" t="str">
            <v>Toco de tubo FD flange/flange c/ aba de vedação PN-10/16 DN 250 comp = 4,00 m</v>
          </cell>
          <cell r="C4977" t="str">
            <v>ud</v>
          </cell>
          <cell r="D4977">
            <v>0</v>
          </cell>
          <cell r="E4977">
            <v>3788.8</v>
          </cell>
          <cell r="F4977">
            <v>3788.8</v>
          </cell>
        </row>
        <row r="4978">
          <cell r="A4978" t="str">
            <v>218267</v>
          </cell>
          <cell r="B4978" t="str">
            <v>Toco de tubo FD flange/flange c/ aba de vedação PN-10/16 DN 250 comp = 4,50 m</v>
          </cell>
          <cell r="C4978" t="str">
            <v>ud</v>
          </cell>
          <cell r="D4978">
            <v>0</v>
          </cell>
          <cell r="E4978">
            <v>4037.93</v>
          </cell>
          <cell r="F4978">
            <v>4037.93</v>
          </cell>
        </row>
        <row r="4979">
          <cell r="A4979" t="str">
            <v>218268</v>
          </cell>
          <cell r="B4979" t="str">
            <v>Toco de tubo FD flange/flange c/ aba de vedação PN-10/16 DN 250 comp = 5,00 m</v>
          </cell>
          <cell r="C4979" t="str">
            <v>ud</v>
          </cell>
          <cell r="D4979">
            <v>0</v>
          </cell>
          <cell r="E4979">
            <v>4287.6400000000003</v>
          </cell>
          <cell r="F4979">
            <v>4287.6400000000003</v>
          </cell>
        </row>
        <row r="4980">
          <cell r="A4980" t="str">
            <v>218269</v>
          </cell>
          <cell r="B4980" t="str">
            <v>Toco de tubo FD flange/flange c/ aba de vedação PN-10/16 DN 250 comp = 5,50 m</v>
          </cell>
          <cell r="C4980" t="str">
            <v>ud</v>
          </cell>
          <cell r="D4980">
            <v>0</v>
          </cell>
          <cell r="E4980">
            <v>4537.8</v>
          </cell>
          <cell r="F4980">
            <v>4537.8</v>
          </cell>
        </row>
        <row r="4981">
          <cell r="A4981" t="str">
            <v>218270</v>
          </cell>
          <cell r="B4981" t="str">
            <v>Toco de tubo FD flange/flange c/ aba de vedação PN-10/16 DN 250 comp = 5,80 m</v>
          </cell>
          <cell r="C4981" t="str">
            <v>ud</v>
          </cell>
          <cell r="D4981">
            <v>0</v>
          </cell>
          <cell r="E4981">
            <v>4688.07</v>
          </cell>
          <cell r="F4981">
            <v>4688.07</v>
          </cell>
        </row>
        <row r="4982">
          <cell r="A4982" t="str">
            <v>218271</v>
          </cell>
          <cell r="B4982" t="str">
            <v>Toco de tubo FD flange/flange c/ aba de vedação PN-10/16 DN 300 comp = 0,25 m</v>
          </cell>
          <cell r="C4982" t="str">
            <v>ud</v>
          </cell>
          <cell r="D4982">
            <v>0</v>
          </cell>
          <cell r="E4982">
            <v>2195.46</v>
          </cell>
          <cell r="F4982">
            <v>2195.46</v>
          </cell>
        </row>
        <row r="4983">
          <cell r="A4983" t="str">
            <v>218272</v>
          </cell>
          <cell r="B4983" t="str">
            <v>Toco de tubo FD flange/flange c/ aba de vedação PN-10/16 DN 300 comp = 0,50 m</v>
          </cell>
          <cell r="C4983" t="str">
            <v>ud</v>
          </cell>
          <cell r="D4983">
            <v>0</v>
          </cell>
          <cell r="E4983">
            <v>2044.55</v>
          </cell>
          <cell r="F4983">
            <v>2044.55</v>
          </cell>
        </row>
        <row r="4984">
          <cell r="A4984" t="str">
            <v>218273</v>
          </cell>
          <cell r="B4984" t="str">
            <v>Toco de tubo FD flange/flange c/ aba de vedação PN-10/16 DN 300 comp = 1,00 m</v>
          </cell>
          <cell r="C4984" t="str">
            <v>ud</v>
          </cell>
          <cell r="D4984">
            <v>0</v>
          </cell>
          <cell r="E4984">
            <v>2630.84</v>
          </cell>
          <cell r="F4984">
            <v>2630.84</v>
          </cell>
        </row>
        <row r="4985">
          <cell r="A4985" t="str">
            <v>218274</v>
          </cell>
          <cell r="B4985" t="str">
            <v>Toco de tubo FD flange/flange c/ aba de vedação PN-10/16 DN 300 comp = 1,50 m</v>
          </cell>
          <cell r="C4985" t="str">
            <v>ud</v>
          </cell>
          <cell r="D4985">
            <v>0</v>
          </cell>
          <cell r="E4985">
            <v>3337.6</v>
          </cell>
          <cell r="F4985">
            <v>3337.6</v>
          </cell>
        </row>
        <row r="4986">
          <cell r="A4986" t="str">
            <v>218275</v>
          </cell>
          <cell r="B4986" t="str">
            <v>Toco de tubo FD flange/flange c/ aba de vedação PN-10/16 DN 300 comp = 2,00 m</v>
          </cell>
          <cell r="C4986" t="str">
            <v>ud</v>
          </cell>
          <cell r="D4986">
            <v>0</v>
          </cell>
          <cell r="E4986">
            <v>3611.6</v>
          </cell>
          <cell r="F4986">
            <v>3611.6</v>
          </cell>
        </row>
        <row r="4987">
          <cell r="A4987" t="str">
            <v>218276</v>
          </cell>
          <cell r="B4987" t="str">
            <v>Toco de tubo FD flange/flange c/ aba de vedação PN-10/16 DN 300 comp = 2,50 m</v>
          </cell>
          <cell r="C4987" t="str">
            <v>ud</v>
          </cell>
          <cell r="D4987">
            <v>0</v>
          </cell>
          <cell r="E4987">
            <v>3890.19</v>
          </cell>
          <cell r="F4987">
            <v>3890.19</v>
          </cell>
        </row>
        <row r="4988">
          <cell r="A4988" t="str">
            <v>218277</v>
          </cell>
          <cell r="B4988" t="str">
            <v>Toco de tubo FD flange/flange c/ aba de vedação PN-10/16 DN 300 comp = 3,00 m</v>
          </cell>
          <cell r="C4988" t="str">
            <v>ud</v>
          </cell>
          <cell r="D4988">
            <v>0</v>
          </cell>
          <cell r="E4988">
            <v>4171.93</v>
          </cell>
          <cell r="F4988">
            <v>4171.93</v>
          </cell>
        </row>
        <row r="4989">
          <cell r="A4989" t="str">
            <v>218278</v>
          </cell>
          <cell r="B4989" t="str">
            <v>Toco de tubo FD flange/flange c/ aba de vedação PN-10/16 DN 300 comp = 3,50 m</v>
          </cell>
          <cell r="C4989" t="str">
            <v>ud</v>
          </cell>
          <cell r="D4989">
            <v>0</v>
          </cell>
          <cell r="E4989">
            <v>4455.91</v>
          </cell>
          <cell r="F4989">
            <v>4455.91</v>
          </cell>
        </row>
        <row r="4990">
          <cell r="A4990" t="str">
            <v>218279</v>
          </cell>
          <cell r="B4990" t="str">
            <v>Toco de tubo FD flange/flange c/ aba de vedação PN-10/16 DN 300 comp = 4,00 m</v>
          </cell>
          <cell r="C4990" t="str">
            <v>ud</v>
          </cell>
          <cell r="D4990">
            <v>0</v>
          </cell>
          <cell r="E4990">
            <v>4741.55</v>
          </cell>
          <cell r="F4990">
            <v>4741.55</v>
          </cell>
        </row>
        <row r="4991">
          <cell r="A4991" t="str">
            <v>218280</v>
          </cell>
          <cell r="B4991" t="str">
            <v>Toco de tubo FD flange/flange c/ aba de vedação PN-10/16 DN 300 comp = 4,50 m</v>
          </cell>
          <cell r="C4991" t="str">
            <v>ud</v>
          </cell>
          <cell r="D4991">
            <v>0</v>
          </cell>
          <cell r="E4991">
            <v>5028.4399999999996</v>
          </cell>
          <cell r="F4991">
            <v>5028.4399999999996</v>
          </cell>
        </row>
        <row r="4992">
          <cell r="A4992" t="str">
            <v>218281</v>
          </cell>
          <cell r="B4992" t="str">
            <v>Toco de tubo FD flange/flange c/ aba de vedação PN-10/16 DN 300 comp = 5,00 m</v>
          </cell>
          <cell r="C4992" t="str">
            <v>ud</v>
          </cell>
          <cell r="D4992">
            <v>0</v>
          </cell>
          <cell r="E4992">
            <v>5316.31</v>
          </cell>
          <cell r="F4992">
            <v>5316.31</v>
          </cell>
        </row>
        <row r="4993">
          <cell r="A4993" t="str">
            <v>218282</v>
          </cell>
          <cell r="B4993" t="str">
            <v>Toco de tubo FD flange/flange c/ aba de vedação PN-10/16 DN 300 comp = 5,50 m</v>
          </cell>
          <cell r="C4993" t="str">
            <v>ud</v>
          </cell>
          <cell r="D4993">
            <v>0</v>
          </cell>
          <cell r="E4993">
            <v>5604.96</v>
          </cell>
          <cell r="F4993">
            <v>5604.96</v>
          </cell>
        </row>
        <row r="4994">
          <cell r="A4994" t="str">
            <v>218283</v>
          </cell>
          <cell r="B4994" t="str">
            <v>Toco de tubo FD flange/flange c/ aba de vedação PN-10/16 DN 300 comp = 5,80 m</v>
          </cell>
          <cell r="C4994" t="str">
            <v>ud</v>
          </cell>
          <cell r="D4994">
            <v>0</v>
          </cell>
          <cell r="E4994">
            <v>5778.46</v>
          </cell>
          <cell r="F4994">
            <v>5778.46</v>
          </cell>
        </row>
        <row r="4995">
          <cell r="A4995" t="str">
            <v>218284</v>
          </cell>
          <cell r="B4995" t="str">
            <v>Toco de tubo FD flange/flange c/ aba de vedação PN-10 DN 400 comp = 0,25 m</v>
          </cell>
          <cell r="C4995" t="str">
            <v>ud</v>
          </cell>
          <cell r="D4995">
            <v>0</v>
          </cell>
          <cell r="E4995">
            <v>2889.18</v>
          </cell>
          <cell r="F4995">
            <v>2889.18</v>
          </cell>
        </row>
        <row r="4996">
          <cell r="A4996" t="str">
            <v>218285</v>
          </cell>
          <cell r="B4996" t="str">
            <v>Toco de tubo FD flange/flange c/ aba de vedação PN-10 DN 400 comp = 0,50 m</v>
          </cell>
          <cell r="C4996" t="str">
            <v>ud</v>
          </cell>
          <cell r="D4996">
            <v>0</v>
          </cell>
          <cell r="E4996">
            <v>3295.85</v>
          </cell>
          <cell r="F4996">
            <v>3295.85</v>
          </cell>
        </row>
        <row r="4997">
          <cell r="A4997" t="str">
            <v>218286</v>
          </cell>
          <cell r="B4997" t="str">
            <v>Toco de tubo FD flange/flange c/ aba de vedação PN-10 DN 400 comp = 1,00 m</v>
          </cell>
          <cell r="C4997" t="str">
            <v>ud</v>
          </cell>
          <cell r="D4997">
            <v>0</v>
          </cell>
          <cell r="E4997">
            <v>3744.74</v>
          </cell>
          <cell r="F4997">
            <v>3744.74</v>
          </cell>
        </row>
        <row r="4998">
          <cell r="A4998" t="str">
            <v>218287</v>
          </cell>
          <cell r="B4998" t="str">
            <v>Toco de tubo FD flange/flange c/ aba de vedação PN-10 DN 400 comp = 1,50 m</v>
          </cell>
          <cell r="C4998" t="str">
            <v>ud</v>
          </cell>
          <cell r="D4998">
            <v>0</v>
          </cell>
          <cell r="E4998">
            <v>4653.12</v>
          </cell>
          <cell r="F4998">
            <v>4653.12</v>
          </cell>
        </row>
        <row r="4999">
          <cell r="A4999" t="str">
            <v>218288</v>
          </cell>
          <cell r="B4999" t="str">
            <v>Toco de tubo FD flange/flange c/ aba de vedação PN-10 DN 400 comp = 2,00 m</v>
          </cell>
          <cell r="C4999" t="str">
            <v>ud</v>
          </cell>
          <cell r="D4999">
            <v>0</v>
          </cell>
          <cell r="E4999">
            <v>5018.0600000000004</v>
          </cell>
          <cell r="F4999">
            <v>5018.0600000000004</v>
          </cell>
        </row>
        <row r="5000">
          <cell r="A5000" t="str">
            <v>218289</v>
          </cell>
          <cell r="B5000" t="str">
            <v>Toco de tubo FD flange/flange c/ aba de vedação PN-10 DN 400 comp = 2,50 m</v>
          </cell>
          <cell r="C5000" t="str">
            <v>ud</v>
          </cell>
          <cell r="D5000">
            <v>0</v>
          </cell>
          <cell r="E5000">
            <v>5389.38</v>
          </cell>
          <cell r="F5000">
            <v>5389.38</v>
          </cell>
        </row>
        <row r="5001">
          <cell r="A5001" t="str">
            <v>218290</v>
          </cell>
          <cell r="B5001" t="str">
            <v>Toco de tubo FD flange/flange c/ aba de vedação PN-10 DN 400 comp = 3,00 m</v>
          </cell>
          <cell r="C5001" t="str">
            <v>ud</v>
          </cell>
          <cell r="D5001">
            <v>0</v>
          </cell>
          <cell r="E5001">
            <v>5765.11</v>
          </cell>
          <cell r="F5001">
            <v>5765.11</v>
          </cell>
        </row>
        <row r="5002">
          <cell r="A5002" t="str">
            <v>218291</v>
          </cell>
          <cell r="B5002" t="str">
            <v>Toco de tubo FD flange/flange c/ aba de vedação PN-10 DN 400 comp = 3,50 m</v>
          </cell>
          <cell r="C5002" t="str">
            <v>ud</v>
          </cell>
          <cell r="D5002">
            <v>0</v>
          </cell>
          <cell r="E5002">
            <v>6143.99</v>
          </cell>
          <cell r="F5002">
            <v>6143.99</v>
          </cell>
        </row>
        <row r="5003">
          <cell r="A5003" t="str">
            <v>218292</v>
          </cell>
          <cell r="B5003" t="str">
            <v>Toco de tubo FD flange/flange c/ aba de vedação PN-10 DN 400 comp = 4,00 m</v>
          </cell>
          <cell r="C5003" t="str">
            <v>ud</v>
          </cell>
          <cell r="D5003">
            <v>0</v>
          </cell>
          <cell r="E5003">
            <v>6525.24</v>
          </cell>
          <cell r="F5003">
            <v>6525.24</v>
          </cell>
        </row>
        <row r="5004">
          <cell r="A5004" t="str">
            <v>218293</v>
          </cell>
          <cell r="B5004" t="str">
            <v>Toco de tubo FD flange/flange c/ aba de vedação PN-10 DN 400 comp = 4,50 m</v>
          </cell>
          <cell r="C5004" t="str">
            <v>ud</v>
          </cell>
          <cell r="D5004">
            <v>0</v>
          </cell>
          <cell r="E5004">
            <v>6908.26</v>
          </cell>
          <cell r="F5004">
            <v>6908.26</v>
          </cell>
        </row>
        <row r="5005">
          <cell r="A5005" t="str">
            <v>218294</v>
          </cell>
          <cell r="B5005" t="str">
            <v>Toco de tubo FD flange/flange c/ aba de vedação PN-10 DN 400 comp = 5,00 m</v>
          </cell>
          <cell r="C5005" t="str">
            <v>ud</v>
          </cell>
          <cell r="D5005">
            <v>0</v>
          </cell>
          <cell r="E5005">
            <v>7292.69</v>
          </cell>
          <cell r="F5005">
            <v>7292.69</v>
          </cell>
        </row>
        <row r="5006">
          <cell r="A5006" t="str">
            <v>218295</v>
          </cell>
          <cell r="B5006" t="str">
            <v>Toco de tubo FD flange/flange c/ aba de vedação PN-10 DN 400 comp = 5,50 m</v>
          </cell>
          <cell r="C5006" t="str">
            <v>ud</v>
          </cell>
          <cell r="D5006">
            <v>0</v>
          </cell>
          <cell r="E5006">
            <v>7678.23</v>
          </cell>
          <cell r="F5006">
            <v>7678.23</v>
          </cell>
        </row>
        <row r="5007">
          <cell r="A5007" t="str">
            <v>218296</v>
          </cell>
          <cell r="B5007" t="str">
            <v>Toco de tubo FD flange/flange c/ aba de vedação PN-10 DN 400 comp = 5,80 m</v>
          </cell>
          <cell r="C5007" t="str">
            <v>ud</v>
          </cell>
          <cell r="D5007">
            <v>0</v>
          </cell>
          <cell r="E5007">
            <v>7909.99</v>
          </cell>
          <cell r="F5007">
            <v>7909.99</v>
          </cell>
        </row>
        <row r="5008">
          <cell r="A5008" t="str">
            <v>2183</v>
          </cell>
          <cell r="B5008" t="str">
            <v>TOCO DE TUBO FD PONTA/FLANGE C/ ABA DE VEDAÇÃO</v>
          </cell>
        </row>
        <row r="5009">
          <cell r="A5009" t="str">
            <v>218301</v>
          </cell>
          <cell r="B5009" t="str">
            <v>Toco de tubo FD ponta/flange c/ aba de vedação PN-10/16/25 DN 50 comp = 0,25 m</v>
          </cell>
          <cell r="C5009" t="str">
            <v>ud</v>
          </cell>
          <cell r="D5009">
            <v>0</v>
          </cell>
          <cell r="E5009">
            <v>138.38</v>
          </cell>
          <cell r="F5009">
            <v>138.38</v>
          </cell>
        </row>
        <row r="5010">
          <cell r="A5010" t="str">
            <v>218302</v>
          </cell>
          <cell r="B5010" t="str">
            <v>Toco de tubo FD ponta/flange c/ aba de vedação PN-10/16/25 DN 50 comp = 0,50 m</v>
          </cell>
          <cell r="C5010" t="str">
            <v>ud</v>
          </cell>
          <cell r="D5010">
            <v>0</v>
          </cell>
          <cell r="E5010">
            <v>229.18</v>
          </cell>
          <cell r="F5010">
            <v>229.18</v>
          </cell>
        </row>
        <row r="5011">
          <cell r="A5011" t="str">
            <v>218303</v>
          </cell>
          <cell r="B5011" t="str">
            <v>Toco de tubo FD ponta/flange c/ aba de vedação PN-10/16 DN 75 comp = 0,25 m</v>
          </cell>
          <cell r="C5011" t="str">
            <v>ud</v>
          </cell>
          <cell r="D5011">
            <v>0</v>
          </cell>
          <cell r="E5011">
            <v>164.33</v>
          </cell>
          <cell r="F5011">
            <v>164.33</v>
          </cell>
        </row>
        <row r="5012">
          <cell r="A5012" t="str">
            <v>218304</v>
          </cell>
          <cell r="B5012" t="str">
            <v>Toco de tubo FD ponta/flange c/ aba de vedação PN-10/16 DN 75 comp = 0,50 m</v>
          </cell>
          <cell r="C5012" t="str">
            <v>ud</v>
          </cell>
          <cell r="D5012">
            <v>0</v>
          </cell>
          <cell r="E5012">
            <v>272.45999999999998</v>
          </cell>
          <cell r="F5012">
            <v>272.45999999999998</v>
          </cell>
        </row>
        <row r="5013">
          <cell r="A5013" t="str">
            <v>218305</v>
          </cell>
          <cell r="B5013" t="str">
            <v>Toco de tubo FD ponta/flange c/ aba de vedação PN-10/16 DN 75 comp = 1,00 m</v>
          </cell>
          <cell r="C5013" t="str">
            <v>ud</v>
          </cell>
          <cell r="D5013">
            <v>0</v>
          </cell>
          <cell r="E5013">
            <v>373.36</v>
          </cell>
          <cell r="F5013">
            <v>373.36</v>
          </cell>
        </row>
        <row r="5014">
          <cell r="A5014" t="str">
            <v>218306</v>
          </cell>
          <cell r="B5014" t="str">
            <v>Toco de tubo FD ponta/flange c/ aba de vedação PN-10/16/25 DN 80 comp = 0,25 m</v>
          </cell>
          <cell r="C5014" t="str">
            <v>ud</v>
          </cell>
          <cell r="D5014">
            <v>0</v>
          </cell>
          <cell r="E5014">
            <v>288.92</v>
          </cell>
          <cell r="F5014">
            <v>288.92</v>
          </cell>
        </row>
        <row r="5015">
          <cell r="A5015" t="str">
            <v>218307</v>
          </cell>
          <cell r="B5015" t="str">
            <v>Toco de tubo FD ponta/flange c/ aba de vedação PN-10/16/25 DN 80 comp = 0,50 m</v>
          </cell>
          <cell r="C5015" t="str">
            <v>ud</v>
          </cell>
          <cell r="D5015">
            <v>0</v>
          </cell>
          <cell r="E5015">
            <v>368.38</v>
          </cell>
          <cell r="F5015">
            <v>368.38</v>
          </cell>
        </row>
        <row r="5016">
          <cell r="A5016" t="str">
            <v>218308</v>
          </cell>
          <cell r="B5016" t="str">
            <v>Toco de tubo FD ponta/flange c/ aba de vedação PN-10/16/25 DN 80 comp = 1,00 m</v>
          </cell>
          <cell r="C5016" t="str">
            <v>ud</v>
          </cell>
          <cell r="D5016">
            <v>0</v>
          </cell>
          <cell r="E5016">
            <v>333.8</v>
          </cell>
          <cell r="F5016">
            <v>333.8</v>
          </cell>
        </row>
        <row r="5017">
          <cell r="A5017" t="str">
            <v>218309</v>
          </cell>
          <cell r="B5017" t="str">
            <v>Toco de tubo FD ponta/flange c/ aba de vedação PN-10/16/25 DN 80 comp = 1,50 m</v>
          </cell>
          <cell r="C5017" t="str">
            <v>ud</v>
          </cell>
          <cell r="D5017">
            <v>0</v>
          </cell>
          <cell r="E5017">
            <v>701.1</v>
          </cell>
          <cell r="F5017">
            <v>701.1</v>
          </cell>
        </row>
        <row r="5018">
          <cell r="A5018" t="str">
            <v>218310</v>
          </cell>
          <cell r="B5018" t="str">
            <v>Toco de tubo FD ponta/flange c/ aba de vedação PN-10/16/25 DN 80 comp = 2,00 m</v>
          </cell>
          <cell r="C5018" t="str">
            <v>ud</v>
          </cell>
          <cell r="D5018">
            <v>0</v>
          </cell>
          <cell r="E5018">
            <v>839.16</v>
          </cell>
          <cell r="F5018">
            <v>839.16</v>
          </cell>
        </row>
        <row r="5019">
          <cell r="A5019" t="str">
            <v>218311</v>
          </cell>
          <cell r="B5019" t="str">
            <v>Toco de tubo FD ponta/flange c/ aba de vedação PN-10/16/25 DN 80 comp = 2,50 m</v>
          </cell>
          <cell r="C5019" t="str">
            <v>ud</v>
          </cell>
          <cell r="D5019">
            <v>0</v>
          </cell>
          <cell r="E5019">
            <v>977.34</v>
          </cell>
          <cell r="F5019">
            <v>977.34</v>
          </cell>
        </row>
        <row r="5020">
          <cell r="A5020" t="str">
            <v>218312</v>
          </cell>
          <cell r="B5020" t="str">
            <v>Toco de tubo FD ponta/flange c/ aba de vedação PN-10/16/25 DN 80 comp = 3,00 m</v>
          </cell>
          <cell r="C5020" t="str">
            <v>ud</v>
          </cell>
          <cell r="D5020">
            <v>0</v>
          </cell>
          <cell r="E5020">
            <v>1115.6300000000001</v>
          </cell>
          <cell r="F5020">
            <v>1115.6300000000001</v>
          </cell>
        </row>
        <row r="5021">
          <cell r="A5021" t="str">
            <v>218313</v>
          </cell>
          <cell r="B5021" t="str">
            <v>Toco de tubo FD ponta/flange c/ aba de vedação PN-10/16/25 DN 80 comp = 3,50 m</v>
          </cell>
          <cell r="C5021" t="str">
            <v>ud</v>
          </cell>
          <cell r="D5021">
            <v>0</v>
          </cell>
          <cell r="E5021">
            <v>1253.95</v>
          </cell>
          <cell r="F5021">
            <v>1253.95</v>
          </cell>
        </row>
        <row r="5022">
          <cell r="A5022" t="str">
            <v>218314</v>
          </cell>
          <cell r="B5022" t="str">
            <v>Toco de tubo FD ponta/flange c/ aba de vedação PN-10/16/25 DN 80 comp = 4,00 m</v>
          </cell>
          <cell r="C5022" t="str">
            <v>ud</v>
          </cell>
          <cell r="D5022">
            <v>0</v>
          </cell>
          <cell r="E5022">
            <v>1392.32</v>
          </cell>
          <cell r="F5022">
            <v>1392.32</v>
          </cell>
        </row>
        <row r="5023">
          <cell r="A5023" t="str">
            <v>218315</v>
          </cell>
          <cell r="B5023" t="str">
            <v>Toco de tubo FD ponta/flange c/ aba de vedação PN-10/16/25 DN 80 comp = 4,50 m</v>
          </cell>
          <cell r="C5023" t="str">
            <v>ud</v>
          </cell>
          <cell r="D5023">
            <v>0</v>
          </cell>
          <cell r="E5023">
            <v>1530.7</v>
          </cell>
          <cell r="F5023">
            <v>1530.7</v>
          </cell>
        </row>
        <row r="5024">
          <cell r="A5024" t="str">
            <v>218316</v>
          </cell>
          <cell r="B5024" t="str">
            <v>Toco de tubo FD ponta/flange c/ aba de vedação PN-10/16/25 DN 80 comp = 5,00 m</v>
          </cell>
          <cell r="C5024" t="str">
            <v>ud</v>
          </cell>
          <cell r="D5024">
            <v>0</v>
          </cell>
          <cell r="E5024">
            <v>1669.1</v>
          </cell>
          <cell r="F5024">
            <v>1669.1</v>
          </cell>
        </row>
        <row r="5025">
          <cell r="A5025" t="str">
            <v>218317</v>
          </cell>
          <cell r="B5025" t="str">
            <v>Toco de tubo FD ponta/flange c/ aba de vedação PN-10/16/25 DN 80 comp = 5,50 m</v>
          </cell>
          <cell r="C5025" t="str">
            <v>ud</v>
          </cell>
          <cell r="D5025">
            <v>0</v>
          </cell>
          <cell r="E5025">
            <v>1807.52</v>
          </cell>
          <cell r="F5025">
            <v>1807.52</v>
          </cell>
        </row>
        <row r="5026">
          <cell r="A5026" t="str">
            <v>218318</v>
          </cell>
          <cell r="B5026" t="str">
            <v>Toco de tubo FD ponta/flange c/ aba de vedação PN-10/16/25 DN 80 comp = 5,80 m</v>
          </cell>
          <cell r="C5026" t="str">
            <v>ud</v>
          </cell>
          <cell r="D5026">
            <v>0</v>
          </cell>
          <cell r="E5026">
            <v>1890.58</v>
          </cell>
          <cell r="F5026">
            <v>1890.58</v>
          </cell>
        </row>
        <row r="5027">
          <cell r="A5027" t="str">
            <v>218319</v>
          </cell>
          <cell r="B5027" t="str">
            <v>Toco de tubo FD ponta/flange c/ aba de vedação PN-10/16 DN 100 comp = 0,25 m</v>
          </cell>
          <cell r="C5027" t="str">
            <v>ud</v>
          </cell>
          <cell r="D5027">
            <v>0</v>
          </cell>
          <cell r="E5027">
            <v>308.75</v>
          </cell>
          <cell r="F5027">
            <v>308.75</v>
          </cell>
        </row>
        <row r="5028">
          <cell r="A5028" t="str">
            <v>218320</v>
          </cell>
          <cell r="B5028" t="str">
            <v>Toco de tubo FD ponta/flange c/ aba de vedação PN-10/16 DN 100 comp = 0,50 m</v>
          </cell>
          <cell r="C5028" t="str">
            <v>ud</v>
          </cell>
          <cell r="D5028">
            <v>0</v>
          </cell>
          <cell r="E5028">
            <v>429.29</v>
          </cell>
          <cell r="F5028">
            <v>429.29</v>
          </cell>
        </row>
        <row r="5029">
          <cell r="A5029" t="str">
            <v>218321</v>
          </cell>
          <cell r="B5029" t="str">
            <v>Toco de tubo FD ponta/flange c/ aba de vedação PN-10/16 DN 100 comp = 1,00 m</v>
          </cell>
          <cell r="C5029" t="str">
            <v>ud</v>
          </cell>
          <cell r="D5029">
            <v>0</v>
          </cell>
          <cell r="E5029">
            <v>593.80999999999995</v>
          </cell>
          <cell r="F5029">
            <v>593.80999999999995</v>
          </cell>
        </row>
        <row r="5030">
          <cell r="A5030" t="str">
            <v>218322</v>
          </cell>
          <cell r="B5030" t="str">
            <v>Toco de tubo FD ponta/flange c/ aba de vedação PN-10/16 DN 100 comp = 1,50 m</v>
          </cell>
          <cell r="C5030" t="str">
            <v>ud</v>
          </cell>
          <cell r="D5030">
            <v>0</v>
          </cell>
          <cell r="E5030">
            <v>747.54</v>
          </cell>
          <cell r="F5030">
            <v>747.54</v>
          </cell>
        </row>
        <row r="5031">
          <cell r="A5031" t="str">
            <v>218323</v>
          </cell>
          <cell r="B5031" t="str">
            <v>Toco de tubo FD ponta/flange c/ aba de vedação PN-10/16 DN 100 comp = 2,00 m</v>
          </cell>
          <cell r="C5031" t="str">
            <v>ud</v>
          </cell>
          <cell r="D5031">
            <v>0</v>
          </cell>
          <cell r="E5031">
            <v>887.85</v>
          </cell>
          <cell r="F5031">
            <v>887.85</v>
          </cell>
        </row>
        <row r="5032">
          <cell r="A5032" t="str">
            <v>218324</v>
          </cell>
          <cell r="B5032" t="str">
            <v>Toco de tubo FD ponta/flange c/ aba de vedação PN-10/16 DN 100 comp = 2,50 m</v>
          </cell>
          <cell r="C5032" t="str">
            <v>ud</v>
          </cell>
          <cell r="D5032">
            <v>0</v>
          </cell>
          <cell r="E5032">
            <v>1028.4000000000001</v>
          </cell>
          <cell r="F5032">
            <v>1028.4000000000001</v>
          </cell>
        </row>
        <row r="5033">
          <cell r="A5033" t="str">
            <v>218325</v>
          </cell>
          <cell r="B5033" t="str">
            <v>Toco de tubo FD ponta/flange c/ aba de vedação PN-10/16 DN 100 comp = 3,00 m</v>
          </cell>
          <cell r="C5033" t="str">
            <v>ud</v>
          </cell>
          <cell r="D5033">
            <v>0</v>
          </cell>
          <cell r="E5033">
            <v>1169.08</v>
          </cell>
          <cell r="F5033">
            <v>1169.08</v>
          </cell>
        </row>
        <row r="5034">
          <cell r="A5034" t="str">
            <v>218326</v>
          </cell>
          <cell r="B5034" t="str">
            <v>Toco de tubo FD ponta/flange c/ aba de vedação PN-10/16 DN 100 comp = 3,50 m</v>
          </cell>
          <cell r="C5034" t="str">
            <v>ud</v>
          </cell>
          <cell r="D5034">
            <v>0</v>
          </cell>
          <cell r="E5034">
            <v>1309.8499999999999</v>
          </cell>
          <cell r="F5034">
            <v>1309.8499999999999</v>
          </cell>
        </row>
        <row r="5035">
          <cell r="A5035" t="str">
            <v>218327</v>
          </cell>
          <cell r="B5035" t="str">
            <v>Toco de tubo FD ponta/flange c/ aba de vedação PN-10/16 DN 100 comp = 4,00 m</v>
          </cell>
          <cell r="C5035" t="str">
            <v>ud</v>
          </cell>
          <cell r="D5035">
            <v>0</v>
          </cell>
          <cell r="E5035">
            <v>1450.67</v>
          </cell>
          <cell r="F5035">
            <v>1450.67</v>
          </cell>
        </row>
        <row r="5036">
          <cell r="A5036" t="str">
            <v>218328</v>
          </cell>
          <cell r="B5036" t="str">
            <v>Toco de tubo FD ponta/flange c/ aba de vedação PN-10/16 DN 100 comp = 4,50 m</v>
          </cell>
          <cell r="C5036" t="str">
            <v>ud</v>
          </cell>
          <cell r="D5036">
            <v>0</v>
          </cell>
          <cell r="E5036">
            <v>1591.54</v>
          </cell>
          <cell r="F5036">
            <v>1591.54</v>
          </cell>
        </row>
        <row r="5037">
          <cell r="A5037" t="str">
            <v>218329</v>
          </cell>
          <cell r="B5037" t="str">
            <v>Toco de tubo FD ponta/flange c/ aba de vedação PN-10/16 DN 100 comp = 5,00 m</v>
          </cell>
          <cell r="C5037" t="str">
            <v>ud</v>
          </cell>
          <cell r="D5037">
            <v>0</v>
          </cell>
          <cell r="E5037">
            <v>1732.44</v>
          </cell>
          <cell r="F5037">
            <v>1732.44</v>
          </cell>
        </row>
        <row r="5038">
          <cell r="A5038" t="str">
            <v>218330</v>
          </cell>
          <cell r="B5038" t="str">
            <v>Toco de tubo FD ponta/flange c/ aba de vedação PN-10/16 DN 100 comp = 5,50 m</v>
          </cell>
          <cell r="C5038" t="str">
            <v>ud</v>
          </cell>
          <cell r="D5038">
            <v>0</v>
          </cell>
          <cell r="E5038">
            <v>1873.35</v>
          </cell>
          <cell r="F5038">
            <v>1873.35</v>
          </cell>
        </row>
        <row r="5039">
          <cell r="A5039" t="str">
            <v>218331</v>
          </cell>
          <cell r="B5039" t="str">
            <v>Toco de tubo FD ponta/flange c/ aba de vedação PN-10/16 DN 100 comp = 5,80 m</v>
          </cell>
          <cell r="C5039" t="str">
            <v>ud</v>
          </cell>
          <cell r="D5039">
            <v>0</v>
          </cell>
          <cell r="E5039">
            <v>1957.91</v>
          </cell>
          <cell r="F5039">
            <v>1957.91</v>
          </cell>
        </row>
        <row r="5040">
          <cell r="A5040" t="str">
            <v>218332</v>
          </cell>
          <cell r="B5040" t="str">
            <v>Toco de tubo FD ponta/flange c/ aba de vedação PN-10/16 DN 150 comp = 0,25 m</v>
          </cell>
          <cell r="C5040" t="str">
            <v>ud</v>
          </cell>
          <cell r="D5040">
            <v>0</v>
          </cell>
          <cell r="E5040">
            <v>457.2</v>
          </cell>
          <cell r="F5040">
            <v>457.2</v>
          </cell>
        </row>
        <row r="5041">
          <cell r="A5041" t="str">
            <v>218333</v>
          </cell>
          <cell r="B5041" t="str">
            <v>Toco de tubo FD ponta/flange c/ aba de vedação PN-10/16 DN 150 comp = 0,50 m</v>
          </cell>
          <cell r="C5041" t="str">
            <v>ud</v>
          </cell>
          <cell r="D5041">
            <v>0</v>
          </cell>
          <cell r="E5041">
            <v>551.47</v>
          </cell>
          <cell r="F5041">
            <v>551.47</v>
          </cell>
        </row>
        <row r="5042">
          <cell r="A5042" t="str">
            <v>218334</v>
          </cell>
          <cell r="B5042" t="str">
            <v>Toco de tubo FD ponta/flange c/ aba de vedação PN-10/16 DN 150 comp = 1,00 m</v>
          </cell>
          <cell r="C5042" t="str">
            <v>ud</v>
          </cell>
          <cell r="D5042">
            <v>0</v>
          </cell>
          <cell r="E5042">
            <v>836.99</v>
          </cell>
          <cell r="F5042">
            <v>836.99</v>
          </cell>
        </row>
        <row r="5043">
          <cell r="A5043" t="str">
            <v>218335</v>
          </cell>
          <cell r="B5043" t="str">
            <v>Toco de tubo FD ponta/flange c/ aba de vedação PN-10/16 DN 150 comp = 1,50 m</v>
          </cell>
          <cell r="C5043" t="str">
            <v>ud</v>
          </cell>
          <cell r="D5043">
            <v>0</v>
          </cell>
          <cell r="E5043">
            <v>951.67</v>
          </cell>
          <cell r="F5043">
            <v>951.67</v>
          </cell>
        </row>
        <row r="5044">
          <cell r="A5044" t="str">
            <v>218336</v>
          </cell>
          <cell r="B5044" t="str">
            <v>Toco de tubo FD ponta/flange c/ aba de vedação PN-10/16 DN 150 comp = 2,00 m</v>
          </cell>
          <cell r="C5044" t="str">
            <v>ud</v>
          </cell>
          <cell r="D5044">
            <v>0</v>
          </cell>
          <cell r="E5044">
            <v>1113.55</v>
          </cell>
          <cell r="F5044">
            <v>1113.55</v>
          </cell>
        </row>
        <row r="5045">
          <cell r="A5045" t="str">
            <v>218337</v>
          </cell>
          <cell r="B5045" t="str">
            <v>Toco de tubo FD ponta/flange c/ aba de vedação PN-10/16 DN 150 comp = 2,50 m</v>
          </cell>
          <cell r="C5045" t="str">
            <v>ud</v>
          </cell>
          <cell r="D5045">
            <v>0</v>
          </cell>
          <cell r="E5045">
            <v>1276.06</v>
          </cell>
          <cell r="F5045">
            <v>1276.06</v>
          </cell>
        </row>
        <row r="5046">
          <cell r="A5046" t="str">
            <v>218338</v>
          </cell>
          <cell r="B5046" t="str">
            <v>Toco de tubo FD ponta/flange c/ aba de vedação PN-10/16 DN 150 comp = 3,00 m</v>
          </cell>
          <cell r="C5046" t="str">
            <v>ud</v>
          </cell>
          <cell r="D5046">
            <v>0</v>
          </cell>
          <cell r="E5046">
            <v>1438.97</v>
          </cell>
          <cell r="F5046">
            <v>1438.97</v>
          </cell>
        </row>
        <row r="5047">
          <cell r="A5047" t="str">
            <v>218339</v>
          </cell>
          <cell r="B5047" t="str">
            <v>Toco de tubo FD ponta/flange c/ aba de vedação PN-10/16 DN 150 comp = 3,50 m</v>
          </cell>
          <cell r="C5047" t="str">
            <v>ud</v>
          </cell>
          <cell r="D5047">
            <v>0</v>
          </cell>
          <cell r="E5047">
            <v>1602.1</v>
          </cell>
          <cell r="F5047">
            <v>1602.1</v>
          </cell>
        </row>
        <row r="5048">
          <cell r="A5048" t="str">
            <v>218340</v>
          </cell>
          <cell r="B5048" t="str">
            <v>Toco de tubo FD ponta/flange c/ aba de vedação PN-10/16 DN 150 comp = 4,00 m</v>
          </cell>
          <cell r="C5048" t="str">
            <v>ud</v>
          </cell>
          <cell r="D5048">
            <v>0</v>
          </cell>
          <cell r="E5048">
            <v>1765.41</v>
          </cell>
          <cell r="F5048">
            <v>1765.41</v>
          </cell>
        </row>
        <row r="5049">
          <cell r="A5049" t="str">
            <v>218341</v>
          </cell>
          <cell r="B5049" t="str">
            <v>Toco de tubo FD ponta/flange c/ aba de vedação PN-10/16 DN 150 comp = 4,50 m</v>
          </cell>
          <cell r="C5049" t="str">
            <v>ud</v>
          </cell>
          <cell r="D5049">
            <v>0</v>
          </cell>
          <cell r="E5049">
            <v>1928.82</v>
          </cell>
          <cell r="F5049">
            <v>1928.82</v>
          </cell>
        </row>
        <row r="5050">
          <cell r="A5050" t="str">
            <v>218342</v>
          </cell>
          <cell r="B5050" t="str">
            <v>Toco de tubo FD ponta/flange c/ aba de vedação PN-10/16 DN 150 comp = 5,00 m</v>
          </cell>
          <cell r="C5050" t="str">
            <v>ud</v>
          </cell>
          <cell r="D5050">
            <v>0</v>
          </cell>
          <cell r="E5050">
            <v>2092.3200000000002</v>
          </cell>
          <cell r="F5050">
            <v>2092.3200000000002</v>
          </cell>
        </row>
        <row r="5051">
          <cell r="A5051" t="str">
            <v>218343</v>
          </cell>
          <cell r="B5051" t="str">
            <v>Toco de tubo FD ponta/flange c/ aba de vedação PN-10/16 DN 150 comp = 5,50 m</v>
          </cell>
          <cell r="C5051" t="str">
            <v>ud</v>
          </cell>
          <cell r="D5051">
            <v>0</v>
          </cell>
          <cell r="E5051">
            <v>2255.89</v>
          </cell>
          <cell r="F5051">
            <v>2255.89</v>
          </cell>
        </row>
        <row r="5052">
          <cell r="A5052" t="str">
            <v>218344</v>
          </cell>
          <cell r="B5052" t="str">
            <v>Toco de tubo FD ponta/flange c/ aba de vedação PN-10/16 DN 150 comp = 5,80 m</v>
          </cell>
          <cell r="C5052" t="str">
            <v>ud</v>
          </cell>
          <cell r="D5052">
            <v>0</v>
          </cell>
          <cell r="E5052">
            <v>2354.06</v>
          </cell>
          <cell r="F5052">
            <v>2354.06</v>
          </cell>
        </row>
        <row r="5053">
          <cell r="A5053" t="str">
            <v>218345</v>
          </cell>
          <cell r="B5053" t="str">
            <v>Toco de tubo FD ponta/flange c/ aba de vedação PN-10/16 DN 200 comp = 0,25 m</v>
          </cell>
          <cell r="C5053" t="str">
            <v>ud</v>
          </cell>
          <cell r="D5053">
            <v>0</v>
          </cell>
          <cell r="E5053">
            <v>572.52</v>
          </cell>
          <cell r="F5053">
            <v>572.52</v>
          </cell>
        </row>
        <row r="5054">
          <cell r="A5054" t="str">
            <v>218346</v>
          </cell>
          <cell r="B5054" t="str">
            <v>Toco de tubo FD ponta/flange c/ aba de vedação PN-10/16 DN 200 comp = 0,50 m</v>
          </cell>
          <cell r="C5054" t="str">
            <v>ud</v>
          </cell>
          <cell r="D5054">
            <v>0</v>
          </cell>
          <cell r="E5054">
            <v>716.65</v>
          </cell>
          <cell r="F5054">
            <v>716.65</v>
          </cell>
        </row>
        <row r="5055">
          <cell r="A5055" t="str">
            <v>218347</v>
          </cell>
          <cell r="B5055" t="str">
            <v>Toco de tubo FD ponta/flange c/ aba de vedação PN-10/16 DN 200 comp = 1,00 m</v>
          </cell>
          <cell r="C5055" t="str">
            <v>ud</v>
          </cell>
          <cell r="D5055">
            <v>0</v>
          </cell>
          <cell r="E5055">
            <v>1156.82</v>
          </cell>
          <cell r="F5055">
            <v>1156.82</v>
          </cell>
        </row>
        <row r="5056">
          <cell r="A5056" t="str">
            <v>218348</v>
          </cell>
          <cell r="B5056" t="str">
            <v>Toco de tubo FD ponta/flange c/ aba de vedação PN-10/16 DN 200 comp = 1,50 m</v>
          </cell>
          <cell r="C5056" t="str">
            <v>ud</v>
          </cell>
          <cell r="D5056">
            <v>0</v>
          </cell>
          <cell r="E5056">
            <v>1205.6500000000001</v>
          </cell>
          <cell r="F5056">
            <v>1205.6500000000001</v>
          </cell>
        </row>
        <row r="5057">
          <cell r="A5057" t="str">
            <v>218349</v>
          </cell>
          <cell r="B5057" t="str">
            <v>Toco de tubo FD ponta/flange c/ aba de vedação PN-10/16 DN 200 comp = 2,00 m</v>
          </cell>
          <cell r="C5057" t="str">
            <v>ud</v>
          </cell>
          <cell r="D5057">
            <v>0</v>
          </cell>
          <cell r="E5057">
            <v>1405.86</v>
          </cell>
          <cell r="F5057">
            <v>1405.86</v>
          </cell>
        </row>
        <row r="5058">
          <cell r="A5058" t="str">
            <v>218350</v>
          </cell>
          <cell r="B5058" t="str">
            <v>Toco de tubo FD ponta/flange c/ aba de vedação PN-10/16 DN 200 comp = 2,50 m</v>
          </cell>
          <cell r="C5058" t="str">
            <v>ud</v>
          </cell>
          <cell r="D5058">
            <v>0</v>
          </cell>
          <cell r="E5058">
            <v>1607.05</v>
          </cell>
          <cell r="F5058">
            <v>1607.05</v>
          </cell>
        </row>
        <row r="5059">
          <cell r="A5059" t="str">
            <v>218351</v>
          </cell>
          <cell r="B5059" t="str">
            <v>Toco de tubo FD ponta/flange c/ aba de vedação PN-10/16 DN 200 comp = 3,00 m</v>
          </cell>
          <cell r="C5059" t="str">
            <v>ud</v>
          </cell>
          <cell r="D5059">
            <v>0</v>
          </cell>
          <cell r="E5059">
            <v>1808.81</v>
          </cell>
          <cell r="F5059">
            <v>1808.81</v>
          </cell>
        </row>
        <row r="5060">
          <cell r="A5060" t="str">
            <v>218352</v>
          </cell>
          <cell r="B5060" t="str">
            <v>Toco de tubo FD ponta/flange c/ aba de vedação PN-10/16 DN 200 comp = 3,50 m</v>
          </cell>
          <cell r="C5060" t="str">
            <v>ud</v>
          </cell>
          <cell r="D5060">
            <v>0</v>
          </cell>
          <cell r="E5060">
            <v>2010.94</v>
          </cell>
          <cell r="F5060">
            <v>2010.94</v>
          </cell>
        </row>
        <row r="5061">
          <cell r="A5061" t="str">
            <v>218353</v>
          </cell>
          <cell r="B5061" t="str">
            <v>Toco de tubo FD ponta/flange c/ aba de vedação PN-10/16 DN 200 comp = 4,00 m</v>
          </cell>
          <cell r="C5061" t="str">
            <v>ud</v>
          </cell>
          <cell r="D5061">
            <v>0</v>
          </cell>
          <cell r="E5061">
            <v>2213.31</v>
          </cell>
          <cell r="F5061">
            <v>2213.31</v>
          </cell>
        </row>
        <row r="5062">
          <cell r="A5062" t="str">
            <v>218354</v>
          </cell>
          <cell r="B5062" t="str">
            <v>Toco de tubo FD ponta/flange c/ aba de vedação PN-10/16 DN 200 comp = 4,50 m</v>
          </cell>
          <cell r="C5062" t="str">
            <v>ud</v>
          </cell>
          <cell r="D5062">
            <v>0</v>
          </cell>
          <cell r="E5062">
            <v>2415.87</v>
          </cell>
          <cell r="F5062">
            <v>2415.87</v>
          </cell>
        </row>
        <row r="5063">
          <cell r="A5063" t="str">
            <v>218355</v>
          </cell>
          <cell r="B5063" t="str">
            <v>Toco de tubo FD ponta/flange c/ aba de vedação PN-10/16 DN 200 comp = 5,00 m</v>
          </cell>
          <cell r="C5063" t="str">
            <v>ud</v>
          </cell>
          <cell r="D5063">
            <v>0</v>
          </cell>
          <cell r="E5063">
            <v>2618.5500000000002</v>
          </cell>
          <cell r="F5063">
            <v>2618.5500000000002</v>
          </cell>
        </row>
        <row r="5064">
          <cell r="A5064" t="str">
            <v>218356</v>
          </cell>
          <cell r="B5064" t="str">
            <v>Toco de tubo FD ponta/flange c/ aba de vedação PN-10/16 DN 200 comp = 5,50 m</v>
          </cell>
          <cell r="C5064" t="str">
            <v>ud</v>
          </cell>
          <cell r="D5064">
            <v>0</v>
          </cell>
          <cell r="E5064">
            <v>2821.32</v>
          </cell>
          <cell r="F5064">
            <v>2821.32</v>
          </cell>
        </row>
        <row r="5065">
          <cell r="A5065" t="str">
            <v>218357</v>
          </cell>
          <cell r="B5065" t="str">
            <v>Toco de tubo FD ponta/flange c/ aba de vedação PN-10/16 DN 200 comp = 5,80 m</v>
          </cell>
          <cell r="C5065" t="str">
            <v>ud</v>
          </cell>
          <cell r="D5065">
            <v>0</v>
          </cell>
          <cell r="E5065">
            <v>2943.03</v>
          </cell>
          <cell r="F5065">
            <v>2943.03</v>
          </cell>
        </row>
        <row r="5066">
          <cell r="A5066" t="str">
            <v>218358</v>
          </cell>
          <cell r="B5066" t="str">
            <v>Toco de tubo FD ponta/flange c/ aba de vedação PN-10/16 DN 250 comp = 0,25 m</v>
          </cell>
          <cell r="C5066" t="str">
            <v>ud</v>
          </cell>
          <cell r="D5066">
            <v>0</v>
          </cell>
          <cell r="E5066">
            <v>867.26</v>
          </cell>
          <cell r="F5066">
            <v>867.26</v>
          </cell>
        </row>
        <row r="5067">
          <cell r="A5067" t="str">
            <v>218359</v>
          </cell>
          <cell r="B5067" t="str">
            <v>Toco de tubo FD ponta/flange c/ aba de vedação PN-10/16 DN 250 comp = 0,50 m</v>
          </cell>
          <cell r="C5067" t="str">
            <v>ud</v>
          </cell>
          <cell r="D5067">
            <v>0</v>
          </cell>
          <cell r="E5067">
            <v>1044.06</v>
          </cell>
          <cell r="F5067">
            <v>1044.06</v>
          </cell>
        </row>
        <row r="5068">
          <cell r="A5068" t="str">
            <v>218360</v>
          </cell>
          <cell r="B5068" t="str">
            <v>Toco de tubo FD ponta/flange c/ aba de vedação PN-10/16 DN 250 comp = 1,00 m</v>
          </cell>
          <cell r="C5068" t="str">
            <v>ud</v>
          </cell>
          <cell r="D5068">
            <v>0</v>
          </cell>
          <cell r="E5068">
            <v>1333.16</v>
          </cell>
          <cell r="F5068">
            <v>1333.16</v>
          </cell>
        </row>
        <row r="5069">
          <cell r="A5069" t="str">
            <v>218361</v>
          </cell>
          <cell r="B5069" t="str">
            <v>Toco de tubo FD ponta/flange c/ aba de vedação PN-10/16 DN 250 comp = 1,50 m</v>
          </cell>
          <cell r="C5069" t="str">
            <v>ud</v>
          </cell>
          <cell r="D5069">
            <v>0</v>
          </cell>
          <cell r="E5069">
            <v>1646.46</v>
          </cell>
          <cell r="F5069">
            <v>1646.46</v>
          </cell>
        </row>
        <row r="5070">
          <cell r="A5070" t="str">
            <v>218362</v>
          </cell>
          <cell r="B5070" t="str">
            <v>Toco de tubo FD ponta/flange c/ aba de vedação PN-10/16 DN 250 comp = 2,00 m</v>
          </cell>
          <cell r="C5070" t="str">
            <v>ud</v>
          </cell>
          <cell r="D5070">
            <v>0</v>
          </cell>
          <cell r="E5070">
            <v>1894.39</v>
          </cell>
          <cell r="F5070">
            <v>1894.39</v>
          </cell>
        </row>
        <row r="5071">
          <cell r="A5071" t="str">
            <v>218363</v>
          </cell>
          <cell r="B5071" t="str">
            <v>Toco de tubo FD ponta/flange c/ aba de vedação PN-10/16 DN 250 comp = 2,50 m</v>
          </cell>
          <cell r="C5071" t="str">
            <v>ud</v>
          </cell>
          <cell r="D5071">
            <v>0</v>
          </cell>
          <cell r="E5071">
            <v>2143.8200000000002</v>
          </cell>
          <cell r="F5071">
            <v>2143.8200000000002</v>
          </cell>
        </row>
        <row r="5072">
          <cell r="A5072" t="str">
            <v>218364</v>
          </cell>
          <cell r="B5072" t="str">
            <v>Toco de tubo FD ponta/flange c/ aba de vedação PN-10/16 DN 250 comp = 3,00 m</v>
          </cell>
          <cell r="C5072" t="str">
            <v>ud</v>
          </cell>
          <cell r="D5072">
            <v>0</v>
          </cell>
          <cell r="E5072">
            <v>2394.15</v>
          </cell>
          <cell r="F5072">
            <v>2394.15</v>
          </cell>
        </row>
        <row r="5073">
          <cell r="A5073" t="str">
            <v>218365</v>
          </cell>
          <cell r="B5073" t="str">
            <v>Toco de tubo FD ponta/flange c/ aba de vedação PN-10/16 DN 250 comp = 3,50 m</v>
          </cell>
          <cell r="C5073" t="str">
            <v>ud</v>
          </cell>
          <cell r="D5073">
            <v>0</v>
          </cell>
          <cell r="E5073">
            <v>2645.07</v>
          </cell>
          <cell r="F5073">
            <v>2645.07</v>
          </cell>
        </row>
        <row r="5074">
          <cell r="A5074" t="str">
            <v>218366</v>
          </cell>
          <cell r="B5074" t="str">
            <v>Toco de tubo FD ponta/flange c/ aba de vedação PN-10/16 DN 250 comp = 4,00 m</v>
          </cell>
          <cell r="C5074" t="str">
            <v>ud</v>
          </cell>
          <cell r="D5074">
            <v>0</v>
          </cell>
          <cell r="E5074">
            <v>2896.38</v>
          </cell>
          <cell r="F5074">
            <v>2896.38</v>
          </cell>
        </row>
        <row r="5075">
          <cell r="A5075" t="str">
            <v>218367</v>
          </cell>
          <cell r="B5075" t="str">
            <v>Toco de tubo FD ponta/flange c/ aba de vedação PN-10/16 DN 250 comp = 4,50 m</v>
          </cell>
          <cell r="C5075" t="str">
            <v>ud</v>
          </cell>
          <cell r="D5075">
            <v>0</v>
          </cell>
          <cell r="E5075">
            <v>3147.99</v>
          </cell>
          <cell r="F5075">
            <v>3147.99</v>
          </cell>
        </row>
        <row r="5076">
          <cell r="A5076" t="str">
            <v>218368</v>
          </cell>
          <cell r="B5076" t="str">
            <v>Toco de tubo FD ponta/flange c/ aba de vedação PN-10/16 DN 250 comp = 5,00 m</v>
          </cell>
          <cell r="C5076" t="str">
            <v>ud</v>
          </cell>
          <cell r="D5076">
            <v>0</v>
          </cell>
          <cell r="E5076">
            <v>3399.8</v>
          </cell>
          <cell r="F5076">
            <v>3399.8</v>
          </cell>
        </row>
        <row r="5077">
          <cell r="A5077" t="str">
            <v>218369</v>
          </cell>
          <cell r="B5077" t="str">
            <v>Toco de tubo FD ponta/flange c/ aba de vedação PN-10/16 DN 250 comp = 5,50 m</v>
          </cell>
          <cell r="C5077" t="str">
            <v>ud</v>
          </cell>
          <cell r="D5077">
            <v>0</v>
          </cell>
          <cell r="E5077">
            <v>3651.78</v>
          </cell>
          <cell r="F5077">
            <v>3651.78</v>
          </cell>
        </row>
        <row r="5078">
          <cell r="A5078" t="str">
            <v>218370</v>
          </cell>
          <cell r="B5078" t="str">
            <v>Toco de tubo FD ponta/flange c/ aba de vedação PN-10/16 DN 250 comp = 5,80 m</v>
          </cell>
          <cell r="C5078" t="str">
            <v>ud</v>
          </cell>
          <cell r="D5078">
            <v>0</v>
          </cell>
          <cell r="E5078">
            <v>3803.03</v>
          </cell>
          <cell r="F5078">
            <v>3803.03</v>
          </cell>
        </row>
        <row r="5079">
          <cell r="A5079" t="str">
            <v>218371</v>
          </cell>
          <cell r="B5079" t="str">
            <v>Toco de tubo FD ponta/flange c/ aba de vedação PN-10/16 DN 300 comp = 0,25 m</v>
          </cell>
          <cell r="C5079" t="str">
            <v>ud</v>
          </cell>
          <cell r="D5079">
            <v>0</v>
          </cell>
          <cell r="E5079">
            <v>1233.21</v>
          </cell>
          <cell r="F5079">
            <v>1233.21</v>
          </cell>
        </row>
        <row r="5080">
          <cell r="A5080" t="str">
            <v>218372</v>
          </cell>
          <cell r="B5080" t="str">
            <v>Toco de tubo FD ponta/flange c/ aba de vedação PN-10/16 DN 300 comp = 0,50 m</v>
          </cell>
          <cell r="C5080" t="str">
            <v>ud</v>
          </cell>
          <cell r="D5080">
            <v>0</v>
          </cell>
          <cell r="E5080">
            <v>1425.02</v>
          </cell>
          <cell r="F5080">
            <v>1425.02</v>
          </cell>
        </row>
        <row r="5081">
          <cell r="A5081" t="str">
            <v>218373</v>
          </cell>
          <cell r="B5081" t="str">
            <v>Toco de tubo FD ponta/flange c/ aba de vedação PN-10/16 DN 300 comp = 1,00 m</v>
          </cell>
          <cell r="C5081" t="str">
            <v>ud</v>
          </cell>
          <cell r="D5081">
            <v>0</v>
          </cell>
          <cell r="E5081">
            <v>1942.29</v>
          </cell>
          <cell r="F5081">
            <v>1942.29</v>
          </cell>
        </row>
        <row r="5082">
          <cell r="A5082" t="str">
            <v>218374</v>
          </cell>
          <cell r="B5082" t="str">
            <v>Toco de tubo FD ponta/flange c/ aba de vedação PN-10/16 DN 300 comp = 1,50 m</v>
          </cell>
          <cell r="C5082" t="str">
            <v>ud</v>
          </cell>
          <cell r="D5082">
            <v>0</v>
          </cell>
          <cell r="E5082">
            <v>2085.96</v>
          </cell>
          <cell r="F5082">
            <v>2085.96</v>
          </cell>
        </row>
        <row r="5083">
          <cell r="A5083" t="str">
            <v>218375</v>
          </cell>
          <cell r="B5083" t="str">
            <v>Toco de tubo FD ponta/flange c/ aba de vedação PN-10/16 DN 300 comp = 2,00 m</v>
          </cell>
          <cell r="C5083" t="str">
            <v>ud</v>
          </cell>
          <cell r="D5083">
            <v>0</v>
          </cell>
          <cell r="E5083">
            <v>2370.77</v>
          </cell>
          <cell r="F5083">
            <v>2370.77</v>
          </cell>
        </row>
        <row r="5084">
          <cell r="A5084" t="str">
            <v>218376</v>
          </cell>
          <cell r="B5084" t="str">
            <v>Toco de tubo FD ponta/flange c/ aba de vedação PN-10/16 DN 300 comp = 2,50 m</v>
          </cell>
          <cell r="C5084" t="str">
            <v>ud</v>
          </cell>
          <cell r="D5084">
            <v>0</v>
          </cell>
          <cell r="E5084">
            <v>2658.15</v>
          </cell>
          <cell r="F5084">
            <v>2658.15</v>
          </cell>
        </row>
        <row r="5085">
          <cell r="A5085" t="str">
            <v>218377</v>
          </cell>
          <cell r="B5085" t="str">
            <v>Toco de tubo FD ponta/flange c/ aba de vedação PN-10/16 DN 300 comp = 3,00 m</v>
          </cell>
          <cell r="C5085" t="str">
            <v>ud</v>
          </cell>
          <cell r="D5085">
            <v>0</v>
          </cell>
          <cell r="E5085">
            <v>2947.11</v>
          </cell>
          <cell r="F5085">
            <v>2947.11</v>
          </cell>
        </row>
        <row r="5086">
          <cell r="A5086" t="str">
            <v>218378</v>
          </cell>
          <cell r="B5086" t="str">
            <v>Toco de tubo FD ponta/flange c/ aba de vedação PN-10/16 DN 300 comp = 3,50 m</v>
          </cell>
          <cell r="C5086" t="str">
            <v>ud</v>
          </cell>
          <cell r="D5086">
            <v>0</v>
          </cell>
          <cell r="E5086">
            <v>3237.11</v>
          </cell>
          <cell r="F5086">
            <v>3237.11</v>
          </cell>
        </row>
        <row r="5087">
          <cell r="A5087" t="str">
            <v>218379</v>
          </cell>
          <cell r="B5087" t="str">
            <v>Toco de tubo FD ponta/flange c/ aba de vedação PN-10/16 DN 300 comp = 4,00 m</v>
          </cell>
          <cell r="C5087" t="str">
            <v>ud</v>
          </cell>
          <cell r="D5087">
            <v>0</v>
          </cell>
          <cell r="E5087">
            <v>3527.83</v>
          </cell>
          <cell r="F5087">
            <v>3527.83</v>
          </cell>
        </row>
        <row r="5088">
          <cell r="A5088" t="str">
            <v>218380</v>
          </cell>
          <cell r="B5088" t="str">
            <v>Toco de tubo FD ponta/flange c/ aba de vedação PN-10/16 DN 300 comp = 4,50 m</v>
          </cell>
          <cell r="C5088" t="str">
            <v>ud</v>
          </cell>
          <cell r="D5088">
            <v>0</v>
          </cell>
          <cell r="E5088">
            <v>3819.05</v>
          </cell>
          <cell r="F5088">
            <v>3819.05</v>
          </cell>
        </row>
        <row r="5089">
          <cell r="A5089" t="str">
            <v>218381</v>
          </cell>
          <cell r="B5089" t="str">
            <v>Toco de tubo FD ponta/flange c/ aba de vedação PN-10/16 DN 300 comp = 5,00 m</v>
          </cell>
          <cell r="C5089" t="str">
            <v>ud</v>
          </cell>
          <cell r="D5089">
            <v>0</v>
          </cell>
          <cell r="E5089">
            <v>4110.67</v>
          </cell>
          <cell r="F5089">
            <v>4110.67</v>
          </cell>
        </row>
        <row r="5090">
          <cell r="A5090" t="str">
            <v>218382</v>
          </cell>
          <cell r="B5090" t="str">
            <v>Toco de tubo FD ponta/flange c/ aba de vedação PN-10/16 DN 300 comp = 5,50 m</v>
          </cell>
          <cell r="C5090" t="str">
            <v>ud</v>
          </cell>
          <cell r="D5090">
            <v>0</v>
          </cell>
          <cell r="E5090">
            <v>4402.57</v>
          </cell>
          <cell r="F5090">
            <v>4402.57</v>
          </cell>
        </row>
        <row r="5091">
          <cell r="A5091" t="str">
            <v>218383</v>
          </cell>
          <cell r="B5091" t="str">
            <v>Toco de tubo FD ponta/flange c/ aba de vedação PN-10/16 DN 300 comp = 5,80 m</v>
          </cell>
          <cell r="C5091" t="str">
            <v>ud</v>
          </cell>
          <cell r="D5091">
            <v>0</v>
          </cell>
          <cell r="E5091">
            <v>4577.83</v>
          </cell>
          <cell r="F5091">
            <v>4577.83</v>
          </cell>
        </row>
        <row r="5092">
          <cell r="A5092" t="str">
            <v>218384</v>
          </cell>
          <cell r="B5092" t="str">
            <v>Toco de tubo FD ponta/flange c/ aba de vedação PN-10 DN 400 comp = 0,25 m</v>
          </cell>
          <cell r="C5092" t="str">
            <v>ud</v>
          </cell>
          <cell r="D5092">
            <v>0</v>
          </cell>
          <cell r="E5092">
            <v>1673.49</v>
          </cell>
          <cell r="F5092">
            <v>1673.49</v>
          </cell>
        </row>
        <row r="5093">
          <cell r="A5093" t="str">
            <v>218385</v>
          </cell>
          <cell r="B5093" t="str">
            <v>Toco de tubo FD ponta/flange c/ aba de vedação PN-10 DN 400 comp = 0,50 m</v>
          </cell>
          <cell r="C5093" t="str">
            <v>ud</v>
          </cell>
          <cell r="D5093">
            <v>0</v>
          </cell>
          <cell r="E5093">
            <v>2026.23</v>
          </cell>
          <cell r="F5093">
            <v>2026.23</v>
          </cell>
        </row>
        <row r="5094">
          <cell r="A5094" t="str">
            <v>218386</v>
          </cell>
          <cell r="B5094" t="str">
            <v>Toco de tubo FD ponta/flange c/ aba de vedação PN-10 DN 400 comp = 1,00 m</v>
          </cell>
          <cell r="C5094" t="str">
            <v>ud</v>
          </cell>
          <cell r="D5094">
            <v>0</v>
          </cell>
          <cell r="E5094">
            <v>2774.06</v>
          </cell>
          <cell r="F5094">
            <v>2774.06</v>
          </cell>
        </row>
        <row r="5095">
          <cell r="A5095" t="str">
            <v>218387</v>
          </cell>
          <cell r="B5095" t="str">
            <v>Toco de tubo FD ponta/flange c/ aba de vedação PN-10 DN 400 comp = 1,50 m</v>
          </cell>
          <cell r="C5095" t="str">
            <v>ud</v>
          </cell>
          <cell r="D5095">
            <v>0</v>
          </cell>
          <cell r="E5095">
            <v>2882.55</v>
          </cell>
          <cell r="F5095">
            <v>2882.55</v>
          </cell>
        </row>
        <row r="5096">
          <cell r="A5096" t="str">
            <v>218388</v>
          </cell>
          <cell r="B5096" t="str">
            <v>Toco de tubo FD ponta/flange c/ aba de vedação PN-10 DN 400 comp = 2,00 m</v>
          </cell>
          <cell r="C5096" t="str">
            <v>ud</v>
          </cell>
          <cell r="D5096">
            <v>0</v>
          </cell>
          <cell r="E5096">
            <v>3262.62</v>
          </cell>
          <cell r="F5096">
            <v>3262.62</v>
          </cell>
        </row>
        <row r="5097">
          <cell r="A5097" t="str">
            <v>218389</v>
          </cell>
          <cell r="B5097" t="str">
            <v>Toco de tubo FD ponta/flange c/ aba de vedação PN-10 DN 400 comp = 2,50 m</v>
          </cell>
          <cell r="C5097" t="str">
            <v>ud</v>
          </cell>
          <cell r="D5097">
            <v>0</v>
          </cell>
          <cell r="E5097">
            <v>3646.34</v>
          </cell>
          <cell r="F5097">
            <v>3646.34</v>
          </cell>
        </row>
        <row r="5098">
          <cell r="A5098" t="str">
            <v>218390</v>
          </cell>
          <cell r="B5098" t="str">
            <v>Toco de tubo FD ponta/flange c/ aba de vedação PN-10 DN 400 comp = 3,00 m</v>
          </cell>
          <cell r="C5098" t="str">
            <v>ud</v>
          </cell>
          <cell r="D5098">
            <v>0</v>
          </cell>
          <cell r="E5098">
            <v>4032.33</v>
          </cell>
          <cell r="F5098">
            <v>4032.33</v>
          </cell>
        </row>
        <row r="5099">
          <cell r="A5099" t="str">
            <v>218391</v>
          </cell>
          <cell r="B5099" t="str">
            <v>Toco de tubo FD ponta/flange c/ aba de vedação PN-10 DN 400 comp = 3,50 m</v>
          </cell>
          <cell r="C5099" t="str">
            <v>ud</v>
          </cell>
          <cell r="D5099">
            <v>0</v>
          </cell>
          <cell r="E5099">
            <v>4419.8100000000004</v>
          </cell>
          <cell r="F5099">
            <v>4419.8100000000004</v>
          </cell>
        </row>
        <row r="5100">
          <cell r="A5100" t="str">
            <v>218392</v>
          </cell>
          <cell r="B5100" t="str">
            <v>Toco de tubo FD ponta/flange c/ aba de vedação PN-10 DN 400 comp = 4,00 m</v>
          </cell>
          <cell r="C5100" t="str">
            <v>ud</v>
          </cell>
          <cell r="D5100">
            <v>0</v>
          </cell>
          <cell r="E5100">
            <v>4808.34</v>
          </cell>
          <cell r="F5100">
            <v>4808.34</v>
          </cell>
        </row>
        <row r="5101">
          <cell r="A5101" t="str">
            <v>218393</v>
          </cell>
          <cell r="B5101" t="str">
            <v>Toco de tubo FD ponta/flange c/ aba de vedação PN-10 DN 400 comp = 4,50 m</v>
          </cell>
          <cell r="C5101" t="str">
            <v>ud</v>
          </cell>
          <cell r="D5101">
            <v>0</v>
          </cell>
          <cell r="E5101">
            <v>5197.6000000000004</v>
          </cell>
          <cell r="F5101">
            <v>5197.6000000000004</v>
          </cell>
        </row>
        <row r="5102">
          <cell r="A5102" t="str">
            <v>218394</v>
          </cell>
          <cell r="B5102" t="str">
            <v>Toco de tubo FD ponta/flange c/ aba de vedação PN-10 DN 400 comp = 5,00 m</v>
          </cell>
          <cell r="C5102" t="str">
            <v>ud</v>
          </cell>
          <cell r="D5102">
            <v>0</v>
          </cell>
          <cell r="E5102">
            <v>5587.44</v>
          </cell>
          <cell r="F5102">
            <v>5587.44</v>
          </cell>
        </row>
        <row r="5103">
          <cell r="A5103" t="str">
            <v>218395</v>
          </cell>
          <cell r="B5103" t="str">
            <v>Toco de tubo FD ponta/flange c/ aba de vedação PN-10 DN 400 comp = 5,50 m</v>
          </cell>
          <cell r="C5103" t="str">
            <v>ud</v>
          </cell>
          <cell r="D5103">
            <v>0</v>
          </cell>
          <cell r="E5103">
            <v>5977.69</v>
          </cell>
          <cell r="F5103">
            <v>5977.69</v>
          </cell>
        </row>
        <row r="5104">
          <cell r="A5104" t="str">
            <v>218396</v>
          </cell>
          <cell r="B5104" t="str">
            <v>Toco de tubo FD ponta/flange c/ aba de vedação PN-10 DN 400 comp = 5,80 m</v>
          </cell>
          <cell r="C5104" t="str">
            <v>ud</v>
          </cell>
          <cell r="D5104">
            <v>0</v>
          </cell>
          <cell r="E5104">
            <v>6212.01</v>
          </cell>
          <cell r="F5104">
            <v>6212.01</v>
          </cell>
        </row>
        <row r="5105">
          <cell r="A5105" t="str">
            <v>2190</v>
          </cell>
          <cell r="B5105" t="str">
            <v>TUBO FD K-7 JE</v>
          </cell>
        </row>
        <row r="5106">
          <cell r="A5106" t="str">
            <v>219003</v>
          </cell>
          <cell r="B5106" t="str">
            <v>Tubo FD PB JE2GS classe K7 DN150 conforme NBR 7675 - Barra de 6,00m (134457)</v>
          </cell>
          <cell r="C5106" t="str">
            <v>m</v>
          </cell>
          <cell r="D5106">
            <v>0</v>
          </cell>
        </row>
        <row r="5107">
          <cell r="A5107" t="str">
            <v>219004</v>
          </cell>
          <cell r="B5107" t="str">
            <v>Tubo FD PB JE2GS classe K7 DN200 conforme NBR 7675 - Barra de 6,00m (134465)</v>
          </cell>
          <cell r="C5107" t="str">
            <v>m</v>
          </cell>
          <cell r="D5107">
            <v>0</v>
          </cell>
        </row>
        <row r="5108">
          <cell r="A5108" t="str">
            <v>219005</v>
          </cell>
          <cell r="B5108" t="str">
            <v>Tubo FD PB JE2GS classe K7 DN250 conforme NBR 7675 - Barra de 6,00m (134473)</v>
          </cell>
          <cell r="C5108" t="str">
            <v>m</v>
          </cell>
          <cell r="D5108">
            <v>0</v>
          </cell>
        </row>
        <row r="5109">
          <cell r="A5109" t="str">
            <v>219006</v>
          </cell>
          <cell r="B5109" t="str">
            <v>Tubo FD PB JE2GS classe K7 DN300 conforme NBR 7675- Barra de 6,00m (134481)</v>
          </cell>
          <cell r="C5109" t="str">
            <v>m</v>
          </cell>
          <cell r="D5109">
            <v>0</v>
          </cell>
        </row>
        <row r="5110">
          <cell r="A5110" t="str">
            <v>219007</v>
          </cell>
          <cell r="B5110" t="str">
            <v>Tubo FD PB JE2GS classe K7 DN350 conforme NBR 7675 - Barra de 6,00m (134490)</v>
          </cell>
          <cell r="C5110" t="str">
            <v>m</v>
          </cell>
          <cell r="D5110">
            <v>0</v>
          </cell>
        </row>
        <row r="5111">
          <cell r="A5111" t="str">
            <v>219008</v>
          </cell>
          <cell r="B5111" t="str">
            <v>Tubo FD PB JE2GS classe K7 DN400 conforme NBR 7675- Barra de 6,00m (134503)</v>
          </cell>
          <cell r="C5111" t="str">
            <v>m</v>
          </cell>
          <cell r="D5111">
            <v>0</v>
          </cell>
        </row>
        <row r="5112">
          <cell r="A5112" t="str">
            <v>219009</v>
          </cell>
          <cell r="B5112" t="str">
            <v>Tubo FD PB JE2GS classe K7 DN450 conforme NBR 7675 - Barra de 6,00m</v>
          </cell>
          <cell r="C5112" t="str">
            <v>m</v>
          </cell>
          <cell r="D5112">
            <v>0</v>
          </cell>
        </row>
        <row r="5113">
          <cell r="A5113" t="str">
            <v>219010</v>
          </cell>
          <cell r="B5113" t="str">
            <v>Tubo FD PB JE2GS classe K7 DN500 conforme NBR 7675 - Barra de 6,00m (134511)</v>
          </cell>
          <cell r="C5113" t="str">
            <v>m</v>
          </cell>
          <cell r="D5113">
            <v>0</v>
          </cell>
        </row>
        <row r="5114">
          <cell r="A5114" t="str">
            <v>219011</v>
          </cell>
          <cell r="B5114" t="str">
            <v>Tubo FD PB JE2GS classe K7 DN600 conforme NBR 7675 - Barra de 6,00m (134520)</v>
          </cell>
          <cell r="C5114" t="str">
            <v>m</v>
          </cell>
          <cell r="D5114">
            <v>0</v>
          </cell>
        </row>
        <row r="5115">
          <cell r="A5115" t="str">
            <v>219012</v>
          </cell>
          <cell r="B5115" t="str">
            <v>Tubo FD PB JE2GS classe K7 DN700 conforme NBR 7675 - Barra de 7,00m (134538)</v>
          </cell>
          <cell r="C5115" t="str">
            <v>m</v>
          </cell>
          <cell r="D5115">
            <v>0</v>
          </cell>
        </row>
        <row r="5116">
          <cell r="A5116" t="str">
            <v>219013</v>
          </cell>
          <cell r="B5116" t="str">
            <v>Tubo FD PB JE2GS classe K7 DN800 conforme NBR 7675 - Barra de 7,00m (134546)</v>
          </cell>
          <cell r="C5116" t="str">
            <v>m</v>
          </cell>
          <cell r="D5116">
            <v>0</v>
          </cell>
        </row>
        <row r="5117">
          <cell r="A5117" t="str">
            <v>219014</v>
          </cell>
          <cell r="B5117" t="str">
            <v>Tubo FD PB JE2GS classe K7 DN900 conforme NBR 7675 - Barra de 7,00m (134554)</v>
          </cell>
          <cell r="C5117" t="str">
            <v>m</v>
          </cell>
          <cell r="D5117">
            <v>0</v>
          </cell>
        </row>
        <row r="5118">
          <cell r="A5118" t="str">
            <v>219015</v>
          </cell>
          <cell r="B5118" t="str">
            <v>Tubo FD PB JE2GS classe K7 DN1000 conforme NBR 7675 - Barra de 7,00m (134562)</v>
          </cell>
          <cell r="C5118" t="str">
            <v>m</v>
          </cell>
          <cell r="D5118">
            <v>0</v>
          </cell>
        </row>
        <row r="5119">
          <cell r="A5119" t="str">
            <v>219016</v>
          </cell>
          <cell r="B5119" t="str">
            <v>Tubo FD PB JE2GS classe K7 DN1100 conforme NBR 7675 - Barra de 7,00m</v>
          </cell>
          <cell r="C5119" t="str">
            <v>m</v>
          </cell>
          <cell r="D5119">
            <v>0</v>
          </cell>
        </row>
        <row r="5120">
          <cell r="A5120" t="str">
            <v>219017</v>
          </cell>
          <cell r="B5120" t="str">
            <v>Tubo FD PB JE2GS classe K7 DN1200 conforme NBR 7675 - Barra de 7,00m (133094)</v>
          </cell>
          <cell r="C5120" t="str">
            <v>m</v>
          </cell>
          <cell r="D5120">
            <v>0</v>
          </cell>
        </row>
        <row r="5121">
          <cell r="A5121" t="str">
            <v>2191</v>
          </cell>
          <cell r="B5121" t="str">
            <v>TUBO FD K-9 JE</v>
          </cell>
        </row>
        <row r="5122">
          <cell r="A5122" t="str">
            <v>219101</v>
          </cell>
          <cell r="B5122" t="str">
            <v>Tubo FD PB JE2GS classe K9 DN75/80 conforme NBR 7675 barra de 6,00m (270822)</v>
          </cell>
          <cell r="C5122" t="str">
            <v>m</v>
          </cell>
          <cell r="D5122">
            <v>0</v>
          </cell>
        </row>
        <row r="5123">
          <cell r="A5123" t="str">
            <v>219102</v>
          </cell>
          <cell r="B5123" t="str">
            <v>Tubo FD PB JE2GS classe K9 DN100 conforme projeto NBR 7675 - Barra de 6,00m (15130)</v>
          </cell>
          <cell r="C5123" t="str">
            <v>m</v>
          </cell>
          <cell r="D5123">
            <v>0</v>
          </cell>
        </row>
        <row r="5124">
          <cell r="A5124" t="str">
            <v>219103</v>
          </cell>
          <cell r="B5124" t="str">
            <v>Tubo FD PB JE2GS classe K9 DN150 conforme projeto NBR 7675 - Barra de 6,00m (15172)</v>
          </cell>
          <cell r="C5124" t="str">
            <v>m</v>
          </cell>
          <cell r="D5124">
            <v>0</v>
          </cell>
        </row>
        <row r="5125">
          <cell r="A5125" t="str">
            <v>219104</v>
          </cell>
          <cell r="B5125" t="str">
            <v>Tubo FD PB JE2GS classe K9 DN200 conforme projeto NBR 7675 - Barra de 6,00m (15199)</v>
          </cell>
          <cell r="C5125" t="str">
            <v>m</v>
          </cell>
          <cell r="D5125">
            <v>0</v>
          </cell>
        </row>
        <row r="5126">
          <cell r="A5126" t="str">
            <v>219105</v>
          </cell>
          <cell r="B5126" t="str">
            <v>Tubo FD PB JE2GS classe K9 DN250 conforme projeto NBR 7675 - Barra de 6,00m (15229)</v>
          </cell>
          <cell r="C5126" t="str">
            <v>m</v>
          </cell>
          <cell r="D5126">
            <v>0</v>
          </cell>
        </row>
        <row r="5127">
          <cell r="A5127" t="str">
            <v>219106</v>
          </cell>
          <cell r="B5127" t="str">
            <v>Tubo FD PB JE2GS classe K9 DN300 conforme projeto NBR 7675 - Barra de 6,00m (15245)</v>
          </cell>
          <cell r="C5127" t="str">
            <v>m</v>
          </cell>
          <cell r="D5127">
            <v>0</v>
          </cell>
        </row>
        <row r="5128">
          <cell r="A5128" t="str">
            <v>219107</v>
          </cell>
          <cell r="B5128" t="str">
            <v>Tubo FD PB JE2GS classe K9 DN350 conforme projeto NBR 7675 - Barra de 6,00m (15261)</v>
          </cell>
          <cell r="C5128" t="str">
            <v>m</v>
          </cell>
          <cell r="D5128">
            <v>0</v>
          </cell>
        </row>
        <row r="5129">
          <cell r="A5129" t="str">
            <v>219108</v>
          </cell>
          <cell r="B5129" t="str">
            <v>Tubo FD PB JE2GS classe K9 DN400 conforme projeto NBR 7675 - Barra de 6,00m (15288)</v>
          </cell>
          <cell r="C5129" t="str">
            <v>m</v>
          </cell>
          <cell r="D5129">
            <v>0</v>
          </cell>
        </row>
        <row r="5130">
          <cell r="A5130" t="str">
            <v>219109</v>
          </cell>
          <cell r="B5130" t="str">
            <v>Tubo FD PB JE2GS classe K9 DN450 conforme projeto NBR 7675 - Barra de 6,00m (15296)</v>
          </cell>
          <cell r="C5130" t="str">
            <v>m</v>
          </cell>
          <cell r="D5130">
            <v>0</v>
          </cell>
        </row>
        <row r="5131">
          <cell r="A5131" t="str">
            <v>219110</v>
          </cell>
          <cell r="B5131" t="str">
            <v>Tubo FD PB JE2GS classe K9 DN500 conforme projeto NBR 7675 - Barra de 6,00m (15318)</v>
          </cell>
          <cell r="C5131" t="str">
            <v>m</v>
          </cell>
          <cell r="D5131">
            <v>0</v>
          </cell>
        </row>
        <row r="5132">
          <cell r="A5132" t="str">
            <v>219111</v>
          </cell>
          <cell r="B5132" t="str">
            <v>Tubo FD PB JE2GS classe K9 DN600 conforme projeto NBR 7675 - Barra de 6,00m (15350)</v>
          </cell>
          <cell r="C5132" t="str">
            <v>m</v>
          </cell>
          <cell r="D5132">
            <v>0</v>
          </cell>
        </row>
        <row r="5133">
          <cell r="A5133" t="str">
            <v>219112</v>
          </cell>
          <cell r="B5133" t="str">
            <v>Tubo FD PB JE2GS classe K9 DN700 conforme projeto NBR 7675 - Barra de 7,00m (15369)</v>
          </cell>
          <cell r="C5133" t="str">
            <v>m</v>
          </cell>
          <cell r="D5133">
            <v>0</v>
          </cell>
        </row>
        <row r="5134">
          <cell r="A5134" t="str">
            <v>219113</v>
          </cell>
          <cell r="B5134" t="str">
            <v>Tubo FD PB JE2GS classe K9 DN800 conforme projeto NBR 7675 - Barra de 7,00m (15377)</v>
          </cell>
          <cell r="C5134" t="str">
            <v>m</v>
          </cell>
          <cell r="D5134">
            <v>0</v>
          </cell>
        </row>
        <row r="5135">
          <cell r="A5135" t="str">
            <v>219114</v>
          </cell>
          <cell r="B5135" t="str">
            <v>Tubo FD PB JE2GS classe K9 DN900 conforme projeto NBR 7675 - Barra de 7,00m (89869)</v>
          </cell>
          <cell r="C5135" t="str">
            <v>m</v>
          </cell>
          <cell r="D5135">
            <v>0</v>
          </cell>
        </row>
        <row r="5136">
          <cell r="A5136" t="str">
            <v>219115</v>
          </cell>
          <cell r="B5136" t="str">
            <v>Tubo FD PB JE2GS classe K9 DN1000 conforme projeto NBR 7675 - Barra de 7,00m (103250)</v>
          </cell>
          <cell r="C5136" t="str">
            <v>m</v>
          </cell>
          <cell r="D5136">
            <v>0</v>
          </cell>
        </row>
        <row r="5137">
          <cell r="A5137" t="str">
            <v>219116</v>
          </cell>
          <cell r="B5137" t="str">
            <v>Tubo FD PB JE2GS classe K9 DN1100 conforme projeto NBR 7675  - Barra de 7,00m</v>
          </cell>
          <cell r="C5137" t="str">
            <v>m</v>
          </cell>
          <cell r="D5137">
            <v>0</v>
          </cell>
        </row>
        <row r="5138">
          <cell r="A5138" t="str">
            <v>219117</v>
          </cell>
          <cell r="B5138" t="str">
            <v>Tubo FD PB JE2GS classe K9 DN1200 conforme projeto NBR 7675  - Barra de 7,00m</v>
          </cell>
          <cell r="C5138" t="str">
            <v>m</v>
          </cell>
          <cell r="D5138">
            <v>0</v>
          </cell>
        </row>
        <row r="5139">
          <cell r="A5139" t="str">
            <v>22</v>
          </cell>
          <cell r="B5139" t="str">
            <v>MATERIAL DE FERRO DÚCTIL - ESGOTO</v>
          </cell>
        </row>
        <row r="5140">
          <cell r="A5140" t="str">
            <v>2207</v>
          </cell>
          <cell r="B5140" t="str">
            <v>CURVA FD JE/JE2GS</v>
          </cell>
        </row>
        <row r="5141">
          <cell r="A5141" t="str">
            <v>220701</v>
          </cell>
          <cell r="B5141" t="str">
            <v>Curva de 11o15` FD BB JE/JE2GS DN80 linha esgoto</v>
          </cell>
          <cell r="C5141" t="str">
            <v>ud</v>
          </cell>
          <cell r="D5141">
            <v>0</v>
          </cell>
          <cell r="E5141">
            <v>111.44</v>
          </cell>
          <cell r="F5141">
            <v>111.44</v>
          </cell>
        </row>
        <row r="5142">
          <cell r="A5142" t="str">
            <v>220702</v>
          </cell>
          <cell r="B5142" t="str">
            <v>Curva de 11o15` FD BB JE/JE2GS DN100 linha esgoto</v>
          </cell>
          <cell r="C5142" t="str">
            <v>ud</v>
          </cell>
          <cell r="D5142">
            <v>0</v>
          </cell>
          <cell r="E5142">
            <v>119.32</v>
          </cell>
          <cell r="F5142">
            <v>119.32</v>
          </cell>
        </row>
        <row r="5143">
          <cell r="A5143" t="str">
            <v>220703</v>
          </cell>
          <cell r="B5143" t="str">
            <v>Curva de 11o15` FD BB JE/JE2GS DN150 linha esgoto (94900)</v>
          </cell>
          <cell r="C5143" t="str">
            <v>ud</v>
          </cell>
          <cell r="D5143">
            <v>0</v>
          </cell>
          <cell r="E5143">
            <v>214.85</v>
          </cell>
          <cell r="F5143">
            <v>214.85</v>
          </cell>
        </row>
        <row r="5144">
          <cell r="A5144" t="str">
            <v>220704</v>
          </cell>
          <cell r="B5144" t="str">
            <v>Curva de 11o15` FD BB JE/JE2GS DN200 linha esgoto (277398)</v>
          </cell>
          <cell r="C5144" t="str">
            <v>ud</v>
          </cell>
          <cell r="D5144">
            <v>0</v>
          </cell>
          <cell r="E5144">
            <v>302.38</v>
          </cell>
          <cell r="F5144">
            <v>302.38</v>
          </cell>
        </row>
        <row r="5145">
          <cell r="A5145" t="str">
            <v>220705</v>
          </cell>
          <cell r="B5145" t="str">
            <v>Curva de 11o15` FD BB JE/JE2GS DN250 linha esgoto</v>
          </cell>
          <cell r="C5145" t="str">
            <v>ud</v>
          </cell>
          <cell r="D5145">
            <v>0</v>
          </cell>
          <cell r="E5145">
            <v>461.48</v>
          </cell>
          <cell r="F5145">
            <v>461.48</v>
          </cell>
        </row>
        <row r="5146">
          <cell r="A5146" t="str">
            <v>220706</v>
          </cell>
          <cell r="B5146" t="str">
            <v>Curva de 11o15` FD BB JE/JE2GS DN300 linha esgoto (282536)</v>
          </cell>
          <cell r="C5146" t="str">
            <v>ud</v>
          </cell>
          <cell r="D5146">
            <v>0</v>
          </cell>
          <cell r="E5146">
            <v>592.84</v>
          </cell>
          <cell r="F5146">
            <v>592.84</v>
          </cell>
        </row>
        <row r="5147">
          <cell r="A5147" t="str">
            <v>220707</v>
          </cell>
          <cell r="B5147" t="str">
            <v>Curva de 11o15` FD BB JE/JE2GS DN350 linha esgoto</v>
          </cell>
          <cell r="C5147" t="str">
            <v>ud</v>
          </cell>
          <cell r="D5147">
            <v>0</v>
          </cell>
          <cell r="E5147">
            <v>819.61</v>
          </cell>
          <cell r="F5147">
            <v>819.61</v>
          </cell>
        </row>
        <row r="5148">
          <cell r="A5148" t="str">
            <v>220708</v>
          </cell>
          <cell r="B5148" t="str">
            <v>Curva de 11o15` FD BB JE/JE2GS DN400 linha esgoto (283740)</v>
          </cell>
          <cell r="C5148" t="str">
            <v>ud</v>
          </cell>
          <cell r="D5148">
            <v>0</v>
          </cell>
          <cell r="E5148">
            <v>1125.92</v>
          </cell>
          <cell r="F5148">
            <v>1125.92</v>
          </cell>
        </row>
        <row r="5149">
          <cell r="A5149" t="str">
            <v>220709</v>
          </cell>
          <cell r="B5149" t="str">
            <v xml:space="preserve">Curva de 11o15` FD BB JE/JE2GS DN450 linha esgoto </v>
          </cell>
          <cell r="C5149" t="str">
            <v>ud</v>
          </cell>
          <cell r="D5149">
            <v>0</v>
          </cell>
        </row>
        <row r="5150">
          <cell r="A5150" t="str">
            <v>220710</v>
          </cell>
          <cell r="B5150" t="str">
            <v>Curva de 11o15` FD BB JE/JE2GS DN500 linha esgoto (283736)</v>
          </cell>
          <cell r="C5150" t="str">
            <v>ud</v>
          </cell>
          <cell r="D5150">
            <v>0</v>
          </cell>
          <cell r="E5150">
            <v>1734.64</v>
          </cell>
          <cell r="F5150">
            <v>1734.64</v>
          </cell>
        </row>
        <row r="5151">
          <cell r="A5151" t="str">
            <v>220711</v>
          </cell>
          <cell r="B5151" t="str">
            <v>Curva de 11o15` FD BB JE/JE2GS DN600 linha esgoto</v>
          </cell>
          <cell r="C5151" t="str">
            <v>ud</v>
          </cell>
          <cell r="D5151">
            <v>0</v>
          </cell>
          <cell r="E5151">
            <v>2538.31</v>
          </cell>
          <cell r="F5151">
            <v>2538.31</v>
          </cell>
        </row>
        <row r="5152">
          <cell r="A5152" t="str">
            <v>220712</v>
          </cell>
          <cell r="B5152" t="str">
            <v>Curva de 11o15` FD BB JE/JE2GS DN700 linha esgoto</v>
          </cell>
          <cell r="C5152" t="str">
            <v>ud</v>
          </cell>
          <cell r="D5152">
            <v>0</v>
          </cell>
        </row>
        <row r="5153">
          <cell r="A5153" t="str">
            <v>220713</v>
          </cell>
          <cell r="B5153" t="str">
            <v>Curva de 11o15` FD BB JE/JE2GS DN800 linha esgoto</v>
          </cell>
          <cell r="C5153" t="str">
            <v>ud</v>
          </cell>
          <cell r="D5153">
            <v>0</v>
          </cell>
          <cell r="E5153">
            <v>4397.22</v>
          </cell>
          <cell r="F5153">
            <v>4397.22</v>
          </cell>
        </row>
        <row r="5154">
          <cell r="A5154" t="str">
            <v>220714</v>
          </cell>
          <cell r="B5154" t="str">
            <v>Curva de 11o15` FD BB JE/JE2GS DN900 linha esgoto</v>
          </cell>
          <cell r="C5154" t="str">
            <v>ud</v>
          </cell>
          <cell r="D5154">
            <v>0</v>
          </cell>
        </row>
        <row r="5155">
          <cell r="A5155" t="str">
            <v>220715</v>
          </cell>
          <cell r="B5155" t="str">
            <v>Curva de 11o15` FD BB JE/JE2GS DN1000 linha esgoto</v>
          </cell>
          <cell r="C5155" t="str">
            <v>ud</v>
          </cell>
          <cell r="D5155">
            <v>0</v>
          </cell>
        </row>
        <row r="5156">
          <cell r="A5156" t="str">
            <v>220717</v>
          </cell>
          <cell r="B5156" t="str">
            <v>Curva de 11o15` FD BB JE/JE2GS DN1200 linha esgoto</v>
          </cell>
          <cell r="C5156" t="str">
            <v>ud</v>
          </cell>
          <cell r="D5156">
            <v>0</v>
          </cell>
        </row>
        <row r="5157">
          <cell r="A5157" t="str">
            <v>220718</v>
          </cell>
          <cell r="B5157" t="str">
            <v>Curva de 22o30` FD BB JE/JE2GS DN80 linha esgoto</v>
          </cell>
          <cell r="C5157" t="str">
            <v>ud</v>
          </cell>
          <cell r="D5157">
            <v>0</v>
          </cell>
          <cell r="E5157">
            <v>119.32</v>
          </cell>
          <cell r="F5157">
            <v>119.32</v>
          </cell>
        </row>
        <row r="5158">
          <cell r="A5158" t="str">
            <v>220719</v>
          </cell>
          <cell r="B5158" t="str">
            <v>Curva de 22o30` FD BB JE/JE2GS DN100 linha esgoto</v>
          </cell>
          <cell r="C5158" t="str">
            <v>ud</v>
          </cell>
          <cell r="D5158">
            <v>0</v>
          </cell>
          <cell r="E5158">
            <v>131.28</v>
          </cell>
          <cell r="F5158">
            <v>131.28</v>
          </cell>
        </row>
        <row r="5159">
          <cell r="A5159" t="str">
            <v>220720</v>
          </cell>
          <cell r="B5159" t="str">
            <v>Curva de 22o30` FD BB JE/JE2GS DN150 linha esgoto</v>
          </cell>
          <cell r="C5159" t="str">
            <v>ud</v>
          </cell>
          <cell r="D5159">
            <v>0</v>
          </cell>
          <cell r="E5159">
            <v>206.87</v>
          </cell>
          <cell r="F5159">
            <v>206.87</v>
          </cell>
        </row>
        <row r="5160">
          <cell r="A5160" t="str">
            <v>220721</v>
          </cell>
          <cell r="B5160" t="str">
            <v>Curva de 22o30` FD BB JE/JE2GS DN200 linha esgoto (277401)</v>
          </cell>
          <cell r="C5160" t="str">
            <v>ud</v>
          </cell>
          <cell r="D5160">
            <v>0</v>
          </cell>
          <cell r="E5160">
            <v>294.37</v>
          </cell>
          <cell r="F5160">
            <v>294.37</v>
          </cell>
        </row>
        <row r="5161">
          <cell r="A5161" t="str">
            <v>220722</v>
          </cell>
          <cell r="B5161" t="str">
            <v>Curva de 22o30` FD BB JE/JE2GS DN250 linha esgoto</v>
          </cell>
          <cell r="C5161" t="str">
            <v>ud</v>
          </cell>
          <cell r="D5161">
            <v>0</v>
          </cell>
          <cell r="E5161">
            <v>484.64</v>
          </cell>
          <cell r="F5161">
            <v>484.64</v>
          </cell>
        </row>
        <row r="5162">
          <cell r="A5162" t="str">
            <v>220723</v>
          </cell>
          <cell r="B5162" t="str">
            <v>Curva de 22o30` FD BB JE/JE2GS DN300 linha esgoto (282535)</v>
          </cell>
          <cell r="C5162" t="str">
            <v>ud</v>
          </cell>
          <cell r="D5162">
            <v>0</v>
          </cell>
          <cell r="E5162">
            <v>668.39</v>
          </cell>
          <cell r="F5162">
            <v>668.39</v>
          </cell>
        </row>
        <row r="5163">
          <cell r="A5163" t="str">
            <v>220724</v>
          </cell>
          <cell r="B5163" t="str">
            <v xml:space="preserve">Curva de 22o30` FD BB JE/JE2GS DN350 linha esgoto </v>
          </cell>
          <cell r="C5163" t="str">
            <v>ud</v>
          </cell>
          <cell r="D5163">
            <v>0</v>
          </cell>
          <cell r="E5163">
            <v>843.46</v>
          </cell>
          <cell r="F5163">
            <v>843.46</v>
          </cell>
        </row>
        <row r="5164">
          <cell r="A5164" t="str">
            <v>220725</v>
          </cell>
          <cell r="B5164" t="str">
            <v>Curva de 22o30` FD BB JE/JE2GS DN400 linha esgoto (283741)</v>
          </cell>
          <cell r="C5164" t="str">
            <v>ud</v>
          </cell>
          <cell r="D5164">
            <v>0</v>
          </cell>
          <cell r="E5164">
            <v>1185.58</v>
          </cell>
          <cell r="F5164">
            <v>1185.58</v>
          </cell>
        </row>
        <row r="5165">
          <cell r="A5165" t="str">
            <v>220726</v>
          </cell>
          <cell r="B5165" t="str">
            <v>Curva de 22o30` FD BB JE/JE2GS DN450 linha esgoto</v>
          </cell>
          <cell r="C5165" t="str">
            <v>ud</v>
          </cell>
          <cell r="D5165">
            <v>0</v>
          </cell>
          <cell r="E5165">
            <v>1413.03</v>
          </cell>
          <cell r="F5165">
            <v>1413.03</v>
          </cell>
        </row>
        <row r="5166">
          <cell r="A5166" t="str">
            <v>220727</v>
          </cell>
          <cell r="B5166" t="str">
            <v>Curva de 22o30` FD BB JE/JE2GS DN500 linha esgoto (283737)</v>
          </cell>
          <cell r="C5166" t="str">
            <v>ud</v>
          </cell>
          <cell r="D5166">
            <v>0</v>
          </cell>
          <cell r="E5166">
            <v>1485.19</v>
          </cell>
          <cell r="F5166">
            <v>1485.19</v>
          </cell>
        </row>
        <row r="5167">
          <cell r="A5167" t="str">
            <v>220728</v>
          </cell>
          <cell r="B5167" t="str">
            <v xml:space="preserve">Curva de 22o30` FD BB JE/JE2GS DN600 linha esgoto </v>
          </cell>
          <cell r="C5167" t="str">
            <v>ud</v>
          </cell>
          <cell r="D5167">
            <v>0</v>
          </cell>
          <cell r="E5167">
            <v>3043.57</v>
          </cell>
          <cell r="F5167">
            <v>3043.57</v>
          </cell>
        </row>
        <row r="5168">
          <cell r="A5168" t="str">
            <v>220729</v>
          </cell>
          <cell r="B5168" t="str">
            <v>Curva de 22o30` FD BB JE/JE2GS DN700 linha esgoto</v>
          </cell>
          <cell r="C5168" t="str">
            <v>ud</v>
          </cell>
          <cell r="D5168">
            <v>0</v>
          </cell>
        </row>
        <row r="5169">
          <cell r="A5169" t="str">
            <v>220730</v>
          </cell>
          <cell r="B5169" t="str">
            <v>Curva de 22o30` FD BB JE/JE2GS DN800 linha esgoto</v>
          </cell>
          <cell r="C5169" t="str">
            <v>ud</v>
          </cell>
          <cell r="D5169">
            <v>0</v>
          </cell>
          <cell r="E5169">
            <v>4941.09</v>
          </cell>
          <cell r="F5169">
            <v>4941.09</v>
          </cell>
        </row>
        <row r="5170">
          <cell r="A5170" t="str">
            <v>220731</v>
          </cell>
          <cell r="B5170" t="str">
            <v>Curva de 22o30` FD BB JE/JE2GS DN900 linha esgoto</v>
          </cell>
          <cell r="C5170" t="str">
            <v>ud</v>
          </cell>
          <cell r="D5170">
            <v>0</v>
          </cell>
        </row>
        <row r="5171">
          <cell r="A5171" t="str">
            <v>220732</v>
          </cell>
          <cell r="B5171" t="str">
            <v>Curva de 22o30` FD BB JE/JE2GS DN1000 linha esgoto</v>
          </cell>
          <cell r="C5171" t="str">
            <v>ud</v>
          </cell>
          <cell r="D5171">
            <v>0</v>
          </cell>
        </row>
        <row r="5172">
          <cell r="A5172" t="str">
            <v>220734</v>
          </cell>
          <cell r="B5172" t="str">
            <v>Curva de 22o30` FD BB JE/JE2GS DN1200 linha esgoto</v>
          </cell>
          <cell r="C5172" t="str">
            <v>ud</v>
          </cell>
          <cell r="D5172">
            <v>0</v>
          </cell>
        </row>
        <row r="5173">
          <cell r="A5173" t="str">
            <v>220735</v>
          </cell>
          <cell r="B5173" t="str">
            <v>Curva de 45o FD BB JE/JE2GS DN80 linha esgoto (294120)</v>
          </cell>
          <cell r="C5173" t="str">
            <v>ud</v>
          </cell>
          <cell r="D5173">
            <v>0</v>
          </cell>
          <cell r="E5173">
            <v>131.28</v>
          </cell>
          <cell r="F5173">
            <v>131.28</v>
          </cell>
        </row>
        <row r="5174">
          <cell r="A5174" t="str">
            <v>220736</v>
          </cell>
          <cell r="B5174" t="str">
            <v>Curva de 45o FD BB JE/JE2GS DN100 linha esgoto</v>
          </cell>
          <cell r="C5174" t="str">
            <v>ud</v>
          </cell>
          <cell r="D5174">
            <v>0</v>
          </cell>
          <cell r="E5174">
            <v>143.22999999999999</v>
          </cell>
          <cell r="F5174">
            <v>143.22999999999999</v>
          </cell>
        </row>
        <row r="5175">
          <cell r="A5175" t="str">
            <v>220737</v>
          </cell>
          <cell r="B5175" t="str">
            <v>Curva de 45o FD BB JE/JE2GS DN150 linha esgoto (294121)</v>
          </cell>
          <cell r="C5175" t="str">
            <v>ud</v>
          </cell>
          <cell r="D5175">
            <v>0</v>
          </cell>
          <cell r="E5175">
            <v>222.81</v>
          </cell>
          <cell r="F5175">
            <v>222.81</v>
          </cell>
        </row>
        <row r="5176">
          <cell r="A5176" t="str">
            <v>220738</v>
          </cell>
          <cell r="B5176" t="str">
            <v>Curva de 45o FD BB JE/JE2GS DN200 linha esgoto (87998)</v>
          </cell>
          <cell r="C5176" t="str">
            <v>ud</v>
          </cell>
          <cell r="D5176">
            <v>0</v>
          </cell>
          <cell r="E5176">
            <v>406.47</v>
          </cell>
          <cell r="F5176">
            <v>406.47</v>
          </cell>
        </row>
        <row r="5177">
          <cell r="A5177" t="str">
            <v>220739</v>
          </cell>
          <cell r="B5177" t="str">
            <v>Curva de 45o FD BB JE/JE2GS DN250 linha esgoto (294530)</v>
          </cell>
          <cell r="C5177" t="str">
            <v>ud</v>
          </cell>
          <cell r="D5177">
            <v>0</v>
          </cell>
          <cell r="E5177">
            <v>620.66</v>
          </cell>
          <cell r="F5177">
            <v>620.66</v>
          </cell>
        </row>
        <row r="5178">
          <cell r="A5178" t="str">
            <v>220740</v>
          </cell>
          <cell r="B5178" t="str">
            <v>Curva de 45o FD BB JE/JE2GS DN300 linha esgoto (282537)</v>
          </cell>
          <cell r="C5178" t="str">
            <v>ud</v>
          </cell>
          <cell r="D5178">
            <v>0</v>
          </cell>
          <cell r="E5178">
            <v>767.87</v>
          </cell>
          <cell r="F5178">
            <v>767.87</v>
          </cell>
        </row>
        <row r="5179">
          <cell r="A5179" t="str">
            <v>220741</v>
          </cell>
          <cell r="B5179" t="str">
            <v>Curva de 45o FD BB JE/JE2GS DN350 linha esgoto</v>
          </cell>
          <cell r="C5179" t="str">
            <v>ud</v>
          </cell>
          <cell r="D5179">
            <v>0</v>
          </cell>
          <cell r="E5179">
            <v>1121.94</v>
          </cell>
          <cell r="F5179">
            <v>1121.94</v>
          </cell>
        </row>
        <row r="5180">
          <cell r="A5180" t="str">
            <v>220742</v>
          </cell>
          <cell r="B5180" t="str">
            <v>Curva de 45o FD BB JE/JE2GS DN400 linha esgoto (283742)</v>
          </cell>
          <cell r="C5180" t="str">
            <v>ud</v>
          </cell>
          <cell r="D5180">
            <v>0</v>
          </cell>
          <cell r="E5180">
            <v>1424.31</v>
          </cell>
          <cell r="F5180">
            <v>1424.31</v>
          </cell>
        </row>
        <row r="5181">
          <cell r="A5181" t="str">
            <v>220743</v>
          </cell>
          <cell r="B5181" t="str">
            <v>Curva de 45o FD BB JE/JE2GS DN450 linha esgoto</v>
          </cell>
          <cell r="C5181" t="str">
            <v>ud</v>
          </cell>
          <cell r="D5181">
            <v>0</v>
          </cell>
        </row>
        <row r="5182">
          <cell r="A5182" t="str">
            <v>220744</v>
          </cell>
          <cell r="B5182" t="str">
            <v>Curva de 45o FD BB JE/JE2GS DN500 linha esgoto (283738)</v>
          </cell>
          <cell r="C5182" t="str">
            <v>ud</v>
          </cell>
          <cell r="D5182">
            <v>0</v>
          </cell>
          <cell r="E5182">
            <v>2343.37</v>
          </cell>
          <cell r="F5182">
            <v>2343.37</v>
          </cell>
        </row>
        <row r="5183">
          <cell r="A5183" t="str">
            <v>220745</v>
          </cell>
          <cell r="B5183" t="str">
            <v>Curva de 45o FD BB JE/JE2GS DN600 linha esgoto</v>
          </cell>
          <cell r="C5183" t="str">
            <v>ud</v>
          </cell>
          <cell r="D5183">
            <v>0</v>
          </cell>
          <cell r="E5183">
            <v>3127.14</v>
          </cell>
          <cell r="F5183">
            <v>3127.14</v>
          </cell>
        </row>
        <row r="5184">
          <cell r="A5184" t="str">
            <v>220746</v>
          </cell>
          <cell r="B5184" t="str">
            <v>Curva de 45o FD BB JE/JE2GS DN700 linha esgoto</v>
          </cell>
          <cell r="C5184" t="str">
            <v>ud</v>
          </cell>
          <cell r="D5184">
            <v>0</v>
          </cell>
          <cell r="E5184">
            <v>5754.06</v>
          </cell>
          <cell r="F5184">
            <v>5754.06</v>
          </cell>
        </row>
        <row r="5185">
          <cell r="A5185" t="str">
            <v>220747</v>
          </cell>
          <cell r="B5185" t="str">
            <v>Curva de 45o FD BB JE/JE2GS DN800 linha esgoto</v>
          </cell>
          <cell r="C5185" t="str">
            <v>ud</v>
          </cell>
          <cell r="D5185">
            <v>0</v>
          </cell>
          <cell r="E5185">
            <v>8285.85</v>
          </cell>
          <cell r="F5185">
            <v>8285.85</v>
          </cell>
        </row>
        <row r="5186">
          <cell r="A5186" t="str">
            <v>220748</v>
          </cell>
          <cell r="B5186" t="str">
            <v>Curva de 45o FD BB JE/JE2GS DN900 linha esgoto</v>
          </cell>
          <cell r="C5186" t="str">
            <v>ud</v>
          </cell>
          <cell r="D5186">
            <v>0</v>
          </cell>
        </row>
        <row r="5187">
          <cell r="A5187" t="str">
            <v>220749</v>
          </cell>
          <cell r="B5187" t="str">
            <v>Curva de 45o FD BB JE/JE2GS DN1000 linha esgoto</v>
          </cell>
          <cell r="C5187" t="str">
            <v>ud</v>
          </cell>
          <cell r="D5187">
            <v>0</v>
          </cell>
        </row>
        <row r="5188">
          <cell r="A5188" t="str">
            <v>220751</v>
          </cell>
          <cell r="B5188" t="str">
            <v>Curva de 45o FD BB JE/JE2GS DN1200 linha esgoto</v>
          </cell>
          <cell r="C5188" t="str">
            <v>ud</v>
          </cell>
          <cell r="D5188">
            <v>0</v>
          </cell>
        </row>
        <row r="5189">
          <cell r="A5189" t="str">
            <v>220752</v>
          </cell>
          <cell r="B5189" t="str">
            <v>Curva de 90o FD BB JE/JE2GS DN80 linha esgoto</v>
          </cell>
          <cell r="C5189" t="str">
            <v>ud</v>
          </cell>
          <cell r="D5189">
            <v>0</v>
          </cell>
          <cell r="E5189">
            <v>139.27000000000001</v>
          </cell>
          <cell r="F5189">
            <v>139.27000000000001</v>
          </cell>
        </row>
        <row r="5190">
          <cell r="A5190" t="str">
            <v>220753</v>
          </cell>
          <cell r="B5190" t="str">
            <v>Curva de 90o FD BB JE/JE2GS DN100 linha esgoto (286307)</v>
          </cell>
          <cell r="C5190" t="str">
            <v>ud</v>
          </cell>
          <cell r="D5190">
            <v>0</v>
          </cell>
          <cell r="E5190">
            <v>151.19999999999999</v>
          </cell>
          <cell r="F5190">
            <v>151.19999999999999</v>
          </cell>
        </row>
        <row r="5191">
          <cell r="A5191" t="str">
            <v>220754</v>
          </cell>
          <cell r="B5191" t="str">
            <v>Curva de 90o FD BB JE/JE2GS DN150 linha esgoto</v>
          </cell>
          <cell r="C5191" t="str">
            <v>ud</v>
          </cell>
          <cell r="D5191">
            <v>0</v>
          </cell>
          <cell r="E5191">
            <v>242.66</v>
          </cell>
          <cell r="F5191">
            <v>242.66</v>
          </cell>
        </row>
        <row r="5192">
          <cell r="A5192" t="str">
            <v>220755</v>
          </cell>
          <cell r="B5192" t="str">
            <v>Curva de 90o FD BB JE/JE2GS DN200 linha esgoto (277410)</v>
          </cell>
          <cell r="C5192" t="str">
            <v>ud</v>
          </cell>
          <cell r="D5192">
            <v>0</v>
          </cell>
          <cell r="E5192">
            <v>429.71</v>
          </cell>
          <cell r="F5192">
            <v>429.71</v>
          </cell>
        </row>
        <row r="5193">
          <cell r="A5193" t="str">
            <v>220756</v>
          </cell>
          <cell r="B5193" t="str">
            <v>Curva de 90o FD BB JE/JE2GS DN250 linha esgoto</v>
          </cell>
          <cell r="C5193" t="str">
            <v>ud</v>
          </cell>
          <cell r="D5193">
            <v>0</v>
          </cell>
          <cell r="E5193">
            <v>628.61</v>
          </cell>
          <cell r="F5193">
            <v>628.61</v>
          </cell>
        </row>
        <row r="5194">
          <cell r="A5194" t="str">
            <v>220757</v>
          </cell>
          <cell r="B5194" t="str">
            <v>Curva de 90o FD BB JE/JE2GS DN300 linha esgoto (282532)</v>
          </cell>
          <cell r="C5194" t="str">
            <v>ud</v>
          </cell>
          <cell r="D5194">
            <v>0</v>
          </cell>
          <cell r="E5194">
            <v>930.97</v>
          </cell>
          <cell r="F5194">
            <v>930.97</v>
          </cell>
        </row>
        <row r="5195">
          <cell r="A5195" t="str">
            <v>220758</v>
          </cell>
          <cell r="B5195" t="str">
            <v>Curva de 90o FD BB JE/JE2GS DN350 linha esgoto</v>
          </cell>
          <cell r="C5195" t="str">
            <v>ud</v>
          </cell>
          <cell r="D5195">
            <v>0</v>
          </cell>
          <cell r="E5195">
            <v>1519.78</v>
          </cell>
          <cell r="F5195">
            <v>1519.78</v>
          </cell>
        </row>
        <row r="5196">
          <cell r="A5196" t="str">
            <v>220759</v>
          </cell>
          <cell r="B5196" t="str">
            <v>Curva de 90o FD BB JE/JE2GS DN400 linha esgoto (161063)</v>
          </cell>
          <cell r="C5196" t="str">
            <v>ud</v>
          </cell>
          <cell r="D5196">
            <v>0</v>
          </cell>
          <cell r="E5196">
            <v>1941.56</v>
          </cell>
          <cell r="F5196">
            <v>1941.56</v>
          </cell>
        </row>
        <row r="5197">
          <cell r="A5197" t="str">
            <v>220760</v>
          </cell>
          <cell r="B5197" t="str">
            <v>Curva de 90o FD BB JE/JE2GS DN450 linha esgoto</v>
          </cell>
          <cell r="C5197" t="str">
            <v>ud</v>
          </cell>
          <cell r="D5197">
            <v>0</v>
          </cell>
          <cell r="E5197">
            <v>2570.11</v>
          </cell>
          <cell r="F5197">
            <v>2570.11</v>
          </cell>
        </row>
        <row r="5198">
          <cell r="A5198" t="str">
            <v>220761</v>
          </cell>
          <cell r="B5198" t="str">
            <v>Curva de 90o FD BB JE/JE2GS DN500 linha esgoto (283739)</v>
          </cell>
          <cell r="C5198" t="str">
            <v>ud</v>
          </cell>
          <cell r="D5198">
            <v>0</v>
          </cell>
          <cell r="E5198">
            <v>3318.11</v>
          </cell>
          <cell r="F5198">
            <v>3318.11</v>
          </cell>
        </row>
        <row r="5199">
          <cell r="A5199" t="str">
            <v>220762</v>
          </cell>
          <cell r="B5199" t="str">
            <v>Curva de 90o FD BB JE/JE2GS DN600 linha esgoto</v>
          </cell>
          <cell r="C5199" t="str">
            <v>ud</v>
          </cell>
          <cell r="D5199">
            <v>0</v>
          </cell>
          <cell r="E5199">
            <v>5116.3999999999996</v>
          </cell>
          <cell r="F5199">
            <v>5116.3999999999996</v>
          </cell>
        </row>
        <row r="5200">
          <cell r="A5200" t="str">
            <v>220763</v>
          </cell>
          <cell r="B5200" t="str">
            <v>Curva de 90o FD BB JE/JE2GS DN700 linha esgoto</v>
          </cell>
          <cell r="C5200" t="str">
            <v>ud</v>
          </cell>
          <cell r="D5200">
            <v>0</v>
          </cell>
        </row>
        <row r="5201">
          <cell r="A5201" t="str">
            <v>220764</v>
          </cell>
          <cell r="B5201" t="str">
            <v>Curva de 90o FD BB JE/JE2GS DN800 linha esgoto</v>
          </cell>
          <cell r="C5201" t="str">
            <v>ud</v>
          </cell>
          <cell r="D5201">
            <v>0</v>
          </cell>
        </row>
        <row r="5202">
          <cell r="A5202" t="str">
            <v>220765</v>
          </cell>
          <cell r="B5202" t="str">
            <v>Curva de 90o FD BB JE/JE2GS DN900 linha esgoto</v>
          </cell>
          <cell r="C5202" t="str">
            <v>ud</v>
          </cell>
          <cell r="D5202">
            <v>0</v>
          </cell>
        </row>
        <row r="5203">
          <cell r="A5203" t="str">
            <v>220766</v>
          </cell>
          <cell r="B5203" t="str">
            <v>Curva de 90o FD BB JE/JE2GS DN1000 linha esgoto</v>
          </cell>
          <cell r="C5203" t="str">
            <v>ud</v>
          </cell>
          <cell r="D5203">
            <v>0</v>
          </cell>
        </row>
        <row r="5204">
          <cell r="A5204" t="str">
            <v>220767</v>
          </cell>
          <cell r="B5204" t="str">
            <v>Curva de 90o FD BB JE/JE2GS DN1200 linha esgoto</v>
          </cell>
          <cell r="C5204" t="str">
            <v>ud</v>
          </cell>
          <cell r="D5204">
            <v>0</v>
          </cell>
        </row>
        <row r="5205">
          <cell r="A5205" t="str">
            <v>2209</v>
          </cell>
          <cell r="B5205" t="str">
            <v>CURVA FD FF</v>
          </cell>
        </row>
        <row r="5206">
          <cell r="A5206" t="str">
            <v>220901</v>
          </cell>
          <cell r="B5206" t="str">
            <v>Curva de 11o15` FD FF PN-10 DN80 linha esgoto</v>
          </cell>
          <cell r="C5206" t="str">
            <v>ud</v>
          </cell>
          <cell r="D5206">
            <v>0</v>
          </cell>
        </row>
        <row r="5207">
          <cell r="A5207" t="str">
            <v>220902</v>
          </cell>
          <cell r="B5207" t="str">
            <v>Curva de 11o15` FD FF PN-10 DN100 linha esgoto</v>
          </cell>
          <cell r="C5207" t="str">
            <v>ud</v>
          </cell>
          <cell r="D5207">
            <v>0</v>
          </cell>
        </row>
        <row r="5208">
          <cell r="A5208" t="str">
            <v>220903</v>
          </cell>
          <cell r="B5208" t="str">
            <v>Curva de 11o15` FD FF PN-10 DN150 linha esgoto</v>
          </cell>
          <cell r="C5208" t="str">
            <v>ud</v>
          </cell>
          <cell r="D5208">
            <v>0</v>
          </cell>
        </row>
        <row r="5209">
          <cell r="A5209" t="str">
            <v>220904</v>
          </cell>
          <cell r="B5209" t="str">
            <v>Curva de 11o15` FD FF PN-10 DN200 linha esgoto</v>
          </cell>
          <cell r="C5209" t="str">
            <v>ud</v>
          </cell>
          <cell r="D5209">
            <v>0</v>
          </cell>
        </row>
        <row r="5210">
          <cell r="A5210" t="str">
            <v>220905</v>
          </cell>
          <cell r="B5210" t="str">
            <v>Curva de 11o15` FD FF PN-10 DN250 linha esgoto</v>
          </cell>
          <cell r="C5210" t="str">
            <v>ud</v>
          </cell>
          <cell r="D5210">
            <v>0</v>
          </cell>
        </row>
        <row r="5211">
          <cell r="A5211" t="str">
            <v>220906</v>
          </cell>
          <cell r="B5211" t="str">
            <v>Curva de 11o15` FD FF PN-10 DN300 linha esgoto</v>
          </cell>
          <cell r="C5211" t="str">
            <v>ud</v>
          </cell>
          <cell r="D5211">
            <v>0</v>
          </cell>
        </row>
        <row r="5212">
          <cell r="A5212" t="str">
            <v>220907</v>
          </cell>
          <cell r="B5212" t="str">
            <v>Curva de 11o15` FD FF PN-10 DN350 linha esgoto</v>
          </cell>
          <cell r="C5212" t="str">
            <v>ud</v>
          </cell>
          <cell r="D5212">
            <v>0</v>
          </cell>
        </row>
        <row r="5213">
          <cell r="A5213" t="str">
            <v>220908</v>
          </cell>
          <cell r="B5213" t="str">
            <v>Curva de 11o15` FD FF PN-10 DN400 linha esgoto</v>
          </cell>
          <cell r="C5213" t="str">
            <v>ud</v>
          </cell>
          <cell r="D5213">
            <v>0</v>
          </cell>
        </row>
        <row r="5214">
          <cell r="A5214" t="str">
            <v>220909</v>
          </cell>
          <cell r="B5214" t="str">
            <v>Curva de 11o15` FD FF PN-10 DN450 linha esgoto</v>
          </cell>
          <cell r="C5214" t="str">
            <v>ud</v>
          </cell>
          <cell r="D5214">
            <v>0</v>
          </cell>
        </row>
        <row r="5215">
          <cell r="A5215" t="str">
            <v>220910</v>
          </cell>
          <cell r="B5215" t="str">
            <v>Curva de 11o15` FD FF PN-10 DN500 linha esgoto</v>
          </cell>
          <cell r="C5215" t="str">
            <v>ud</v>
          </cell>
          <cell r="D5215">
            <v>0</v>
          </cell>
        </row>
        <row r="5216">
          <cell r="A5216" t="str">
            <v>220911</v>
          </cell>
          <cell r="B5216" t="str">
            <v>Curva de 11o15` FD FF PN-10 DN600 linha esgoto</v>
          </cell>
          <cell r="C5216" t="str">
            <v>ud</v>
          </cell>
          <cell r="D5216">
            <v>0</v>
          </cell>
        </row>
        <row r="5217">
          <cell r="A5217" t="str">
            <v>220912</v>
          </cell>
          <cell r="B5217" t="str">
            <v>Curva de 11o15` FD FF PN-10 DN700 linha esgoto</v>
          </cell>
          <cell r="C5217" t="str">
            <v>ud</v>
          </cell>
          <cell r="D5217">
            <v>0</v>
          </cell>
        </row>
        <row r="5218">
          <cell r="A5218" t="str">
            <v>220913</v>
          </cell>
          <cell r="B5218" t="str">
            <v>Curva de 11o15` FD FF PN-10 DN800 linha esgoto</v>
          </cell>
          <cell r="C5218" t="str">
            <v>ud</v>
          </cell>
          <cell r="D5218">
            <v>0</v>
          </cell>
        </row>
        <row r="5219">
          <cell r="A5219" t="str">
            <v>220914</v>
          </cell>
          <cell r="B5219" t="str">
            <v>Curva de 11o15` FD FF PN-10 DN900 linha esgoto</v>
          </cell>
          <cell r="C5219" t="str">
            <v>ud</v>
          </cell>
          <cell r="D5219">
            <v>0</v>
          </cell>
        </row>
        <row r="5220">
          <cell r="A5220" t="str">
            <v>220915</v>
          </cell>
          <cell r="B5220" t="str">
            <v xml:space="preserve">Curva de 11o15` FD FF PN-10 DN1000 linha esgoto </v>
          </cell>
          <cell r="C5220" t="str">
            <v>ud</v>
          </cell>
          <cell r="D5220">
            <v>0</v>
          </cell>
        </row>
        <row r="5221">
          <cell r="A5221" t="str">
            <v>220917</v>
          </cell>
          <cell r="B5221" t="str">
            <v>Curva de 11o15` FD FF PN-10 DN1200 linha esgoto</v>
          </cell>
          <cell r="C5221" t="str">
            <v>ud</v>
          </cell>
          <cell r="D5221">
            <v>0</v>
          </cell>
        </row>
        <row r="5222">
          <cell r="A5222" t="str">
            <v>220918</v>
          </cell>
          <cell r="B5222" t="str">
            <v>Curva de 11o15` FD FF PN-16 DN80 linha esgoto</v>
          </cell>
          <cell r="C5222" t="str">
            <v>ud</v>
          </cell>
          <cell r="D5222">
            <v>0</v>
          </cell>
        </row>
        <row r="5223">
          <cell r="A5223" t="str">
            <v>220919</v>
          </cell>
          <cell r="B5223" t="str">
            <v>Curva de 11o15` FD FF PN-16 DN100 linha esgoto</v>
          </cell>
          <cell r="C5223" t="str">
            <v>ud</v>
          </cell>
          <cell r="D5223">
            <v>0</v>
          </cell>
        </row>
        <row r="5224">
          <cell r="A5224" t="str">
            <v>220920</v>
          </cell>
          <cell r="B5224" t="str">
            <v>Curva de 11o15` FD FF PN-16 DN150 linha esgoto</v>
          </cell>
          <cell r="C5224" t="str">
            <v>ud</v>
          </cell>
          <cell r="D5224">
            <v>0</v>
          </cell>
        </row>
        <row r="5225">
          <cell r="A5225" t="str">
            <v>220921</v>
          </cell>
          <cell r="B5225" t="str">
            <v>Curva de 11o15` FD FF PN-16 DN200 linha esgoto</v>
          </cell>
          <cell r="C5225" t="str">
            <v>ud</v>
          </cell>
          <cell r="D5225">
            <v>0</v>
          </cell>
        </row>
        <row r="5226">
          <cell r="A5226" t="str">
            <v>220922</v>
          </cell>
          <cell r="B5226" t="str">
            <v>Curva de 11o15` FD FF PN-16 DN250 linha esgoto</v>
          </cell>
          <cell r="C5226" t="str">
            <v>ud</v>
          </cell>
          <cell r="D5226">
            <v>0</v>
          </cell>
        </row>
        <row r="5227">
          <cell r="A5227" t="str">
            <v>220923</v>
          </cell>
          <cell r="B5227" t="str">
            <v>Curva de 11o15` FD FF PN-16 DN300 linha esgoto</v>
          </cell>
          <cell r="C5227" t="str">
            <v>ud</v>
          </cell>
          <cell r="D5227">
            <v>0</v>
          </cell>
        </row>
        <row r="5228">
          <cell r="A5228" t="str">
            <v>220924</v>
          </cell>
          <cell r="B5228" t="str">
            <v>Curva de 22o30` FD FF PN-10 DN80 linha esgoto</v>
          </cell>
          <cell r="C5228" t="str">
            <v>ud</v>
          </cell>
          <cell r="D5228">
            <v>0</v>
          </cell>
          <cell r="E5228">
            <v>182.99</v>
          </cell>
          <cell r="F5228">
            <v>182.99</v>
          </cell>
        </row>
        <row r="5229">
          <cell r="A5229" t="str">
            <v>220925</v>
          </cell>
          <cell r="B5229" t="str">
            <v>Curva de 22o30` FD FF PN-10 DN100 linha esgoto</v>
          </cell>
          <cell r="C5229" t="str">
            <v>ud</v>
          </cell>
          <cell r="D5229">
            <v>0</v>
          </cell>
        </row>
        <row r="5230">
          <cell r="A5230" t="str">
            <v>220926</v>
          </cell>
          <cell r="B5230" t="str">
            <v>Curva de 22o30` FD FF PN-10 DN150 linha esgoto</v>
          </cell>
          <cell r="C5230" t="str">
            <v>ud</v>
          </cell>
          <cell r="D5230">
            <v>0</v>
          </cell>
        </row>
        <row r="5231">
          <cell r="A5231" t="str">
            <v>220927</v>
          </cell>
          <cell r="B5231" t="str">
            <v>Curva de 22o30` FD FF PN-10 DN200 linha esgoto</v>
          </cell>
          <cell r="C5231" t="str">
            <v>ud</v>
          </cell>
          <cell r="D5231">
            <v>0</v>
          </cell>
          <cell r="E5231">
            <v>525.19000000000005</v>
          </cell>
          <cell r="F5231">
            <v>525.19000000000005</v>
          </cell>
        </row>
        <row r="5232">
          <cell r="A5232" t="str">
            <v>220928</v>
          </cell>
          <cell r="B5232" t="str">
            <v>Curva de 22o30` FD FF PN-10 DN250 linha esgoto</v>
          </cell>
          <cell r="C5232" t="str">
            <v>ud</v>
          </cell>
          <cell r="D5232">
            <v>0</v>
          </cell>
        </row>
        <row r="5233">
          <cell r="A5233" t="str">
            <v>220929</v>
          </cell>
          <cell r="B5233" t="str">
            <v>Curva de 22o30` FD FF PN-10 DN300 linha esgoto</v>
          </cell>
          <cell r="C5233" t="str">
            <v>ud</v>
          </cell>
          <cell r="D5233">
            <v>0</v>
          </cell>
          <cell r="E5233">
            <v>1183.68</v>
          </cell>
          <cell r="F5233">
            <v>1183.68</v>
          </cell>
        </row>
        <row r="5234">
          <cell r="A5234" t="str">
            <v>220930</v>
          </cell>
          <cell r="B5234" t="str">
            <v>Curva de 22o30` FD FF PN-10 DN350 linha esgoto</v>
          </cell>
          <cell r="C5234" t="str">
            <v>ud</v>
          </cell>
          <cell r="D5234">
            <v>0</v>
          </cell>
          <cell r="E5234">
            <v>1588.43</v>
          </cell>
          <cell r="F5234">
            <v>1588.43</v>
          </cell>
        </row>
        <row r="5235">
          <cell r="A5235" t="str">
            <v>220931</v>
          </cell>
          <cell r="B5235" t="str">
            <v>Curva de 22o30` FD FF PN-10 DN400 linha esgoto</v>
          </cell>
          <cell r="C5235" t="str">
            <v>ud</v>
          </cell>
          <cell r="D5235">
            <v>0</v>
          </cell>
        </row>
        <row r="5236">
          <cell r="A5236" t="str">
            <v>220932</v>
          </cell>
          <cell r="B5236" t="str">
            <v>Curva de 22o30` FD FF PN-10 DN450 linha esgoto</v>
          </cell>
          <cell r="C5236" t="str">
            <v>ud</v>
          </cell>
          <cell r="D5236">
            <v>0</v>
          </cell>
        </row>
        <row r="5237">
          <cell r="A5237" t="str">
            <v>220933</v>
          </cell>
          <cell r="B5237" t="str">
            <v>Curva de 22o30` FD FF PN-10 DN500 linha esgoto</v>
          </cell>
          <cell r="C5237" t="str">
            <v>ud</v>
          </cell>
          <cell r="D5237">
            <v>0</v>
          </cell>
        </row>
        <row r="5238">
          <cell r="A5238" t="str">
            <v>220934</v>
          </cell>
          <cell r="B5238" t="str">
            <v>Curva de 22o30` FD FF PN-10 DN600 linha esgoto</v>
          </cell>
          <cell r="C5238" t="str">
            <v>ud</v>
          </cell>
          <cell r="D5238">
            <v>0</v>
          </cell>
        </row>
        <row r="5239">
          <cell r="A5239" t="str">
            <v>220935</v>
          </cell>
          <cell r="B5239" t="str">
            <v xml:space="preserve">Curva de 22o30` FD FF PN-10 DN700 linha esgoto </v>
          </cell>
          <cell r="C5239" t="str">
            <v>ud</v>
          </cell>
          <cell r="D5239">
            <v>0</v>
          </cell>
        </row>
        <row r="5240">
          <cell r="A5240" t="str">
            <v>220936</v>
          </cell>
          <cell r="B5240" t="str">
            <v>Curva de 22o30` FD FF PN-10 DN800 linha esgoto</v>
          </cell>
          <cell r="C5240" t="str">
            <v>ud</v>
          </cell>
          <cell r="D5240">
            <v>0</v>
          </cell>
        </row>
        <row r="5241">
          <cell r="A5241" t="str">
            <v>220937</v>
          </cell>
          <cell r="B5241" t="str">
            <v>Curva de 22o30` FD FF PN-10 DN900 linha esgoto</v>
          </cell>
          <cell r="C5241" t="str">
            <v>ud</v>
          </cell>
          <cell r="D5241">
            <v>0</v>
          </cell>
        </row>
        <row r="5242">
          <cell r="A5242" t="str">
            <v>220938</v>
          </cell>
          <cell r="B5242" t="str">
            <v>Curva de 22o30` FD FF PN-10 DN1000 linha esgoto</v>
          </cell>
          <cell r="C5242" t="str">
            <v>ud</v>
          </cell>
          <cell r="D5242">
            <v>0</v>
          </cell>
        </row>
        <row r="5243">
          <cell r="A5243" t="str">
            <v>220940</v>
          </cell>
          <cell r="B5243" t="str">
            <v>Curva de 22o30` FD FF PN-10 DN1200 linha esgoto</v>
          </cell>
          <cell r="C5243" t="str">
            <v>ud</v>
          </cell>
          <cell r="D5243">
            <v>0</v>
          </cell>
        </row>
        <row r="5244">
          <cell r="A5244" t="str">
            <v>220941</v>
          </cell>
          <cell r="B5244" t="str">
            <v>Curva de 22o30` FD FF PN-16 DN80 linha esgoto</v>
          </cell>
          <cell r="C5244" t="str">
            <v>ud</v>
          </cell>
          <cell r="D5244">
            <v>0</v>
          </cell>
          <cell r="E5244">
            <v>182.99</v>
          </cell>
          <cell r="F5244">
            <v>182.99</v>
          </cell>
        </row>
        <row r="5245">
          <cell r="A5245" t="str">
            <v>220942</v>
          </cell>
          <cell r="B5245" t="str">
            <v>Curva de 22o30` FD FF PN-16 DN100 linha esgoto</v>
          </cell>
          <cell r="C5245" t="str">
            <v>ud</v>
          </cell>
          <cell r="D5245">
            <v>0</v>
          </cell>
        </row>
        <row r="5246">
          <cell r="A5246" t="str">
            <v>220943</v>
          </cell>
          <cell r="B5246" t="str">
            <v>Curva de 22o30` FD FF PN-16 DN150 linha esgoto</v>
          </cell>
          <cell r="C5246" t="str">
            <v>ud</v>
          </cell>
          <cell r="D5246">
            <v>0</v>
          </cell>
        </row>
        <row r="5247">
          <cell r="A5247" t="str">
            <v>220944</v>
          </cell>
          <cell r="B5247" t="str">
            <v>Curva de 22o30` FD FF PN-16 DN200 linha esgoto</v>
          </cell>
          <cell r="C5247" t="str">
            <v>ud</v>
          </cell>
          <cell r="D5247">
            <v>0</v>
          </cell>
          <cell r="E5247">
            <v>525.19000000000005</v>
          </cell>
          <cell r="F5247">
            <v>525.19000000000005</v>
          </cell>
        </row>
        <row r="5248">
          <cell r="A5248" t="str">
            <v>220945</v>
          </cell>
          <cell r="B5248" t="str">
            <v>Curva de 22o30` FD FF PN-16 DN250 linha esgoto</v>
          </cell>
          <cell r="C5248" t="str">
            <v>ud</v>
          </cell>
          <cell r="D5248">
            <v>0</v>
          </cell>
        </row>
        <row r="5249">
          <cell r="A5249" t="str">
            <v>220946</v>
          </cell>
          <cell r="B5249" t="str">
            <v>Curva de 22o30` FD FF PN-16 DN300 linha esgoto</v>
          </cell>
          <cell r="C5249" t="str">
            <v>ud</v>
          </cell>
          <cell r="D5249">
            <v>0</v>
          </cell>
          <cell r="E5249">
            <v>1183.68</v>
          </cell>
          <cell r="F5249">
            <v>1183.68</v>
          </cell>
        </row>
        <row r="5250">
          <cell r="A5250" t="str">
            <v>220947</v>
          </cell>
          <cell r="B5250" t="str">
            <v xml:space="preserve">Curva de 22o30` FD FF PN-16 DN350 linha esgoto </v>
          </cell>
          <cell r="C5250" t="str">
            <v>ud</v>
          </cell>
          <cell r="D5250">
            <v>0</v>
          </cell>
          <cell r="E5250">
            <v>1588.43</v>
          </cell>
          <cell r="F5250">
            <v>1588.43</v>
          </cell>
        </row>
        <row r="5251">
          <cell r="A5251" t="str">
            <v>220948</v>
          </cell>
          <cell r="B5251" t="str">
            <v>Curva de 45o FD FF PN-10 DN80 linha esgoto (294673)</v>
          </cell>
          <cell r="C5251" t="str">
            <v>ud</v>
          </cell>
          <cell r="D5251">
            <v>0</v>
          </cell>
          <cell r="E5251">
            <v>191.02</v>
          </cell>
          <cell r="F5251">
            <v>191.02</v>
          </cell>
        </row>
        <row r="5252">
          <cell r="A5252" t="str">
            <v>220949</v>
          </cell>
          <cell r="B5252" t="str">
            <v>Curva de 45o FD FF PN-10 DN100 linha esgoto</v>
          </cell>
          <cell r="C5252" t="str">
            <v>ud</v>
          </cell>
          <cell r="D5252">
            <v>0</v>
          </cell>
          <cell r="E5252">
            <v>206.86</v>
          </cell>
          <cell r="F5252">
            <v>206.86</v>
          </cell>
        </row>
        <row r="5253">
          <cell r="A5253" t="str">
            <v>220950</v>
          </cell>
          <cell r="B5253" t="str">
            <v>Curva de 45o FD FF PN-10 DN150 linha esgoto (292996)</v>
          </cell>
          <cell r="C5253" t="str">
            <v>ud</v>
          </cell>
          <cell r="D5253">
            <v>0</v>
          </cell>
          <cell r="E5253">
            <v>342.16</v>
          </cell>
          <cell r="F5253">
            <v>342.16</v>
          </cell>
        </row>
        <row r="5254">
          <cell r="A5254" t="str">
            <v>220951</v>
          </cell>
          <cell r="B5254" t="str">
            <v>Curva de 45o FD FF PN-10 DN200 linha esgoto</v>
          </cell>
          <cell r="C5254" t="str">
            <v>ud</v>
          </cell>
          <cell r="D5254">
            <v>0</v>
          </cell>
          <cell r="E5254">
            <v>525.19000000000005</v>
          </cell>
          <cell r="F5254">
            <v>525.19000000000005</v>
          </cell>
        </row>
        <row r="5255">
          <cell r="A5255" t="str">
            <v>220952</v>
          </cell>
          <cell r="B5255" t="str">
            <v>Curva de 45o FD FF PN-10 DN250 linha esgoto</v>
          </cell>
          <cell r="C5255" t="str">
            <v>ud</v>
          </cell>
          <cell r="D5255">
            <v>0</v>
          </cell>
          <cell r="E5255">
            <v>978.74</v>
          </cell>
          <cell r="F5255">
            <v>978.74</v>
          </cell>
        </row>
        <row r="5256">
          <cell r="A5256" t="str">
            <v>220953</v>
          </cell>
          <cell r="B5256" t="str">
            <v>Curva de 45o FD FF PN-10 DN300 linha esgoto (4588)</v>
          </cell>
          <cell r="C5256" t="str">
            <v>ud</v>
          </cell>
          <cell r="D5256">
            <v>0</v>
          </cell>
          <cell r="E5256">
            <v>1360.63</v>
          </cell>
          <cell r="F5256">
            <v>1360.63</v>
          </cell>
        </row>
        <row r="5257">
          <cell r="A5257" t="str">
            <v>220954</v>
          </cell>
          <cell r="B5257" t="str">
            <v>Curva de 45o FD FF PN-10 DN350 linha esgoto</v>
          </cell>
          <cell r="C5257" t="str">
            <v>ud</v>
          </cell>
          <cell r="D5257">
            <v>0</v>
          </cell>
          <cell r="E5257">
            <v>1499.5</v>
          </cell>
          <cell r="F5257">
            <v>1499.5</v>
          </cell>
        </row>
        <row r="5258">
          <cell r="A5258" t="str">
            <v>220955</v>
          </cell>
          <cell r="B5258" t="str">
            <v>Curva de 45o FD FF PN-10 DN400 linha esgoto</v>
          </cell>
          <cell r="C5258" t="str">
            <v>ud</v>
          </cell>
          <cell r="D5258">
            <v>0</v>
          </cell>
          <cell r="E5258">
            <v>1655.1</v>
          </cell>
          <cell r="F5258">
            <v>1655.1</v>
          </cell>
        </row>
        <row r="5259">
          <cell r="A5259" t="str">
            <v>220956</v>
          </cell>
          <cell r="B5259" t="str">
            <v>Curva de 45o FD FF PN-10 DN450 linha esgoto</v>
          </cell>
          <cell r="C5259" t="str">
            <v>ud</v>
          </cell>
          <cell r="D5259">
            <v>0</v>
          </cell>
          <cell r="E5259">
            <v>2023.21</v>
          </cell>
          <cell r="F5259">
            <v>2023.21</v>
          </cell>
        </row>
        <row r="5260">
          <cell r="A5260" t="str">
            <v>220957</v>
          </cell>
          <cell r="B5260" t="str">
            <v>Curva de 45o FD FF PN-10 DN500 linha esgoto</v>
          </cell>
          <cell r="C5260" t="str">
            <v>ud</v>
          </cell>
          <cell r="D5260">
            <v>0</v>
          </cell>
          <cell r="E5260">
            <v>3376.84</v>
          </cell>
          <cell r="F5260">
            <v>3376.84</v>
          </cell>
        </row>
        <row r="5261">
          <cell r="A5261" t="str">
            <v>220958</v>
          </cell>
          <cell r="B5261" t="str">
            <v xml:space="preserve">Curva de 45o FD FF PN-10 DN600 linha esgoto </v>
          </cell>
          <cell r="C5261" t="str">
            <v>ud</v>
          </cell>
          <cell r="D5261">
            <v>0</v>
          </cell>
          <cell r="E5261">
            <v>4314.8500000000004</v>
          </cell>
          <cell r="F5261">
            <v>4314.8500000000004</v>
          </cell>
        </row>
        <row r="5262">
          <cell r="A5262" t="str">
            <v>220959</v>
          </cell>
          <cell r="B5262" t="str">
            <v>Curva de 45o FD FF PN-10 DN700 linha esgoto</v>
          </cell>
          <cell r="C5262" t="str">
            <v>ud</v>
          </cell>
          <cell r="D5262">
            <v>0</v>
          </cell>
        </row>
        <row r="5263">
          <cell r="A5263" t="str">
            <v>220960</v>
          </cell>
          <cell r="B5263" t="str">
            <v>Curva de 45o FD FF PN-10 DN800 linha esgoto</v>
          </cell>
          <cell r="C5263" t="str">
            <v>ud</v>
          </cell>
          <cell r="D5263">
            <v>0</v>
          </cell>
        </row>
        <row r="5264">
          <cell r="A5264" t="str">
            <v>220961</v>
          </cell>
          <cell r="B5264" t="str">
            <v>Curva de 45o FD FF PN-10 DN900 linha esgoto</v>
          </cell>
          <cell r="C5264" t="str">
            <v>ud</v>
          </cell>
          <cell r="D5264">
            <v>0</v>
          </cell>
        </row>
        <row r="5265">
          <cell r="A5265" t="str">
            <v>220962</v>
          </cell>
          <cell r="B5265" t="str">
            <v>Curva de 45o FD FF PN-10 DN1000 linha esgoto</v>
          </cell>
          <cell r="C5265" t="str">
            <v>ud</v>
          </cell>
          <cell r="D5265">
            <v>0</v>
          </cell>
        </row>
        <row r="5266">
          <cell r="A5266" t="str">
            <v>220964</v>
          </cell>
          <cell r="B5266" t="str">
            <v>Curva de 45o FD FF PN-10 DN1200 linha esgoto</v>
          </cell>
          <cell r="C5266" t="str">
            <v>ud</v>
          </cell>
          <cell r="D5266">
            <v>0</v>
          </cell>
        </row>
        <row r="5267">
          <cell r="A5267" t="str">
            <v>220965</v>
          </cell>
          <cell r="B5267" t="str">
            <v>Curva de 45o FD FF PN-16 DN80 linha esgoto</v>
          </cell>
          <cell r="C5267" t="str">
            <v>ud</v>
          </cell>
          <cell r="D5267">
            <v>0</v>
          </cell>
          <cell r="E5267">
            <v>191.02</v>
          </cell>
          <cell r="F5267">
            <v>191.02</v>
          </cell>
        </row>
        <row r="5268">
          <cell r="A5268" t="str">
            <v>220966</v>
          </cell>
          <cell r="B5268" t="str">
            <v>Curva de 45o FD FF PN-16 DN100 linha esgoto</v>
          </cell>
          <cell r="C5268" t="str">
            <v>ud</v>
          </cell>
          <cell r="D5268">
            <v>0</v>
          </cell>
          <cell r="E5268">
            <v>206.86</v>
          </cell>
          <cell r="F5268">
            <v>206.86</v>
          </cell>
        </row>
        <row r="5269">
          <cell r="A5269" t="str">
            <v>220967</v>
          </cell>
          <cell r="B5269" t="str">
            <v xml:space="preserve">Curva de 45o FD FF PN-16 DN150 linha esgoto </v>
          </cell>
          <cell r="C5269" t="str">
            <v>ud</v>
          </cell>
          <cell r="D5269">
            <v>0</v>
          </cell>
          <cell r="E5269">
            <v>342.16</v>
          </cell>
          <cell r="F5269">
            <v>342.16</v>
          </cell>
        </row>
        <row r="5270">
          <cell r="A5270" t="str">
            <v>220968</v>
          </cell>
          <cell r="B5270" t="str">
            <v xml:space="preserve">Curva de 45o FD FF PN-16 DN200 linha esgoto </v>
          </cell>
          <cell r="C5270" t="str">
            <v>ud</v>
          </cell>
          <cell r="D5270">
            <v>0</v>
          </cell>
          <cell r="E5270">
            <v>525.19000000000005</v>
          </cell>
          <cell r="F5270">
            <v>525.19000000000005</v>
          </cell>
        </row>
        <row r="5271">
          <cell r="A5271" t="str">
            <v>220969</v>
          </cell>
          <cell r="B5271" t="str">
            <v>Curva de 45o FD FF PN-16 DN250 linha esgoto</v>
          </cell>
          <cell r="C5271" t="str">
            <v>ud</v>
          </cell>
          <cell r="D5271">
            <v>0</v>
          </cell>
          <cell r="E5271">
            <v>978.74</v>
          </cell>
          <cell r="F5271">
            <v>978.74</v>
          </cell>
        </row>
        <row r="5272">
          <cell r="A5272" t="str">
            <v>220970</v>
          </cell>
          <cell r="B5272" t="str">
            <v>Curva de 45o FD FF PN-16 DN300 linha esgoto</v>
          </cell>
          <cell r="C5272" t="str">
            <v>ud</v>
          </cell>
          <cell r="D5272">
            <v>0</v>
          </cell>
          <cell r="E5272">
            <v>1360.63</v>
          </cell>
          <cell r="F5272">
            <v>1360.63</v>
          </cell>
        </row>
        <row r="5273">
          <cell r="A5273" t="str">
            <v>220971</v>
          </cell>
          <cell r="B5273" t="str">
            <v>Curva de 45o FD FF PN-16 DN350 linha esgoto</v>
          </cell>
          <cell r="C5273" t="str">
            <v>ud</v>
          </cell>
          <cell r="D5273">
            <v>0</v>
          </cell>
          <cell r="E5273">
            <v>1499.5</v>
          </cell>
          <cell r="F5273">
            <v>1499.5</v>
          </cell>
        </row>
        <row r="5274">
          <cell r="A5274" t="str">
            <v>220972</v>
          </cell>
          <cell r="B5274" t="str">
            <v>Curva de 90o FD FF PN-10 DN80 linha esgoto (294122)</v>
          </cell>
          <cell r="C5274" t="str">
            <v>ud</v>
          </cell>
          <cell r="D5274">
            <v>0</v>
          </cell>
          <cell r="E5274">
            <v>198.95</v>
          </cell>
          <cell r="F5274">
            <v>198.95</v>
          </cell>
        </row>
        <row r="5275">
          <cell r="A5275" t="str">
            <v>220973</v>
          </cell>
          <cell r="B5275" t="str">
            <v>Curva de 90o FD FF PN-10 DN100 linha esgoto (286301)</v>
          </cell>
          <cell r="C5275" t="str">
            <v>ud</v>
          </cell>
          <cell r="D5275">
            <v>0</v>
          </cell>
          <cell r="E5275">
            <v>206.86</v>
          </cell>
          <cell r="F5275">
            <v>206.86</v>
          </cell>
        </row>
        <row r="5276">
          <cell r="A5276" t="str">
            <v>220974</v>
          </cell>
          <cell r="B5276" t="str">
            <v>Curva de 90o FD FF PN-10 DN150 linha esgoto (292998)</v>
          </cell>
          <cell r="C5276" t="str">
            <v>ud</v>
          </cell>
          <cell r="D5276">
            <v>0</v>
          </cell>
          <cell r="E5276">
            <v>342.15</v>
          </cell>
          <cell r="F5276">
            <v>342.15</v>
          </cell>
        </row>
        <row r="5277">
          <cell r="A5277" t="str">
            <v>220975</v>
          </cell>
          <cell r="B5277" t="str">
            <v>Curva de 90o FD FF PN-10 DN200 linha esgoto (292999)</v>
          </cell>
          <cell r="C5277" t="str">
            <v>ud</v>
          </cell>
          <cell r="D5277">
            <v>0</v>
          </cell>
          <cell r="E5277">
            <v>576.9</v>
          </cell>
          <cell r="F5277">
            <v>576.9</v>
          </cell>
        </row>
        <row r="5278">
          <cell r="A5278" t="str">
            <v>220976</v>
          </cell>
          <cell r="B5278" t="str">
            <v>Curva de 90o FD FF PN-10 DN250 linha esgoto</v>
          </cell>
          <cell r="C5278" t="str">
            <v>ud</v>
          </cell>
          <cell r="D5278">
            <v>0</v>
          </cell>
          <cell r="E5278">
            <v>1185.58</v>
          </cell>
          <cell r="F5278">
            <v>1185.58</v>
          </cell>
        </row>
        <row r="5279">
          <cell r="A5279" t="str">
            <v>220977</v>
          </cell>
          <cell r="B5279" t="str">
            <v>Curva de 90o FD FF PN-10 DN300 linha esgoto</v>
          </cell>
          <cell r="C5279" t="str">
            <v>ud</v>
          </cell>
          <cell r="D5279">
            <v>0</v>
          </cell>
          <cell r="E5279">
            <v>1631.19</v>
          </cell>
          <cell r="F5279">
            <v>1631.19</v>
          </cell>
        </row>
        <row r="5280">
          <cell r="A5280" t="str">
            <v>220978</v>
          </cell>
          <cell r="B5280" t="str">
            <v>Curva de 90o FD FF PN-10 DN350 linha esgoto</v>
          </cell>
          <cell r="C5280" t="str">
            <v>ud</v>
          </cell>
          <cell r="D5280">
            <v>0</v>
          </cell>
          <cell r="E5280">
            <v>2168.29</v>
          </cell>
          <cell r="F5280">
            <v>2168.29</v>
          </cell>
        </row>
        <row r="5281">
          <cell r="A5281" t="str">
            <v>220979</v>
          </cell>
          <cell r="B5281" t="str">
            <v>Curva de 90o FD FF PN-10 DN400 linha esgoto</v>
          </cell>
          <cell r="C5281" t="str">
            <v>ud</v>
          </cell>
          <cell r="D5281">
            <v>0</v>
          </cell>
          <cell r="E5281">
            <v>2358.1999999999998</v>
          </cell>
          <cell r="F5281">
            <v>2358.1999999999998</v>
          </cell>
        </row>
        <row r="5282">
          <cell r="A5282" t="str">
            <v>220980</v>
          </cell>
          <cell r="B5282" t="str">
            <v>Curva de 90o FD FF PN-10 DN450 linha esgoto</v>
          </cell>
          <cell r="C5282" t="str">
            <v>ud</v>
          </cell>
          <cell r="D5282">
            <v>0</v>
          </cell>
          <cell r="E5282">
            <v>2401.1799999999998</v>
          </cell>
          <cell r="F5282">
            <v>2401.1799999999998</v>
          </cell>
        </row>
        <row r="5283">
          <cell r="A5283" t="str">
            <v>220981</v>
          </cell>
          <cell r="B5283" t="str">
            <v>Curva de 90o FD FF PN-10 DN500 linha esgoto</v>
          </cell>
          <cell r="C5283" t="str">
            <v>ud</v>
          </cell>
          <cell r="D5283">
            <v>0</v>
          </cell>
          <cell r="E5283">
            <v>3859.16</v>
          </cell>
          <cell r="F5283">
            <v>3859.16</v>
          </cell>
        </row>
        <row r="5284">
          <cell r="A5284" t="str">
            <v>220982</v>
          </cell>
          <cell r="B5284" t="str">
            <v>Curva de 90o FD FF PN-10 DN600 linha esgoto</v>
          </cell>
          <cell r="C5284" t="str">
            <v>ud</v>
          </cell>
          <cell r="D5284">
            <v>0</v>
          </cell>
          <cell r="E5284">
            <v>5807.67</v>
          </cell>
          <cell r="F5284">
            <v>5807.67</v>
          </cell>
        </row>
        <row r="5285">
          <cell r="A5285" t="str">
            <v>220983</v>
          </cell>
          <cell r="B5285" t="str">
            <v>Curva de 90o FD FF PN-10 DN700 linha esgoto</v>
          </cell>
          <cell r="C5285" t="str">
            <v>ud</v>
          </cell>
          <cell r="D5285">
            <v>0</v>
          </cell>
          <cell r="E5285">
            <v>9042.11</v>
          </cell>
          <cell r="F5285">
            <v>9042.11</v>
          </cell>
        </row>
        <row r="5286">
          <cell r="A5286" t="str">
            <v>220984</v>
          </cell>
          <cell r="B5286" t="str">
            <v>Curva de 90o FD FF PN-10 DN800 linha esgoto</v>
          </cell>
          <cell r="C5286" t="str">
            <v>ud</v>
          </cell>
          <cell r="D5286">
            <v>0</v>
          </cell>
        </row>
        <row r="5287">
          <cell r="A5287" t="str">
            <v>220985</v>
          </cell>
          <cell r="B5287" t="str">
            <v>Curva de 90o FD FF PN-10 DN900 linha esgoto</v>
          </cell>
          <cell r="C5287" t="str">
            <v>ud</v>
          </cell>
          <cell r="D5287">
            <v>0</v>
          </cell>
        </row>
        <row r="5288">
          <cell r="A5288" t="str">
            <v>220986</v>
          </cell>
          <cell r="B5288" t="str">
            <v>Curva de 90o FD FF PN-10 DN1000 linha esgoto</v>
          </cell>
          <cell r="C5288" t="str">
            <v>ud</v>
          </cell>
          <cell r="D5288">
            <v>0</v>
          </cell>
        </row>
        <row r="5289">
          <cell r="A5289" t="str">
            <v>220988</v>
          </cell>
          <cell r="B5289" t="str">
            <v>Curva de 90o FD FF PN-10 DN1200 linha esgoto</v>
          </cell>
          <cell r="C5289" t="str">
            <v>ud</v>
          </cell>
          <cell r="D5289">
            <v>0</v>
          </cell>
        </row>
        <row r="5290">
          <cell r="A5290" t="str">
            <v>220989</v>
          </cell>
          <cell r="B5290" t="str">
            <v>Curva de 90o FD FF PN-16 DN80 linha esgoto</v>
          </cell>
          <cell r="C5290" t="str">
            <v>ud</v>
          </cell>
          <cell r="D5290">
            <v>0</v>
          </cell>
          <cell r="E5290">
            <v>198.95</v>
          </cell>
          <cell r="F5290">
            <v>198.95</v>
          </cell>
        </row>
        <row r="5291">
          <cell r="A5291" t="str">
            <v>220990</v>
          </cell>
          <cell r="B5291" t="str">
            <v xml:space="preserve">Curva de 90o FD FF PN-16 DN100 linha esgoto </v>
          </cell>
          <cell r="C5291" t="str">
            <v>ud</v>
          </cell>
          <cell r="D5291">
            <v>0</v>
          </cell>
          <cell r="E5291">
            <v>206.86</v>
          </cell>
          <cell r="F5291">
            <v>206.86</v>
          </cell>
        </row>
        <row r="5292">
          <cell r="A5292" t="str">
            <v>220991</v>
          </cell>
          <cell r="B5292" t="str">
            <v>Curva de 90o FD FF PN-16 DN150 linha esgoto</v>
          </cell>
          <cell r="C5292" t="str">
            <v>ud</v>
          </cell>
          <cell r="D5292">
            <v>0</v>
          </cell>
          <cell r="E5292">
            <v>342.15</v>
          </cell>
          <cell r="F5292">
            <v>342.15</v>
          </cell>
        </row>
        <row r="5293">
          <cell r="A5293" t="str">
            <v>220992</v>
          </cell>
          <cell r="B5293" t="str">
            <v>Curva de 90o FD FF PN-16 DN200 linha esgoto</v>
          </cell>
          <cell r="C5293" t="str">
            <v>ud</v>
          </cell>
          <cell r="D5293">
            <v>0</v>
          </cell>
          <cell r="E5293">
            <v>576.9</v>
          </cell>
          <cell r="F5293">
            <v>576.9</v>
          </cell>
        </row>
        <row r="5294">
          <cell r="A5294" t="str">
            <v>220993</v>
          </cell>
          <cell r="B5294" t="str">
            <v>Curva de 90o FD FF PN-16 DN250 linha esgoto</v>
          </cell>
          <cell r="C5294" t="str">
            <v>ud</v>
          </cell>
          <cell r="D5294">
            <v>0</v>
          </cell>
          <cell r="E5294">
            <v>1185.58</v>
          </cell>
          <cell r="F5294">
            <v>1185.58</v>
          </cell>
        </row>
        <row r="5295">
          <cell r="A5295" t="str">
            <v>220994</v>
          </cell>
          <cell r="B5295" t="str">
            <v>Curva de 90o FD FF PN-16 DN300 linha esgoto</v>
          </cell>
          <cell r="C5295" t="str">
            <v>ud</v>
          </cell>
          <cell r="D5295">
            <v>0</v>
          </cell>
          <cell r="E5295">
            <v>1631.19</v>
          </cell>
          <cell r="F5295">
            <v>1631.19</v>
          </cell>
        </row>
        <row r="5296">
          <cell r="A5296" t="str">
            <v>220995</v>
          </cell>
          <cell r="B5296" t="str">
            <v>Curva de 90o FD FF PN-16 DN350 linha esgoto</v>
          </cell>
          <cell r="C5296" t="str">
            <v>ud</v>
          </cell>
          <cell r="D5296">
            <v>0</v>
          </cell>
          <cell r="E5296">
            <v>2168.29</v>
          </cell>
          <cell r="F5296">
            <v>2168.29</v>
          </cell>
        </row>
        <row r="5297">
          <cell r="A5297" t="str">
            <v>2211</v>
          </cell>
          <cell r="B5297" t="str">
            <v>CURVA FD JM</v>
          </cell>
        </row>
        <row r="5298">
          <cell r="A5298" t="str">
            <v>221104</v>
          </cell>
          <cell r="B5298" t="str">
            <v xml:space="preserve">Curva FD JM 11º 15'  DN  300  -  linha esgoto </v>
          </cell>
          <cell r="C5298" t="str">
            <v>ud</v>
          </cell>
          <cell r="D5298">
            <v>0</v>
          </cell>
          <cell r="E5298">
            <v>1535.74</v>
          </cell>
          <cell r="F5298">
            <v>1535.74</v>
          </cell>
        </row>
        <row r="5299">
          <cell r="A5299" t="str">
            <v>221106</v>
          </cell>
          <cell r="B5299" t="str">
            <v xml:space="preserve">Curva FD JM 11º 15'  DN  400  -  linha esgoto </v>
          </cell>
          <cell r="C5299" t="str">
            <v>ud</v>
          </cell>
          <cell r="D5299">
            <v>0</v>
          </cell>
        </row>
        <row r="5300">
          <cell r="A5300" t="str">
            <v>221108</v>
          </cell>
          <cell r="B5300" t="str">
            <v xml:space="preserve">Curva FD JM 11º 15'  DN  450  -  linha esgoto </v>
          </cell>
          <cell r="C5300" t="str">
            <v>ud</v>
          </cell>
          <cell r="D5300">
            <v>0</v>
          </cell>
        </row>
        <row r="5301">
          <cell r="A5301" t="str">
            <v>221109</v>
          </cell>
          <cell r="B5301" t="str">
            <v xml:space="preserve">Curva FD JM 11º 15'  DN  500  -  linha esgoto </v>
          </cell>
          <cell r="C5301" t="str">
            <v>ud</v>
          </cell>
          <cell r="D5301">
            <v>0</v>
          </cell>
          <cell r="E5301">
            <v>3493.16</v>
          </cell>
          <cell r="F5301">
            <v>3493.16</v>
          </cell>
        </row>
        <row r="5302">
          <cell r="A5302" t="str">
            <v>221110</v>
          </cell>
          <cell r="B5302" t="str">
            <v xml:space="preserve">Curva FD JM 11º 15'  DN  600  -  linha esgoto </v>
          </cell>
          <cell r="C5302" t="str">
            <v>ud</v>
          </cell>
          <cell r="D5302">
            <v>0</v>
          </cell>
        </row>
        <row r="5303">
          <cell r="A5303" t="str">
            <v>221111</v>
          </cell>
          <cell r="B5303" t="str">
            <v xml:space="preserve">Curva FD JM 11º 15'  DN  700  -  linha esgoto </v>
          </cell>
          <cell r="C5303" t="str">
            <v>ud</v>
          </cell>
          <cell r="D5303">
            <v>0</v>
          </cell>
        </row>
        <row r="5304">
          <cell r="A5304" t="str">
            <v>221112</v>
          </cell>
          <cell r="B5304" t="str">
            <v xml:space="preserve">Curva FD JM 11º 15'  DN  800  -  linha esgoto </v>
          </cell>
          <cell r="C5304" t="str">
            <v>ud</v>
          </cell>
          <cell r="D5304">
            <v>0</v>
          </cell>
        </row>
        <row r="5305">
          <cell r="A5305" t="str">
            <v>221113</v>
          </cell>
          <cell r="B5305" t="str">
            <v xml:space="preserve">Curva FD JM 11º 15'  DN  900  -  linha esgoto </v>
          </cell>
          <cell r="C5305" t="str">
            <v>ud</v>
          </cell>
          <cell r="D5305">
            <v>0</v>
          </cell>
        </row>
        <row r="5306">
          <cell r="A5306" t="str">
            <v>221114</v>
          </cell>
          <cell r="B5306" t="str">
            <v xml:space="preserve">Curva FD JM 11º 15'  DN 1000  -  linha esgoto </v>
          </cell>
          <cell r="C5306" t="str">
            <v>ud</v>
          </cell>
          <cell r="D5306">
            <v>0</v>
          </cell>
        </row>
        <row r="5307">
          <cell r="A5307" t="str">
            <v>221115</v>
          </cell>
          <cell r="B5307" t="str">
            <v xml:space="preserve">Curva FD JM 11º 15'  DN 1200  -  linha esgoto </v>
          </cell>
          <cell r="C5307" t="str">
            <v>ud</v>
          </cell>
          <cell r="D5307">
            <v>0</v>
          </cell>
        </row>
        <row r="5308">
          <cell r="A5308" t="str">
            <v>221117</v>
          </cell>
          <cell r="B5308" t="str">
            <v xml:space="preserve">Curva FD JM 22º 30'  DN  300  -  linha esgoto </v>
          </cell>
          <cell r="C5308" t="str">
            <v>ud</v>
          </cell>
          <cell r="D5308">
            <v>0</v>
          </cell>
        </row>
        <row r="5309">
          <cell r="A5309" t="str">
            <v>221122</v>
          </cell>
          <cell r="B5309" t="str">
            <v xml:space="preserve">Curva FD JM 22º 30'  DN  400  -  linha esgoto </v>
          </cell>
          <cell r="C5309" t="str">
            <v>ud</v>
          </cell>
          <cell r="D5309">
            <v>0</v>
          </cell>
        </row>
        <row r="5310">
          <cell r="A5310" t="str">
            <v>221124</v>
          </cell>
          <cell r="B5310" t="str">
            <v xml:space="preserve">Curva FD JM 22º 30'  DN  450  -  linha esgoto </v>
          </cell>
          <cell r="C5310" t="str">
            <v>ud</v>
          </cell>
          <cell r="D5310">
            <v>0</v>
          </cell>
        </row>
        <row r="5311">
          <cell r="A5311" t="str">
            <v>221125</v>
          </cell>
          <cell r="B5311" t="str">
            <v xml:space="preserve">Curva FD JM 22º 30'  DN  500  -  linha esgoto </v>
          </cell>
          <cell r="C5311" t="str">
            <v>ud</v>
          </cell>
          <cell r="D5311">
            <v>0</v>
          </cell>
        </row>
        <row r="5312">
          <cell r="A5312" t="str">
            <v>221126</v>
          </cell>
          <cell r="B5312" t="str">
            <v xml:space="preserve">Curva FD JM 22º 30'  DN  600  -  linha esgoto </v>
          </cell>
          <cell r="C5312" t="str">
            <v>ud</v>
          </cell>
          <cell r="D5312">
            <v>0</v>
          </cell>
        </row>
        <row r="5313">
          <cell r="A5313" t="str">
            <v>221127</v>
          </cell>
          <cell r="B5313" t="str">
            <v xml:space="preserve">Curva FD JM 22º 30'  DN  700  -  linha esgoto </v>
          </cell>
          <cell r="C5313" t="str">
            <v>ud</v>
          </cell>
          <cell r="D5313">
            <v>0</v>
          </cell>
        </row>
        <row r="5314">
          <cell r="A5314" t="str">
            <v>221128</v>
          </cell>
          <cell r="B5314" t="str">
            <v xml:space="preserve">Curva FD JM 22º 30'  DN  800  -  linha esgoto </v>
          </cell>
          <cell r="C5314" t="str">
            <v>ud</v>
          </cell>
          <cell r="D5314">
            <v>0</v>
          </cell>
        </row>
        <row r="5315">
          <cell r="A5315" t="str">
            <v>221129</v>
          </cell>
          <cell r="B5315" t="str">
            <v xml:space="preserve">Curva FD JM 22º 30'  DN  900  -  linha esgoto </v>
          </cell>
          <cell r="C5315" t="str">
            <v>ud</v>
          </cell>
          <cell r="D5315">
            <v>0</v>
          </cell>
        </row>
        <row r="5316">
          <cell r="A5316" t="str">
            <v>221130</v>
          </cell>
          <cell r="B5316" t="str">
            <v xml:space="preserve">Curva FD JM 22º 30'  DN 1000  -  linha esgoto </v>
          </cell>
          <cell r="C5316" t="str">
            <v>ud</v>
          </cell>
          <cell r="D5316">
            <v>0</v>
          </cell>
        </row>
        <row r="5317">
          <cell r="A5317" t="str">
            <v>221131</v>
          </cell>
          <cell r="B5317" t="str">
            <v xml:space="preserve">Curva FD JM 22º 30'  DN 1200  -  linha esgoto </v>
          </cell>
          <cell r="C5317" t="str">
            <v>ud</v>
          </cell>
          <cell r="D5317">
            <v>0</v>
          </cell>
        </row>
        <row r="5318">
          <cell r="A5318" t="str">
            <v>221133</v>
          </cell>
          <cell r="B5318" t="str">
            <v xml:space="preserve">Curva FD JM 45º  DN  300  -  linha esgoto </v>
          </cell>
          <cell r="C5318" t="str">
            <v>ud</v>
          </cell>
          <cell r="D5318">
            <v>0</v>
          </cell>
          <cell r="E5318">
            <v>1790.34</v>
          </cell>
          <cell r="F5318">
            <v>1790.34</v>
          </cell>
        </row>
        <row r="5319">
          <cell r="A5319" t="str">
            <v>221139</v>
          </cell>
          <cell r="B5319" t="str">
            <v xml:space="preserve">Curva FD JM 45º  DN  400  -  linha esgoto </v>
          </cell>
          <cell r="C5319" t="str">
            <v>ud</v>
          </cell>
          <cell r="D5319">
            <v>0</v>
          </cell>
          <cell r="E5319">
            <v>3472.2</v>
          </cell>
          <cell r="F5319">
            <v>3472.2</v>
          </cell>
        </row>
        <row r="5320">
          <cell r="A5320" t="str">
            <v>221141</v>
          </cell>
          <cell r="B5320" t="str">
            <v xml:space="preserve">Curva FD JM 45º  DN  450  -  linha esgoto </v>
          </cell>
          <cell r="C5320" t="str">
            <v>ud</v>
          </cell>
          <cell r="D5320">
            <v>0</v>
          </cell>
        </row>
        <row r="5321">
          <cell r="A5321" t="str">
            <v>221142</v>
          </cell>
          <cell r="B5321" t="str">
            <v xml:space="preserve">Curva FD JM 45º  DN  500  -  linha esgoto </v>
          </cell>
          <cell r="C5321" t="str">
            <v>ud</v>
          </cell>
          <cell r="D5321">
            <v>0</v>
          </cell>
        </row>
        <row r="5322">
          <cell r="A5322" t="str">
            <v>221143</v>
          </cell>
          <cell r="B5322" t="str">
            <v xml:space="preserve">Curva FD JM 45º  DN  600  -  linha esgoto </v>
          </cell>
          <cell r="C5322" t="str">
            <v>ud</v>
          </cell>
          <cell r="D5322">
            <v>0</v>
          </cell>
        </row>
        <row r="5323">
          <cell r="A5323" t="str">
            <v>221144</v>
          </cell>
          <cell r="B5323" t="str">
            <v xml:space="preserve">Curva FD JM 45º  DN  700  -  linha esgoto </v>
          </cell>
          <cell r="C5323" t="str">
            <v>ud</v>
          </cell>
          <cell r="D5323">
            <v>0</v>
          </cell>
        </row>
        <row r="5324">
          <cell r="A5324" t="str">
            <v>221145</v>
          </cell>
          <cell r="B5324" t="str">
            <v xml:space="preserve">Curva FD JM 45º  DN  800  -  linha esgoto </v>
          </cell>
          <cell r="C5324" t="str">
            <v>ud</v>
          </cell>
          <cell r="D5324">
            <v>0</v>
          </cell>
        </row>
        <row r="5325">
          <cell r="A5325" t="str">
            <v>221146</v>
          </cell>
          <cell r="B5325" t="str">
            <v xml:space="preserve">Curva FD JM 45º  DN  900  -  linha esgoto </v>
          </cell>
          <cell r="C5325" t="str">
            <v>ud</v>
          </cell>
          <cell r="D5325">
            <v>0</v>
          </cell>
        </row>
        <row r="5326">
          <cell r="A5326" t="str">
            <v>221147</v>
          </cell>
          <cell r="B5326" t="str">
            <v xml:space="preserve">Curva FD JM 45º  DN 1000  -  linha esgoto </v>
          </cell>
          <cell r="C5326" t="str">
            <v>ud</v>
          </cell>
          <cell r="D5326">
            <v>0</v>
          </cell>
        </row>
        <row r="5327">
          <cell r="A5327" t="str">
            <v>221148</v>
          </cell>
          <cell r="B5327" t="str">
            <v xml:space="preserve">Curva FD JM 45º  DN 1200  -  linha esgoto </v>
          </cell>
          <cell r="C5327" t="str">
            <v>ud</v>
          </cell>
          <cell r="D5327">
            <v>0</v>
          </cell>
        </row>
        <row r="5328">
          <cell r="A5328" t="str">
            <v>2214</v>
          </cell>
          <cell r="B5328" t="str">
            <v>EXTREMIDADE FD</v>
          </cell>
        </row>
        <row r="5329">
          <cell r="A5329" t="str">
            <v>221401</v>
          </cell>
          <cell r="B5329" t="str">
            <v>Extremidade FD FB JE/JE2GS PN-10 DN80 linha esgoto</v>
          </cell>
          <cell r="C5329" t="str">
            <v>ud</v>
          </cell>
          <cell r="D5329">
            <v>0</v>
          </cell>
          <cell r="E5329">
            <v>179.06</v>
          </cell>
          <cell r="F5329">
            <v>179.06</v>
          </cell>
        </row>
        <row r="5330">
          <cell r="A5330" t="str">
            <v>221402</v>
          </cell>
          <cell r="B5330" t="str">
            <v>Extremidade FD FB JE/JE2GS PN-10 DN100 linha esgoto (286300)</v>
          </cell>
          <cell r="C5330" t="str">
            <v>ud</v>
          </cell>
          <cell r="D5330">
            <v>0</v>
          </cell>
          <cell r="E5330">
            <v>202.93</v>
          </cell>
          <cell r="F5330">
            <v>202.93</v>
          </cell>
        </row>
        <row r="5331">
          <cell r="A5331" t="str">
            <v>221403</v>
          </cell>
          <cell r="B5331" t="str">
            <v>Extremidade FD FB JE/JE2GS PN-10 DN150 linha esgoto (294674)</v>
          </cell>
          <cell r="C5331" t="str">
            <v>ud</v>
          </cell>
          <cell r="D5331">
            <v>0</v>
          </cell>
          <cell r="E5331">
            <v>265.77999999999997</v>
          </cell>
          <cell r="F5331">
            <v>265.77999999999997</v>
          </cell>
        </row>
        <row r="5332">
          <cell r="A5332" t="str">
            <v>221404</v>
          </cell>
          <cell r="B5332" t="str">
            <v>Extremidade FD FB JE/JE2GS PN-10 DN200 linha esgoto</v>
          </cell>
          <cell r="C5332" t="str">
            <v>ud</v>
          </cell>
          <cell r="D5332">
            <v>0</v>
          </cell>
          <cell r="E5332">
            <v>359.57</v>
          </cell>
          <cell r="F5332">
            <v>359.57</v>
          </cell>
        </row>
        <row r="5333">
          <cell r="A5333" t="str">
            <v>221405</v>
          </cell>
          <cell r="B5333" t="str">
            <v>Extremidade FD FB JE/JE2GS PN-10 DN250 linha esgoto</v>
          </cell>
          <cell r="C5333" t="str">
            <v>ud</v>
          </cell>
          <cell r="D5333">
            <v>0</v>
          </cell>
          <cell r="E5333">
            <v>580.88</v>
          </cell>
          <cell r="F5333">
            <v>580.88</v>
          </cell>
        </row>
        <row r="5334">
          <cell r="A5334" t="str">
            <v>221406</v>
          </cell>
          <cell r="B5334" t="str">
            <v>Extremidade FD FB JE/JE2GS PN-10 DN300 linha esgoto (282492)</v>
          </cell>
          <cell r="C5334" t="str">
            <v>ud</v>
          </cell>
          <cell r="D5334">
            <v>0</v>
          </cell>
          <cell r="E5334">
            <v>747.99</v>
          </cell>
          <cell r="F5334">
            <v>747.99</v>
          </cell>
        </row>
        <row r="5335">
          <cell r="A5335" t="str">
            <v>221407</v>
          </cell>
          <cell r="B5335" t="str">
            <v>Extremidade FD FB JE/JE2GS PN-10 DN350 linha esgoto</v>
          </cell>
          <cell r="C5335" t="str">
            <v>ud</v>
          </cell>
          <cell r="D5335">
            <v>0</v>
          </cell>
          <cell r="E5335">
            <v>868.01</v>
          </cell>
          <cell r="F5335">
            <v>868.01</v>
          </cell>
        </row>
        <row r="5336">
          <cell r="A5336" t="str">
            <v>221408</v>
          </cell>
          <cell r="B5336" t="str">
            <v>Extremidade FD FB JE/JE2GS PN-10 DN400 linha esgoto</v>
          </cell>
          <cell r="C5336" t="str">
            <v>ud</v>
          </cell>
          <cell r="D5336">
            <v>0</v>
          </cell>
          <cell r="E5336">
            <v>923.05</v>
          </cell>
          <cell r="F5336">
            <v>923.05</v>
          </cell>
        </row>
        <row r="5337">
          <cell r="A5337" t="str">
            <v>221409</v>
          </cell>
          <cell r="B5337" t="str">
            <v>Extremidade FD FB JE/JE2GS PN-10 DN450 linha esgoto</v>
          </cell>
          <cell r="C5337" t="str">
            <v>ud</v>
          </cell>
          <cell r="D5337">
            <v>0</v>
          </cell>
        </row>
        <row r="5338">
          <cell r="A5338" t="str">
            <v>221410</v>
          </cell>
          <cell r="B5338" t="str">
            <v>Extremidade FD FB JE/JE2GS PN-10 DN500 linha esgoto</v>
          </cell>
          <cell r="C5338" t="str">
            <v>ud</v>
          </cell>
          <cell r="D5338">
            <v>0</v>
          </cell>
          <cell r="E5338">
            <v>1424.33</v>
          </cell>
          <cell r="F5338">
            <v>1424.33</v>
          </cell>
        </row>
        <row r="5339">
          <cell r="A5339" t="str">
            <v>221411</v>
          </cell>
          <cell r="B5339" t="str">
            <v>Extremidade FD FB JE/JE2GS PN-10 DN600 linha esgoto</v>
          </cell>
          <cell r="C5339" t="str">
            <v>ud</v>
          </cell>
          <cell r="D5339">
            <v>0</v>
          </cell>
          <cell r="E5339">
            <v>2196.14</v>
          </cell>
          <cell r="F5339">
            <v>2196.14</v>
          </cell>
        </row>
        <row r="5340">
          <cell r="A5340" t="str">
            <v>221412</v>
          </cell>
          <cell r="B5340" t="str">
            <v xml:space="preserve">Extremidade FD FB JE/JE2GS PN-10 DN700 linha esgoto </v>
          </cell>
          <cell r="C5340" t="str">
            <v>ud</v>
          </cell>
          <cell r="D5340">
            <v>0</v>
          </cell>
          <cell r="E5340">
            <v>3551.07</v>
          </cell>
          <cell r="F5340">
            <v>3551.07</v>
          </cell>
        </row>
        <row r="5341">
          <cell r="A5341" t="str">
            <v>221413</v>
          </cell>
          <cell r="B5341" t="str">
            <v>Extremidade FD FB JE/JE2GS PN-10 DN800 linha esgoto</v>
          </cell>
          <cell r="C5341" t="str">
            <v>ud</v>
          </cell>
          <cell r="D5341">
            <v>0</v>
          </cell>
          <cell r="E5341">
            <v>4152.26</v>
          </cell>
          <cell r="F5341">
            <v>4152.26</v>
          </cell>
        </row>
        <row r="5342">
          <cell r="A5342" t="str">
            <v>221414</v>
          </cell>
          <cell r="B5342" t="str">
            <v>Extremidade FD FB JE/JE2GS PN-10 DN900 linha esgoto</v>
          </cell>
          <cell r="C5342" t="str">
            <v>ud</v>
          </cell>
          <cell r="D5342">
            <v>0</v>
          </cell>
        </row>
        <row r="5343">
          <cell r="A5343" t="str">
            <v>221415</v>
          </cell>
          <cell r="B5343" t="str">
            <v>Extremidade FD FB JE/JE2GS PN-10 DN1000 linha esgoto</v>
          </cell>
          <cell r="C5343" t="str">
            <v>ud</v>
          </cell>
          <cell r="D5343">
            <v>0</v>
          </cell>
        </row>
        <row r="5344">
          <cell r="A5344" t="str">
            <v>221417</v>
          </cell>
          <cell r="B5344" t="str">
            <v>Extremidade FD FB JE/JE2GS PN-10 DN1200 linha esgoto</v>
          </cell>
          <cell r="C5344" t="str">
            <v>ud</v>
          </cell>
          <cell r="D5344">
            <v>0</v>
          </cell>
        </row>
        <row r="5345">
          <cell r="A5345" t="str">
            <v>221418</v>
          </cell>
          <cell r="B5345" t="str">
            <v>Extremidade FD FB JE/JE2GS PN-16 DN80 linha esgoto</v>
          </cell>
          <cell r="C5345" t="str">
            <v>ud</v>
          </cell>
          <cell r="D5345">
            <v>0</v>
          </cell>
          <cell r="E5345">
            <v>179.06</v>
          </cell>
          <cell r="F5345">
            <v>179.06</v>
          </cell>
        </row>
        <row r="5346">
          <cell r="A5346" t="str">
            <v>221419</v>
          </cell>
          <cell r="B5346" t="str">
            <v>Extremidade FD FB JE/JE2GS PN-16 DN100 linha esgoto</v>
          </cell>
          <cell r="C5346" t="str">
            <v>ud</v>
          </cell>
          <cell r="D5346">
            <v>0</v>
          </cell>
          <cell r="E5346">
            <v>202.93</v>
          </cell>
          <cell r="F5346">
            <v>202.93</v>
          </cell>
        </row>
        <row r="5347">
          <cell r="A5347" t="str">
            <v>221420</v>
          </cell>
          <cell r="B5347" t="str">
            <v>Extremidade FD FB JE/JE2GS PN-16 DN150 linha esgoto</v>
          </cell>
          <cell r="C5347" t="str">
            <v>ud</v>
          </cell>
          <cell r="D5347">
            <v>0</v>
          </cell>
          <cell r="E5347">
            <v>265.77999999999997</v>
          </cell>
          <cell r="F5347">
            <v>265.77999999999997</v>
          </cell>
        </row>
        <row r="5348">
          <cell r="A5348" t="str">
            <v>221421</v>
          </cell>
          <cell r="B5348" t="str">
            <v>Extremidade FD FB JE/JE2GS PN-16 DN200 linha esgoto</v>
          </cell>
          <cell r="C5348" t="str">
            <v>ud</v>
          </cell>
          <cell r="D5348">
            <v>0</v>
          </cell>
          <cell r="E5348">
            <v>359.57</v>
          </cell>
          <cell r="F5348">
            <v>359.57</v>
          </cell>
        </row>
        <row r="5349">
          <cell r="A5349" t="str">
            <v>221422</v>
          </cell>
          <cell r="B5349" t="str">
            <v>Extremidade FD FB JE/JE2GS PN-16 DN250 linha esgoto</v>
          </cell>
          <cell r="C5349" t="str">
            <v>ud</v>
          </cell>
          <cell r="D5349">
            <v>0</v>
          </cell>
          <cell r="E5349">
            <v>580.88</v>
          </cell>
          <cell r="F5349">
            <v>580.88</v>
          </cell>
        </row>
        <row r="5350">
          <cell r="A5350" t="str">
            <v>221423</v>
          </cell>
          <cell r="B5350" t="str">
            <v>Extremidade FD FB JE/JE2GS PN-16 DN300 linha esgoto</v>
          </cell>
          <cell r="C5350" t="str">
            <v>ud</v>
          </cell>
          <cell r="D5350">
            <v>0</v>
          </cell>
          <cell r="E5350">
            <v>747.99</v>
          </cell>
          <cell r="F5350">
            <v>747.99</v>
          </cell>
        </row>
        <row r="5351">
          <cell r="A5351" t="str">
            <v>221451</v>
          </cell>
          <cell r="B5351" t="str">
            <v xml:space="preserve">Extremidade FD F/JM PN-10 DN  100  -  linha esgoto  </v>
          </cell>
          <cell r="C5351" t="str">
            <v>ud</v>
          </cell>
          <cell r="D5351">
            <v>0</v>
          </cell>
          <cell r="E5351">
            <v>310.35000000000002</v>
          </cell>
          <cell r="F5351">
            <v>310.35000000000002</v>
          </cell>
        </row>
        <row r="5352">
          <cell r="A5352" t="str">
            <v>221452</v>
          </cell>
          <cell r="B5352" t="str">
            <v xml:space="preserve">Extremidade FD F/JM PN-10 DN  150  -  linha esgoto  </v>
          </cell>
          <cell r="C5352" t="str">
            <v>ud</v>
          </cell>
          <cell r="D5352">
            <v>0</v>
          </cell>
          <cell r="E5352">
            <v>421.73</v>
          </cell>
          <cell r="F5352">
            <v>421.73</v>
          </cell>
        </row>
        <row r="5353">
          <cell r="A5353" t="str">
            <v>221453</v>
          </cell>
          <cell r="B5353" t="str">
            <v xml:space="preserve">Extremidade FD F/JM PN-10 DN  200  -  linha esgoto  </v>
          </cell>
          <cell r="C5353" t="str">
            <v>ud</v>
          </cell>
          <cell r="D5353">
            <v>0</v>
          </cell>
          <cell r="E5353">
            <v>588.83000000000004</v>
          </cell>
          <cell r="F5353">
            <v>588.83000000000004</v>
          </cell>
        </row>
        <row r="5354">
          <cell r="A5354" t="str">
            <v>221454</v>
          </cell>
          <cell r="B5354" t="str">
            <v xml:space="preserve">Extremidade FD F/JM PN-10 DN  250  -  linha esgoto  </v>
          </cell>
          <cell r="C5354" t="str">
            <v>ud</v>
          </cell>
          <cell r="D5354">
            <v>0</v>
          </cell>
          <cell r="E5354">
            <v>835.5</v>
          </cell>
          <cell r="F5354">
            <v>835.5</v>
          </cell>
        </row>
        <row r="5355">
          <cell r="A5355" t="str">
            <v>221455</v>
          </cell>
          <cell r="B5355" t="str">
            <v xml:space="preserve">Extremidade FD F/JM PN-10 DN  300  - linha esgoto  </v>
          </cell>
          <cell r="C5355" t="str">
            <v>ud</v>
          </cell>
          <cell r="D5355">
            <v>0</v>
          </cell>
          <cell r="E5355">
            <v>1018.51</v>
          </cell>
          <cell r="F5355">
            <v>1018.51</v>
          </cell>
        </row>
        <row r="5356">
          <cell r="A5356" t="str">
            <v>221456</v>
          </cell>
          <cell r="B5356" t="str">
            <v xml:space="preserve">Extremidade FD F/JM PN-10 DN  350  - linha esgoto  </v>
          </cell>
          <cell r="C5356" t="str">
            <v>ud</v>
          </cell>
          <cell r="D5356">
            <v>0</v>
          </cell>
          <cell r="E5356">
            <v>1400.42</v>
          </cell>
          <cell r="F5356">
            <v>1400.42</v>
          </cell>
        </row>
        <row r="5357">
          <cell r="A5357" t="str">
            <v>221457</v>
          </cell>
          <cell r="B5357" t="str">
            <v xml:space="preserve">Extremidade FD F/JM PN-10 DN  400  - linha esgoto  </v>
          </cell>
          <cell r="C5357" t="str">
            <v>ud</v>
          </cell>
          <cell r="D5357">
            <v>0</v>
          </cell>
          <cell r="E5357">
            <v>1823.12</v>
          </cell>
          <cell r="F5357">
            <v>1823.12</v>
          </cell>
        </row>
        <row r="5358">
          <cell r="A5358" t="str">
            <v>221458</v>
          </cell>
          <cell r="B5358" t="str">
            <v xml:space="preserve">Extremidade FD F/JM PN-10 DN  450  - linha esgoto  </v>
          </cell>
          <cell r="C5358" t="str">
            <v>ud</v>
          </cell>
          <cell r="D5358">
            <v>0</v>
          </cell>
        </row>
        <row r="5359">
          <cell r="A5359" t="str">
            <v>221459</v>
          </cell>
          <cell r="B5359" t="str">
            <v xml:space="preserve">Extremidade FD F/JM PN-10 DN  500  - linha esgoto  </v>
          </cell>
          <cell r="C5359" t="str">
            <v>ud</v>
          </cell>
          <cell r="D5359">
            <v>0</v>
          </cell>
          <cell r="E5359">
            <v>2247.87</v>
          </cell>
          <cell r="F5359">
            <v>2247.87</v>
          </cell>
        </row>
        <row r="5360">
          <cell r="A5360" t="str">
            <v>221460</v>
          </cell>
          <cell r="B5360" t="str">
            <v xml:space="preserve">Extremidade FD F/JM PN-10 DN  600  - linha esgoto  </v>
          </cell>
          <cell r="C5360" t="str">
            <v>ud</v>
          </cell>
          <cell r="D5360">
            <v>0</v>
          </cell>
          <cell r="E5360">
            <v>3055.48</v>
          </cell>
          <cell r="F5360">
            <v>3055.48</v>
          </cell>
        </row>
        <row r="5361">
          <cell r="A5361" t="str">
            <v>221461</v>
          </cell>
          <cell r="B5361" t="str">
            <v xml:space="preserve">Extremidade FD F/JM PN-10 DN  700  - linha esgoto  </v>
          </cell>
          <cell r="C5361" t="str">
            <v>ud</v>
          </cell>
          <cell r="D5361">
            <v>0</v>
          </cell>
          <cell r="E5361">
            <v>3910.89</v>
          </cell>
          <cell r="F5361">
            <v>3910.89</v>
          </cell>
        </row>
        <row r="5362">
          <cell r="A5362" t="str">
            <v>221462</v>
          </cell>
          <cell r="B5362" t="str">
            <v xml:space="preserve">Extremidade FD F/JM PN-10 DN  800  - linha esgoto  </v>
          </cell>
          <cell r="C5362" t="str">
            <v>ud</v>
          </cell>
          <cell r="D5362">
            <v>0</v>
          </cell>
          <cell r="E5362">
            <v>5743.58</v>
          </cell>
          <cell r="F5362">
            <v>5743.58</v>
          </cell>
        </row>
        <row r="5363">
          <cell r="A5363" t="str">
            <v>221463</v>
          </cell>
          <cell r="B5363" t="str">
            <v xml:space="preserve">Extremidade FD F/JM PN-10 DN  900  - linha esgoto  </v>
          </cell>
          <cell r="C5363" t="str">
            <v>ud</v>
          </cell>
          <cell r="D5363">
            <v>0</v>
          </cell>
        </row>
        <row r="5364">
          <cell r="A5364" t="str">
            <v>221464</v>
          </cell>
          <cell r="B5364" t="str">
            <v xml:space="preserve">Extremidade FD F/JM PN-10 DN 1000  - linha esgoto  </v>
          </cell>
          <cell r="C5364" t="str">
            <v>ud</v>
          </cell>
          <cell r="D5364">
            <v>0</v>
          </cell>
        </row>
        <row r="5365">
          <cell r="A5365" t="str">
            <v>221466</v>
          </cell>
          <cell r="B5365" t="str">
            <v xml:space="preserve">Extremidade FD F/JM PN-10 DN 1200  - linha esgoto  </v>
          </cell>
          <cell r="C5365" t="str">
            <v>ud</v>
          </cell>
          <cell r="D5365">
            <v>0</v>
          </cell>
        </row>
        <row r="5366">
          <cell r="A5366" t="str">
            <v>2216</v>
          </cell>
          <cell r="B5366" t="str">
            <v>EXTREMIDADE FD COM ABA DE VEDAÇÃO</v>
          </cell>
        </row>
        <row r="5367">
          <cell r="A5367" t="str">
            <v>221601</v>
          </cell>
          <cell r="B5367" t="str">
            <v>Extremidade FD FP PN-10 com aba de vedação DN80 linha esgoto</v>
          </cell>
          <cell r="C5367" t="str">
            <v>ud</v>
          </cell>
          <cell r="D5367">
            <v>0</v>
          </cell>
          <cell r="E5367">
            <v>409.78</v>
          </cell>
          <cell r="F5367">
            <v>409.78</v>
          </cell>
        </row>
        <row r="5368">
          <cell r="A5368" t="str">
            <v>221602</v>
          </cell>
          <cell r="B5368" t="str">
            <v>Extremidade FD FP PN-10 com aba de vedação DN100 linha esgoto</v>
          </cell>
          <cell r="C5368" t="str">
            <v>ud</v>
          </cell>
          <cell r="D5368">
            <v>0</v>
          </cell>
          <cell r="E5368">
            <v>429.71</v>
          </cell>
          <cell r="F5368">
            <v>429.71</v>
          </cell>
        </row>
        <row r="5369">
          <cell r="A5369" t="str">
            <v>221603</v>
          </cell>
          <cell r="B5369" t="str">
            <v>Extremidade FD FP PN-10 com aba de vedação DN150 linha esgoto (294134)</v>
          </cell>
          <cell r="C5369" t="str">
            <v>ud</v>
          </cell>
          <cell r="D5369">
            <v>0</v>
          </cell>
          <cell r="E5369">
            <v>564.94000000000005</v>
          </cell>
          <cell r="F5369">
            <v>564.94000000000005</v>
          </cell>
        </row>
        <row r="5370">
          <cell r="A5370" t="str">
            <v>221604</v>
          </cell>
          <cell r="B5370" t="str">
            <v>Extremidade FD FP PN-10 com aba de vedação DN200 linha esgoto (293000)</v>
          </cell>
          <cell r="C5370" t="str">
            <v>ud</v>
          </cell>
          <cell r="D5370">
            <v>0</v>
          </cell>
          <cell r="E5370">
            <v>766.04</v>
          </cell>
          <cell r="F5370">
            <v>766.04</v>
          </cell>
        </row>
        <row r="5371">
          <cell r="A5371" t="str">
            <v>221605</v>
          </cell>
          <cell r="B5371" t="str">
            <v>Extremidade FD FP PN-10 com aba de vedação DN250 linha esgoto</v>
          </cell>
          <cell r="C5371" t="str">
            <v>ud</v>
          </cell>
          <cell r="D5371">
            <v>0</v>
          </cell>
          <cell r="E5371">
            <v>1031.81</v>
          </cell>
          <cell r="F5371">
            <v>1031.81</v>
          </cell>
        </row>
        <row r="5372">
          <cell r="A5372" t="str">
            <v>221606</v>
          </cell>
          <cell r="B5372" t="str">
            <v>Extremidade FD FP PN-10 com aba de vedação DN300 linha esgoto</v>
          </cell>
          <cell r="C5372" t="str">
            <v>ud</v>
          </cell>
          <cell r="D5372">
            <v>0</v>
          </cell>
          <cell r="E5372">
            <v>1344.48</v>
          </cell>
          <cell r="F5372">
            <v>1344.48</v>
          </cell>
        </row>
        <row r="5373">
          <cell r="A5373" t="str">
            <v>221607</v>
          </cell>
          <cell r="B5373" t="str">
            <v>Extremidade FD FP PN-10 com aba de vedação DN350 linha esgoto</v>
          </cell>
          <cell r="C5373" t="str">
            <v>ud</v>
          </cell>
          <cell r="D5373">
            <v>0</v>
          </cell>
          <cell r="E5373">
            <v>1374.4</v>
          </cell>
          <cell r="F5373">
            <v>1374.4</v>
          </cell>
        </row>
        <row r="5374">
          <cell r="A5374" t="str">
            <v>221608</v>
          </cell>
          <cell r="B5374" t="str">
            <v>Extremidade FD FP PN-10 com aba de vedação DN400 linha esgoto</v>
          </cell>
          <cell r="C5374" t="str">
            <v>ud</v>
          </cell>
          <cell r="D5374">
            <v>0</v>
          </cell>
          <cell r="E5374">
            <v>1583.44</v>
          </cell>
          <cell r="F5374">
            <v>1583.44</v>
          </cell>
        </row>
        <row r="5375">
          <cell r="A5375" t="str">
            <v>221609</v>
          </cell>
          <cell r="B5375" t="str">
            <v>Extremidade FD FP PN-10 com aba de vedação DN450 linha esgoto</v>
          </cell>
          <cell r="C5375" t="str">
            <v>ud</v>
          </cell>
          <cell r="D5375">
            <v>0</v>
          </cell>
          <cell r="E5375">
            <v>1840.4</v>
          </cell>
          <cell r="F5375">
            <v>1840.4</v>
          </cell>
        </row>
        <row r="5376">
          <cell r="A5376" t="str">
            <v>221610</v>
          </cell>
          <cell r="B5376" t="str">
            <v>Extremidade FD FP PN-10 com aba de vedação DN500 linha esgoto</v>
          </cell>
          <cell r="C5376" t="str">
            <v>ud</v>
          </cell>
          <cell r="D5376">
            <v>0</v>
          </cell>
          <cell r="E5376">
            <v>3078.23</v>
          </cell>
          <cell r="F5376">
            <v>3078.23</v>
          </cell>
        </row>
        <row r="5377">
          <cell r="A5377" t="str">
            <v>221611</v>
          </cell>
          <cell r="B5377" t="str">
            <v>Extremidade FD FP PN-10 com aba de vedação DN600 linha esgoto</v>
          </cell>
          <cell r="C5377" t="str">
            <v>ud</v>
          </cell>
          <cell r="D5377">
            <v>0</v>
          </cell>
          <cell r="E5377">
            <v>3282.3</v>
          </cell>
          <cell r="F5377">
            <v>3282.3</v>
          </cell>
        </row>
        <row r="5378">
          <cell r="A5378" t="str">
            <v>221612</v>
          </cell>
          <cell r="B5378" t="str">
            <v>Extremidade FD FP PN-10 com aba de vedação DN700 linha esgoto</v>
          </cell>
          <cell r="C5378" t="str">
            <v>ud</v>
          </cell>
          <cell r="D5378">
            <v>0</v>
          </cell>
        </row>
        <row r="5379">
          <cell r="A5379" t="str">
            <v>221613</v>
          </cell>
          <cell r="B5379" t="str">
            <v>Extremidade FD FP PN-10 com aba de vedação DN800 linha esgoto</v>
          </cell>
          <cell r="C5379" t="str">
            <v>ud</v>
          </cell>
          <cell r="D5379">
            <v>0</v>
          </cell>
          <cell r="E5379">
            <v>5044.79</v>
          </cell>
          <cell r="F5379">
            <v>5044.79</v>
          </cell>
        </row>
        <row r="5380">
          <cell r="A5380" t="str">
            <v>221614</v>
          </cell>
          <cell r="B5380" t="str">
            <v>Extremidade FD FP PN-10 com aba de vedação DN900 linha esgoto</v>
          </cell>
          <cell r="C5380" t="str">
            <v>ud</v>
          </cell>
          <cell r="D5380">
            <v>0</v>
          </cell>
        </row>
        <row r="5381">
          <cell r="A5381" t="str">
            <v>221615</v>
          </cell>
          <cell r="B5381" t="str">
            <v>Extremidade FD FP PN-10 com aba de vedação DN1000 linha esgoto</v>
          </cell>
          <cell r="C5381" t="str">
            <v>ud</v>
          </cell>
          <cell r="D5381">
            <v>0</v>
          </cell>
        </row>
        <row r="5382">
          <cell r="A5382" t="str">
            <v>221617</v>
          </cell>
          <cell r="B5382" t="str">
            <v>Extremidade FD FP PN-10 com aba de vedação DN1200 linha esgoto</v>
          </cell>
          <cell r="C5382" t="str">
            <v>ud</v>
          </cell>
          <cell r="D5382">
            <v>0</v>
          </cell>
        </row>
        <row r="5383">
          <cell r="A5383" t="str">
            <v>221618</v>
          </cell>
          <cell r="B5383" t="str">
            <v>Extremidade FD FP PN-16 com aba de vedação DN50 linha esgoto</v>
          </cell>
          <cell r="C5383" t="str">
            <v>ud</v>
          </cell>
          <cell r="D5383">
            <v>0</v>
          </cell>
        </row>
        <row r="5384">
          <cell r="A5384" t="str">
            <v>221619</v>
          </cell>
          <cell r="B5384" t="str">
            <v>Extremidade FD FP PN-16 com aba de vedação DN100 linha esgoto</v>
          </cell>
          <cell r="C5384" t="str">
            <v>ud</v>
          </cell>
          <cell r="D5384">
            <v>0</v>
          </cell>
          <cell r="E5384">
            <v>429.71</v>
          </cell>
          <cell r="F5384">
            <v>429.71</v>
          </cell>
        </row>
        <row r="5385">
          <cell r="A5385" t="str">
            <v>221620</v>
          </cell>
          <cell r="B5385" t="str">
            <v>Extremidade FD FP PN-16 com aba de vedação DN150 linha esgoto</v>
          </cell>
          <cell r="C5385" t="str">
            <v>ud</v>
          </cell>
          <cell r="D5385">
            <v>0</v>
          </cell>
          <cell r="E5385">
            <v>564.94000000000005</v>
          </cell>
          <cell r="F5385">
            <v>564.94000000000005</v>
          </cell>
        </row>
        <row r="5386">
          <cell r="A5386" t="str">
            <v>2220</v>
          </cell>
          <cell r="B5386" t="str">
            <v>FLANGE CEGO FD</v>
          </cell>
        </row>
        <row r="5387">
          <cell r="A5387" t="str">
            <v>222001</v>
          </cell>
          <cell r="B5387" t="str">
            <v>Flange cego FD PN-10/16/25 DN50 linha esgoto</v>
          </cell>
          <cell r="C5387" t="str">
            <v>ud</v>
          </cell>
          <cell r="D5387">
            <v>0</v>
          </cell>
          <cell r="E5387">
            <v>71.62</v>
          </cell>
          <cell r="F5387">
            <v>71.62</v>
          </cell>
        </row>
        <row r="5388">
          <cell r="A5388" t="str">
            <v>222002</v>
          </cell>
          <cell r="B5388" t="str">
            <v>Flange cego FD PN-10/16/25 DN80 linha esgoto</v>
          </cell>
          <cell r="C5388" t="str">
            <v>ud</v>
          </cell>
          <cell r="D5388">
            <v>0</v>
          </cell>
          <cell r="E5388">
            <v>80.83</v>
          </cell>
          <cell r="F5388">
            <v>80.83</v>
          </cell>
        </row>
        <row r="5389">
          <cell r="A5389" t="str">
            <v>222003</v>
          </cell>
          <cell r="B5389" t="str">
            <v>Flange cego FD PN-10/16/25 DN100 linha esgoto</v>
          </cell>
          <cell r="C5389" t="str">
            <v>ud</v>
          </cell>
          <cell r="D5389">
            <v>0</v>
          </cell>
          <cell r="E5389">
            <v>84.54</v>
          </cell>
          <cell r="F5389">
            <v>84.54</v>
          </cell>
        </row>
        <row r="5390">
          <cell r="A5390" t="str">
            <v>222004</v>
          </cell>
          <cell r="B5390" t="str">
            <v>Flange cego FD PN-10 DN150 linha esgoto (293002)</v>
          </cell>
          <cell r="C5390" t="str">
            <v>ud</v>
          </cell>
          <cell r="D5390">
            <v>0</v>
          </cell>
          <cell r="E5390">
            <v>173.71</v>
          </cell>
          <cell r="F5390">
            <v>173.71</v>
          </cell>
        </row>
        <row r="5391">
          <cell r="A5391" t="str">
            <v>222005</v>
          </cell>
          <cell r="B5391" t="str">
            <v>Flange cego FD PN-10 DN200 linha esgoto (293003)</v>
          </cell>
          <cell r="C5391" t="str">
            <v>ud</v>
          </cell>
          <cell r="D5391">
            <v>0</v>
          </cell>
          <cell r="E5391">
            <v>203.24</v>
          </cell>
          <cell r="F5391">
            <v>203.24</v>
          </cell>
        </row>
        <row r="5392">
          <cell r="A5392" t="str">
            <v>222006</v>
          </cell>
          <cell r="B5392" t="str">
            <v>Flange cego FD PN-10 DN250 linha esgoto</v>
          </cell>
          <cell r="C5392" t="str">
            <v>ud</v>
          </cell>
          <cell r="D5392">
            <v>0</v>
          </cell>
          <cell r="E5392">
            <v>307.2</v>
          </cell>
          <cell r="F5392">
            <v>307.2</v>
          </cell>
        </row>
        <row r="5393">
          <cell r="A5393" t="str">
            <v>222007</v>
          </cell>
          <cell r="B5393" t="str">
            <v>Flange cego FD PN-10 DN300 linha esgoto</v>
          </cell>
          <cell r="C5393" t="str">
            <v>ud</v>
          </cell>
          <cell r="D5393">
            <v>0</v>
          </cell>
          <cell r="E5393">
            <v>436.44</v>
          </cell>
          <cell r="F5393">
            <v>436.44</v>
          </cell>
        </row>
        <row r="5394">
          <cell r="A5394" t="str">
            <v>222008</v>
          </cell>
          <cell r="B5394" t="str">
            <v>Flange cego FD PN-10 DN350 linha esgoto</v>
          </cell>
          <cell r="C5394" t="str">
            <v>ud</v>
          </cell>
          <cell r="D5394">
            <v>0</v>
          </cell>
          <cell r="E5394">
            <v>523.29999999999995</v>
          </cell>
          <cell r="F5394">
            <v>523.29999999999995</v>
          </cell>
        </row>
        <row r="5395">
          <cell r="A5395" t="str">
            <v>222009</v>
          </cell>
          <cell r="B5395" t="str">
            <v>Flange cego FD PN-10 DN400 linha esgoto</v>
          </cell>
          <cell r="C5395" t="str">
            <v>ud</v>
          </cell>
          <cell r="D5395">
            <v>0</v>
          </cell>
          <cell r="E5395">
            <v>675.84</v>
          </cell>
          <cell r="F5395">
            <v>675.84</v>
          </cell>
        </row>
        <row r="5396">
          <cell r="A5396" t="str">
            <v>222010</v>
          </cell>
          <cell r="B5396" t="str">
            <v>Flange cego FD PN-10 DN450 linha esgoto</v>
          </cell>
          <cell r="C5396" t="str">
            <v>ud</v>
          </cell>
          <cell r="D5396">
            <v>0</v>
          </cell>
          <cell r="E5396">
            <v>830.52</v>
          </cell>
          <cell r="F5396">
            <v>830.52</v>
          </cell>
        </row>
        <row r="5397">
          <cell r="A5397" t="str">
            <v>222011</v>
          </cell>
          <cell r="B5397" t="str">
            <v>Flange cego FD PN-10 DN500 linha esgoto</v>
          </cell>
          <cell r="C5397" t="str">
            <v>ud</v>
          </cell>
          <cell r="D5397">
            <v>0</v>
          </cell>
          <cell r="E5397">
            <v>1029.6600000000001</v>
          </cell>
          <cell r="F5397">
            <v>1029.6600000000001</v>
          </cell>
        </row>
        <row r="5398">
          <cell r="A5398" t="str">
            <v>222012</v>
          </cell>
          <cell r="B5398" t="str">
            <v>Flange cego FD PN-10 DN600 linha esgoto</v>
          </cell>
          <cell r="C5398" t="str">
            <v>ud</v>
          </cell>
          <cell r="D5398">
            <v>0</v>
          </cell>
          <cell r="E5398">
            <v>1819.48</v>
          </cell>
          <cell r="F5398">
            <v>1819.48</v>
          </cell>
        </row>
        <row r="5399">
          <cell r="A5399" t="str">
            <v>222013</v>
          </cell>
          <cell r="B5399" t="str">
            <v>Flange cego FD PN-10 DN700 linha esgoto</v>
          </cell>
          <cell r="C5399" t="str">
            <v>ud</v>
          </cell>
          <cell r="D5399">
            <v>0</v>
          </cell>
        </row>
        <row r="5400">
          <cell r="A5400" t="str">
            <v>222014</v>
          </cell>
          <cell r="B5400" t="str">
            <v>Flange cego FD PN-10 DN800 linha esgoto</v>
          </cell>
          <cell r="C5400" t="str">
            <v>ud</v>
          </cell>
          <cell r="D5400">
            <v>0</v>
          </cell>
          <cell r="E5400">
            <v>3041.49</v>
          </cell>
          <cell r="F5400">
            <v>3041.49</v>
          </cell>
        </row>
        <row r="5401">
          <cell r="A5401" t="str">
            <v>222015</v>
          </cell>
          <cell r="B5401" t="str">
            <v>Flange cego FD PN-10 DN900 linha esgoto</v>
          </cell>
          <cell r="C5401" t="str">
            <v>ud</v>
          </cell>
          <cell r="D5401">
            <v>0</v>
          </cell>
          <cell r="E5401">
            <v>4314.8500000000004</v>
          </cell>
          <cell r="F5401">
            <v>4314.8500000000004</v>
          </cell>
        </row>
        <row r="5402">
          <cell r="A5402" t="str">
            <v>222017</v>
          </cell>
          <cell r="B5402" t="str">
            <v>Flange cego FD PN-10 DN1000 linha esgoto</v>
          </cell>
          <cell r="C5402" t="str">
            <v>ud</v>
          </cell>
          <cell r="D5402">
            <v>0</v>
          </cell>
        </row>
        <row r="5403">
          <cell r="A5403" t="str">
            <v>222018</v>
          </cell>
          <cell r="B5403" t="str">
            <v>Flange cego FD PN-10 DN1200 linha esgoto</v>
          </cell>
          <cell r="C5403" t="str">
            <v>ud</v>
          </cell>
          <cell r="D5403">
            <v>0</v>
          </cell>
        </row>
        <row r="5404">
          <cell r="A5404" t="str">
            <v>2224</v>
          </cell>
          <cell r="B5404" t="str">
            <v>JUNÇÃO  FD FF</v>
          </cell>
        </row>
        <row r="5405">
          <cell r="A5405" t="str">
            <v>222401</v>
          </cell>
          <cell r="B5405" t="str">
            <v>Junção FD 45° FFF PN-10 DN80x80 linha esgoto (286285)</v>
          </cell>
          <cell r="C5405" t="str">
            <v>ud</v>
          </cell>
          <cell r="D5405">
            <v>0</v>
          </cell>
          <cell r="E5405">
            <v>350.08</v>
          </cell>
          <cell r="F5405">
            <v>350.08</v>
          </cell>
        </row>
        <row r="5406">
          <cell r="A5406" t="str">
            <v>222402</v>
          </cell>
          <cell r="B5406" t="str">
            <v>Junção FD 45° FFF PN-10 DN100x80 linha esgoto</v>
          </cell>
          <cell r="C5406" t="str">
            <v>ud</v>
          </cell>
          <cell r="D5406">
            <v>0</v>
          </cell>
          <cell r="E5406">
            <v>422.11</v>
          </cell>
          <cell r="F5406">
            <v>422.11</v>
          </cell>
        </row>
        <row r="5407">
          <cell r="A5407" t="str">
            <v>222403</v>
          </cell>
          <cell r="B5407" t="str">
            <v>Junção FD 45° FFF PN-10 DN100x100 linha esgoto</v>
          </cell>
          <cell r="C5407" t="str">
            <v>ud</v>
          </cell>
          <cell r="D5407">
            <v>0</v>
          </cell>
          <cell r="E5407">
            <v>515.9</v>
          </cell>
          <cell r="F5407">
            <v>515.9</v>
          </cell>
        </row>
        <row r="5408">
          <cell r="A5408" t="str">
            <v>222404</v>
          </cell>
          <cell r="B5408" t="str">
            <v>Junção FD 45° FFF PN-10 DN150x100 linha esgoto</v>
          </cell>
          <cell r="C5408" t="str">
            <v>ud</v>
          </cell>
          <cell r="D5408">
            <v>0</v>
          </cell>
          <cell r="E5408">
            <v>625.34</v>
          </cell>
          <cell r="F5408">
            <v>625.34</v>
          </cell>
        </row>
        <row r="5409">
          <cell r="A5409" t="str">
            <v>222405</v>
          </cell>
          <cell r="B5409" t="str">
            <v>Junção FD 45° FFF PN-10 DN150x150 linha esgoto (293004)</v>
          </cell>
          <cell r="C5409" t="str">
            <v>ud</v>
          </cell>
          <cell r="D5409">
            <v>0</v>
          </cell>
          <cell r="E5409">
            <v>750.41</v>
          </cell>
          <cell r="F5409">
            <v>750.41</v>
          </cell>
        </row>
        <row r="5410">
          <cell r="A5410" t="str">
            <v>222406</v>
          </cell>
          <cell r="B5410" t="str">
            <v>Junção FD 45° FFF PN-10 DN200x100 linha esgoto</v>
          </cell>
          <cell r="C5410" t="str">
            <v>ud</v>
          </cell>
          <cell r="D5410">
            <v>0</v>
          </cell>
          <cell r="E5410">
            <v>753.47</v>
          </cell>
          <cell r="F5410">
            <v>753.47</v>
          </cell>
        </row>
        <row r="5411">
          <cell r="A5411" t="str">
            <v>222407</v>
          </cell>
          <cell r="B5411" t="str">
            <v>Junção FD 45° FFF PN-10 DN200x150 linha esgoto</v>
          </cell>
          <cell r="C5411" t="str">
            <v>ud</v>
          </cell>
          <cell r="D5411">
            <v>0</v>
          </cell>
          <cell r="E5411">
            <v>787.73</v>
          </cell>
          <cell r="F5411">
            <v>787.73</v>
          </cell>
        </row>
        <row r="5412">
          <cell r="A5412" t="str">
            <v>222408</v>
          </cell>
          <cell r="B5412" t="str">
            <v>Junção FD 45° FFF PN-10 DN200x200 linha esgoto</v>
          </cell>
          <cell r="C5412" t="str">
            <v>ud</v>
          </cell>
          <cell r="D5412">
            <v>0</v>
          </cell>
          <cell r="E5412">
            <v>899.16</v>
          </cell>
          <cell r="F5412">
            <v>899.16</v>
          </cell>
        </row>
        <row r="5413">
          <cell r="A5413" t="str">
            <v>222409</v>
          </cell>
          <cell r="B5413" t="str">
            <v>Junção FD 45° FFF PN-10 DN250x150 linha esgoto</v>
          </cell>
          <cell r="C5413" t="str">
            <v>ud</v>
          </cell>
          <cell r="D5413">
            <v>0</v>
          </cell>
          <cell r="E5413">
            <v>1257.26</v>
          </cell>
          <cell r="F5413">
            <v>1257.26</v>
          </cell>
        </row>
        <row r="5414">
          <cell r="A5414" t="str">
            <v>222410</v>
          </cell>
          <cell r="B5414" t="str">
            <v>Junção FD 45° FFF PN-10 DN250x200 linha esgoto</v>
          </cell>
          <cell r="C5414" t="str">
            <v>ud</v>
          </cell>
          <cell r="D5414">
            <v>0</v>
          </cell>
        </row>
        <row r="5415">
          <cell r="A5415" t="str">
            <v>222411</v>
          </cell>
          <cell r="B5415" t="str">
            <v>Junção FD 45° FFF PN-10 DN250x250 linha esgoto</v>
          </cell>
          <cell r="C5415" t="str">
            <v>ud</v>
          </cell>
          <cell r="D5415">
            <v>0</v>
          </cell>
          <cell r="E5415">
            <v>1890.65</v>
          </cell>
          <cell r="F5415">
            <v>1890.65</v>
          </cell>
        </row>
        <row r="5416">
          <cell r="A5416" t="str">
            <v>222412</v>
          </cell>
          <cell r="B5416" t="str">
            <v>Junção FD 45° FFF PN-10 DN300x200 linha esgoto</v>
          </cell>
          <cell r="C5416" t="str">
            <v>ud</v>
          </cell>
          <cell r="D5416">
            <v>0</v>
          </cell>
          <cell r="E5416">
            <v>2219.42</v>
          </cell>
          <cell r="F5416">
            <v>2219.42</v>
          </cell>
        </row>
        <row r="5417">
          <cell r="A5417" t="str">
            <v>222413</v>
          </cell>
          <cell r="B5417" t="str">
            <v>Junção FD 45° FFF PN-10 DN300x250 linha esgoto</v>
          </cell>
          <cell r="C5417" t="str">
            <v>ud</v>
          </cell>
          <cell r="D5417">
            <v>0</v>
          </cell>
        </row>
        <row r="5418">
          <cell r="A5418" t="str">
            <v>222414</v>
          </cell>
          <cell r="B5418" t="str">
            <v>Junção FD 45° FFF PN-10 DN300x300 linha esgoto</v>
          </cell>
          <cell r="C5418" t="str">
            <v>ud</v>
          </cell>
          <cell r="D5418">
            <v>0</v>
          </cell>
          <cell r="E5418">
            <v>2388.64</v>
          </cell>
          <cell r="F5418">
            <v>2388.64</v>
          </cell>
        </row>
        <row r="5419">
          <cell r="A5419" t="str">
            <v>222415</v>
          </cell>
          <cell r="B5419" t="str">
            <v>Junção FD 45° FFF PN-10 DN400x300 linha esgoto</v>
          </cell>
          <cell r="C5419" t="str">
            <v>ud</v>
          </cell>
          <cell r="D5419">
            <v>0</v>
          </cell>
          <cell r="E5419">
            <v>2777</v>
          </cell>
          <cell r="F5419">
            <v>2777</v>
          </cell>
        </row>
        <row r="5420">
          <cell r="A5420" t="str">
            <v>222416</v>
          </cell>
          <cell r="B5420" t="str">
            <v>Junção FD 45° FFF PN-10 DN400x350 linha esgoto</v>
          </cell>
          <cell r="C5420" t="str">
            <v>ud</v>
          </cell>
          <cell r="D5420">
            <v>0</v>
          </cell>
        </row>
        <row r="5421">
          <cell r="A5421" t="str">
            <v>222417</v>
          </cell>
          <cell r="B5421" t="str">
            <v>Junção FD 45° FFF PN-10 DN400x400 linha esgoto</v>
          </cell>
          <cell r="C5421" t="str">
            <v>ud</v>
          </cell>
          <cell r="D5421">
            <v>0</v>
          </cell>
          <cell r="E5421">
            <v>3007.78</v>
          </cell>
          <cell r="F5421">
            <v>3007.78</v>
          </cell>
        </row>
        <row r="5422">
          <cell r="A5422" t="str">
            <v>222420</v>
          </cell>
          <cell r="B5422" t="str">
            <v>Junção FD 45° FFF PN-16 DN80x80 linha esgoto</v>
          </cell>
          <cell r="C5422" t="str">
            <v>ud</v>
          </cell>
          <cell r="D5422">
            <v>0</v>
          </cell>
          <cell r="E5422">
            <v>350.08</v>
          </cell>
          <cell r="F5422">
            <v>350.08</v>
          </cell>
        </row>
        <row r="5423">
          <cell r="A5423" t="str">
            <v>222421</v>
          </cell>
          <cell r="B5423" t="str">
            <v>Junção FD 45° FFF PN-16 DN100x80 linha esgoto</v>
          </cell>
          <cell r="C5423" t="str">
            <v>ud</v>
          </cell>
          <cell r="D5423">
            <v>0</v>
          </cell>
          <cell r="E5423">
            <v>422.11</v>
          </cell>
          <cell r="F5423">
            <v>422.11</v>
          </cell>
        </row>
        <row r="5424">
          <cell r="A5424" t="str">
            <v>222422</v>
          </cell>
          <cell r="B5424" t="str">
            <v>Junção FD 45° FFF PN-16 DN100x100 linha esgoto</v>
          </cell>
          <cell r="C5424" t="str">
            <v>ud</v>
          </cell>
          <cell r="D5424">
            <v>0</v>
          </cell>
          <cell r="E5424">
            <v>515.9</v>
          </cell>
          <cell r="F5424">
            <v>515.9</v>
          </cell>
        </row>
        <row r="5425">
          <cell r="A5425" t="str">
            <v>222423</v>
          </cell>
          <cell r="B5425" t="str">
            <v>Junção FD 45° FFF PN-16 DN150x100 linha esgoto</v>
          </cell>
          <cell r="C5425" t="str">
            <v>ud</v>
          </cell>
          <cell r="D5425">
            <v>0</v>
          </cell>
          <cell r="E5425">
            <v>625.34</v>
          </cell>
          <cell r="F5425">
            <v>625.34</v>
          </cell>
        </row>
        <row r="5426">
          <cell r="A5426" t="str">
            <v>222424</v>
          </cell>
          <cell r="B5426" t="str">
            <v>Junção FD 45° FFF PN-16 DN150x150 linha esgoto</v>
          </cell>
          <cell r="C5426" t="str">
            <v>ud</v>
          </cell>
          <cell r="D5426">
            <v>0</v>
          </cell>
          <cell r="E5426">
            <v>750.41</v>
          </cell>
          <cell r="F5426">
            <v>750.41</v>
          </cell>
        </row>
        <row r="5427">
          <cell r="A5427" t="str">
            <v>2225</v>
          </cell>
          <cell r="B5427" t="str">
            <v>JUNTA GIBAULT FD</v>
          </cell>
        </row>
        <row r="5428">
          <cell r="A5428" t="str">
            <v>222501</v>
          </cell>
          <cell r="B5428" t="str">
            <v>Junta FD tipo gibault DN80 linha esgoto</v>
          </cell>
          <cell r="C5428" t="str">
            <v>ud</v>
          </cell>
          <cell r="D5428">
            <v>0</v>
          </cell>
          <cell r="E5428">
            <v>118.59</v>
          </cell>
          <cell r="F5428">
            <v>118.59</v>
          </cell>
        </row>
        <row r="5429">
          <cell r="A5429" t="str">
            <v>222502</v>
          </cell>
          <cell r="B5429" t="str">
            <v>Junta FD tipo gibault DN100 linha esgoto</v>
          </cell>
          <cell r="C5429" t="str">
            <v>ud</v>
          </cell>
          <cell r="D5429">
            <v>0</v>
          </cell>
          <cell r="E5429">
            <v>127.33</v>
          </cell>
          <cell r="F5429">
            <v>127.33</v>
          </cell>
        </row>
        <row r="5430">
          <cell r="A5430" t="str">
            <v>222503</v>
          </cell>
          <cell r="B5430" t="str">
            <v>Junta FD tipo gibault DN150 linha esgoto</v>
          </cell>
          <cell r="C5430" t="str">
            <v>ud</v>
          </cell>
          <cell r="D5430">
            <v>0</v>
          </cell>
          <cell r="E5430">
            <v>215.4</v>
          </cell>
          <cell r="F5430">
            <v>215.4</v>
          </cell>
        </row>
        <row r="5431">
          <cell r="A5431" t="str">
            <v>222504</v>
          </cell>
          <cell r="B5431" t="str">
            <v>Junta FD tipo gibault DN200 linha esgoto</v>
          </cell>
          <cell r="C5431" t="str">
            <v>ud</v>
          </cell>
          <cell r="D5431">
            <v>0</v>
          </cell>
          <cell r="E5431">
            <v>298.39</v>
          </cell>
          <cell r="F5431">
            <v>298.39</v>
          </cell>
        </row>
        <row r="5432">
          <cell r="A5432" t="str">
            <v>222505</v>
          </cell>
          <cell r="B5432" t="str">
            <v>Junta FD tipo gibault DN250 linha esgoto</v>
          </cell>
          <cell r="C5432" t="str">
            <v>ud</v>
          </cell>
          <cell r="D5432">
            <v>0</v>
          </cell>
          <cell r="E5432">
            <v>404.36</v>
          </cell>
          <cell r="F5432">
            <v>404.36</v>
          </cell>
        </row>
        <row r="5433">
          <cell r="A5433" t="str">
            <v>222506</v>
          </cell>
          <cell r="B5433" t="str">
            <v>Junta FD tipo gibault DN300 linha esgoto</v>
          </cell>
          <cell r="C5433" t="str">
            <v>ud</v>
          </cell>
          <cell r="D5433">
            <v>0</v>
          </cell>
          <cell r="E5433">
            <v>603.9</v>
          </cell>
          <cell r="F5433">
            <v>603.9</v>
          </cell>
        </row>
        <row r="5434">
          <cell r="A5434" t="str">
            <v>222507</v>
          </cell>
          <cell r="B5434" t="str">
            <v>Junta FD tipo gibault DN350 linha esgoto</v>
          </cell>
          <cell r="C5434" t="str">
            <v>ud</v>
          </cell>
          <cell r="D5434">
            <v>0</v>
          </cell>
          <cell r="E5434">
            <v>954.39</v>
          </cell>
          <cell r="F5434">
            <v>954.39</v>
          </cell>
        </row>
        <row r="5435">
          <cell r="A5435" t="str">
            <v>222508</v>
          </cell>
          <cell r="B5435" t="str">
            <v>Junta FD tipo gibault DN400 linha esgoto</v>
          </cell>
          <cell r="C5435" t="str">
            <v>ud</v>
          </cell>
          <cell r="D5435">
            <v>0</v>
          </cell>
          <cell r="E5435">
            <v>1056.83</v>
          </cell>
          <cell r="F5435">
            <v>1056.83</v>
          </cell>
        </row>
        <row r="5436">
          <cell r="A5436" t="str">
            <v>222509</v>
          </cell>
          <cell r="B5436" t="str">
            <v>Junta FD tipo gibault DN450 linha esgoto</v>
          </cell>
          <cell r="C5436" t="str">
            <v>ud</v>
          </cell>
          <cell r="D5436">
            <v>0</v>
          </cell>
          <cell r="E5436">
            <v>1223.96</v>
          </cell>
          <cell r="F5436">
            <v>1223.96</v>
          </cell>
        </row>
        <row r="5437">
          <cell r="A5437" t="str">
            <v>222510</v>
          </cell>
          <cell r="B5437" t="str">
            <v>Junta FD tipo gibault DN500 linha esgoto</v>
          </cell>
          <cell r="C5437" t="str">
            <v>ud</v>
          </cell>
          <cell r="D5437">
            <v>0</v>
          </cell>
          <cell r="E5437">
            <v>1482.8</v>
          </cell>
          <cell r="F5437">
            <v>1482.8</v>
          </cell>
        </row>
        <row r="5438">
          <cell r="A5438" t="str">
            <v>222511</v>
          </cell>
          <cell r="B5438" t="str">
            <v>Junta FD tipo gibault DN600 linha esgoto</v>
          </cell>
          <cell r="C5438" t="str">
            <v>ud</v>
          </cell>
          <cell r="D5438">
            <v>0</v>
          </cell>
          <cell r="E5438">
            <v>2059.75</v>
          </cell>
          <cell r="F5438">
            <v>2059.75</v>
          </cell>
        </row>
        <row r="5439">
          <cell r="A5439" t="str">
            <v>2226</v>
          </cell>
          <cell r="B5439" t="str">
            <v>LUVA FD</v>
          </cell>
        </row>
        <row r="5440">
          <cell r="A5440" t="str">
            <v>222601</v>
          </cell>
          <cell r="B5440" t="str">
            <v>Luva FD BB JE/JE2GS DN80 linha esgoto</v>
          </cell>
          <cell r="C5440" t="str">
            <v>ud</v>
          </cell>
          <cell r="D5440">
            <v>0</v>
          </cell>
          <cell r="E5440">
            <v>119.34</v>
          </cell>
          <cell r="F5440">
            <v>119.34</v>
          </cell>
        </row>
        <row r="5441">
          <cell r="A5441" t="str">
            <v>222602</v>
          </cell>
          <cell r="B5441" t="str">
            <v>Luva FD BB JE/JE2GS DN100 linha esgoto</v>
          </cell>
          <cell r="C5441" t="str">
            <v>ud</v>
          </cell>
          <cell r="D5441">
            <v>0</v>
          </cell>
          <cell r="E5441">
            <v>127.33</v>
          </cell>
          <cell r="F5441">
            <v>127.33</v>
          </cell>
        </row>
        <row r="5442">
          <cell r="A5442" t="str">
            <v>222603</v>
          </cell>
          <cell r="B5442" t="str">
            <v>Luva FD BB JE/JE2GS DN150 linha esgoto (294560)</v>
          </cell>
          <cell r="C5442" t="str">
            <v>ud</v>
          </cell>
          <cell r="D5442">
            <v>0</v>
          </cell>
          <cell r="E5442">
            <v>206.87</v>
          </cell>
          <cell r="F5442">
            <v>206.87</v>
          </cell>
        </row>
        <row r="5443">
          <cell r="A5443" t="str">
            <v>222604</v>
          </cell>
          <cell r="B5443" t="str">
            <v>Luva FD BB JE/JE2GS DN200 linha esgoto</v>
          </cell>
          <cell r="C5443" t="str">
            <v>ud</v>
          </cell>
          <cell r="D5443">
            <v>0</v>
          </cell>
          <cell r="E5443">
            <v>290.43</v>
          </cell>
          <cell r="F5443">
            <v>290.43</v>
          </cell>
        </row>
        <row r="5444">
          <cell r="A5444" t="str">
            <v>222605</v>
          </cell>
          <cell r="B5444" t="str">
            <v>Luva FD BB JE/JE2GS DN250 linha esgoto</v>
          </cell>
          <cell r="C5444" t="str">
            <v>ud</v>
          </cell>
          <cell r="D5444">
            <v>0</v>
          </cell>
          <cell r="E5444">
            <v>417.77</v>
          </cell>
          <cell r="F5444">
            <v>417.77</v>
          </cell>
        </row>
        <row r="5445">
          <cell r="A5445" t="str">
            <v>222606</v>
          </cell>
          <cell r="B5445" t="str">
            <v>Luva FD BB JE/JE2GS DN300 linha esgoto (157678)</v>
          </cell>
          <cell r="C5445" t="str">
            <v>ud</v>
          </cell>
          <cell r="D5445">
            <v>0</v>
          </cell>
          <cell r="E5445">
            <v>580.88</v>
          </cell>
          <cell r="F5445">
            <v>580.88</v>
          </cell>
        </row>
        <row r="5446">
          <cell r="A5446" t="str">
            <v>222607</v>
          </cell>
          <cell r="B5446" t="str">
            <v>Luva FD BB JE/JE2GS DN350 linha esgoto</v>
          </cell>
          <cell r="C5446" t="str">
            <v>ud</v>
          </cell>
          <cell r="D5446">
            <v>0</v>
          </cell>
          <cell r="E5446">
            <v>763.88</v>
          </cell>
          <cell r="F5446">
            <v>763.88</v>
          </cell>
        </row>
        <row r="5447">
          <cell r="A5447" t="str">
            <v>222608</v>
          </cell>
          <cell r="B5447" t="str">
            <v>Luva FD BB JE/JE2GS DN400 linha esgoto</v>
          </cell>
          <cell r="C5447" t="str">
            <v>ud</v>
          </cell>
          <cell r="D5447">
            <v>0</v>
          </cell>
          <cell r="E5447">
            <v>899.15</v>
          </cell>
          <cell r="F5447">
            <v>899.15</v>
          </cell>
        </row>
        <row r="5448">
          <cell r="A5448" t="str">
            <v>222609</v>
          </cell>
          <cell r="B5448" t="str">
            <v xml:space="preserve">Luva FD BB JE/JE2GS DN450 linha esgoto </v>
          </cell>
          <cell r="C5448" t="str">
            <v>ud</v>
          </cell>
          <cell r="D5448">
            <v>0</v>
          </cell>
          <cell r="E5448">
            <v>1046.3599999999999</v>
          </cell>
          <cell r="F5448">
            <v>1046.3599999999999</v>
          </cell>
        </row>
        <row r="5449">
          <cell r="A5449" t="str">
            <v>222610</v>
          </cell>
          <cell r="B5449" t="str">
            <v>Luva FD BB JE/JE2GS DN500 linha esgoto</v>
          </cell>
          <cell r="C5449" t="str">
            <v>ud</v>
          </cell>
          <cell r="D5449">
            <v>0</v>
          </cell>
          <cell r="E5449">
            <v>1344.73</v>
          </cell>
          <cell r="F5449">
            <v>1344.73</v>
          </cell>
        </row>
        <row r="5450">
          <cell r="A5450" t="str">
            <v>222611</v>
          </cell>
          <cell r="B5450" t="str">
            <v>Luva FD BB JE/JE2GS DN600 linha esgoto</v>
          </cell>
          <cell r="C5450" t="str">
            <v>ud</v>
          </cell>
          <cell r="D5450">
            <v>0</v>
          </cell>
          <cell r="E5450">
            <v>1957.44</v>
          </cell>
          <cell r="F5450">
            <v>1957.44</v>
          </cell>
        </row>
        <row r="5451">
          <cell r="A5451" t="str">
            <v>222612</v>
          </cell>
          <cell r="B5451" t="str">
            <v>Luva FD BB JE/JE2GS DN700 linha esgoto</v>
          </cell>
          <cell r="C5451" t="str">
            <v>ud</v>
          </cell>
          <cell r="D5451">
            <v>0</v>
          </cell>
        </row>
        <row r="5452">
          <cell r="A5452" t="str">
            <v>222613</v>
          </cell>
          <cell r="B5452" t="str">
            <v>Luva FD BB JE/JE2GS DN800 linha esgoto</v>
          </cell>
          <cell r="C5452" t="str">
            <v>ud</v>
          </cell>
          <cell r="D5452">
            <v>0</v>
          </cell>
        </row>
        <row r="5453">
          <cell r="A5453" t="str">
            <v>222614</v>
          </cell>
          <cell r="B5453" t="str">
            <v xml:space="preserve">Luva FD BB JE/JE2GS DN900 linha esgoto </v>
          </cell>
          <cell r="C5453" t="str">
            <v>ud</v>
          </cell>
          <cell r="D5453">
            <v>0</v>
          </cell>
        </row>
        <row r="5454">
          <cell r="A5454" t="str">
            <v>222615</v>
          </cell>
          <cell r="B5454" t="str">
            <v>Luva FD BB JE/JE2GS DN1000 linha esgoto</v>
          </cell>
          <cell r="C5454" t="str">
            <v>ud</v>
          </cell>
          <cell r="D5454">
            <v>0</v>
          </cell>
        </row>
        <row r="5455">
          <cell r="A5455" t="str">
            <v>222617</v>
          </cell>
          <cell r="B5455" t="str">
            <v>Luva FD BB JE/JE2GS DN1200 linha esgoto</v>
          </cell>
          <cell r="C5455" t="str">
            <v>ud</v>
          </cell>
          <cell r="D5455">
            <v>0</v>
          </cell>
        </row>
        <row r="5456">
          <cell r="A5456" t="str">
            <v>222652</v>
          </cell>
          <cell r="B5456" t="str">
            <v>Luva de correr FD BB/JM DN 80 linha esgoto (7811)</v>
          </cell>
          <cell r="C5456" t="str">
            <v>ud</v>
          </cell>
          <cell r="D5456">
            <v>0</v>
          </cell>
          <cell r="E5456">
            <v>109.43</v>
          </cell>
          <cell r="F5456">
            <v>109.43</v>
          </cell>
        </row>
        <row r="5457">
          <cell r="A5457" t="str">
            <v>222653</v>
          </cell>
          <cell r="B5457" t="str">
            <v>Luva de correr FD BB/JM DN 100 linha esgoto</v>
          </cell>
          <cell r="C5457" t="str">
            <v>ud</v>
          </cell>
          <cell r="D5457">
            <v>0</v>
          </cell>
          <cell r="E5457">
            <v>330.22</v>
          </cell>
          <cell r="F5457">
            <v>330.22</v>
          </cell>
        </row>
        <row r="5458">
          <cell r="A5458" t="str">
            <v>222654</v>
          </cell>
          <cell r="B5458" t="str">
            <v>Luva de correr FD BB/JM DN 150 linha esgoto</v>
          </cell>
          <cell r="C5458" t="str">
            <v>ud</v>
          </cell>
          <cell r="D5458">
            <v>0</v>
          </cell>
          <cell r="E5458">
            <v>469.49</v>
          </cell>
          <cell r="F5458">
            <v>469.49</v>
          </cell>
        </row>
        <row r="5459">
          <cell r="A5459" t="str">
            <v>222655</v>
          </cell>
          <cell r="B5459" t="str">
            <v>Luva de correr FD BB/JM DN 200 linha esgoto (294410)</v>
          </cell>
          <cell r="C5459" t="str">
            <v>ud</v>
          </cell>
          <cell r="D5459">
            <v>0</v>
          </cell>
          <cell r="E5459">
            <v>604.72</v>
          </cell>
          <cell r="F5459">
            <v>604.72</v>
          </cell>
        </row>
        <row r="5460">
          <cell r="A5460" t="str">
            <v>222656</v>
          </cell>
          <cell r="B5460" t="str">
            <v>Luva de correr FD BB/JM DN 250 linha esgoto</v>
          </cell>
          <cell r="C5460" t="str">
            <v>ud</v>
          </cell>
          <cell r="D5460">
            <v>0</v>
          </cell>
          <cell r="E5460">
            <v>787.73</v>
          </cell>
          <cell r="F5460">
            <v>787.73</v>
          </cell>
        </row>
        <row r="5461">
          <cell r="A5461" t="str">
            <v>222657</v>
          </cell>
          <cell r="B5461" t="str">
            <v>Luva de correr FD BB/JM DN 300 linha esgoto (282533)</v>
          </cell>
          <cell r="C5461" t="str">
            <v>ud</v>
          </cell>
          <cell r="D5461">
            <v>0</v>
          </cell>
          <cell r="E5461">
            <v>1145.83</v>
          </cell>
          <cell r="F5461">
            <v>1145.83</v>
          </cell>
        </row>
        <row r="5462">
          <cell r="A5462" t="str">
            <v>222658</v>
          </cell>
          <cell r="B5462" t="str">
            <v>Luva de correr FD BB/JM DN 350 linha esgoto</v>
          </cell>
          <cell r="C5462" t="str">
            <v>ud</v>
          </cell>
          <cell r="D5462">
            <v>0</v>
          </cell>
          <cell r="E5462">
            <v>1460.11</v>
          </cell>
          <cell r="F5462">
            <v>1460.11</v>
          </cell>
        </row>
        <row r="5463">
          <cell r="A5463" t="str">
            <v>222659</v>
          </cell>
          <cell r="B5463" t="str">
            <v>Luva de correr FD BB/JM DN 400 linha esgoto (282534)</v>
          </cell>
          <cell r="C5463" t="str">
            <v>ud</v>
          </cell>
          <cell r="D5463">
            <v>0</v>
          </cell>
          <cell r="E5463">
            <v>1893.8</v>
          </cell>
          <cell r="F5463">
            <v>1893.8</v>
          </cell>
        </row>
        <row r="5464">
          <cell r="A5464" t="str">
            <v>222660</v>
          </cell>
          <cell r="B5464" t="str">
            <v>Luva de correr FD BB/JM DN 450 linha esgoto</v>
          </cell>
          <cell r="C5464" t="str">
            <v>ud</v>
          </cell>
          <cell r="D5464">
            <v>0</v>
          </cell>
          <cell r="E5464">
            <v>2339.39</v>
          </cell>
          <cell r="F5464">
            <v>2339.39</v>
          </cell>
        </row>
        <row r="5465">
          <cell r="A5465" t="str">
            <v>222661</v>
          </cell>
          <cell r="B5465" t="str">
            <v>Luva de correr FD BB/JM DN 500 linha esgoto (283743)</v>
          </cell>
          <cell r="C5465" t="str">
            <v>ud</v>
          </cell>
          <cell r="D5465">
            <v>0</v>
          </cell>
          <cell r="E5465">
            <v>2777</v>
          </cell>
          <cell r="F5465">
            <v>2777</v>
          </cell>
        </row>
        <row r="5466">
          <cell r="A5466" t="str">
            <v>222662</v>
          </cell>
          <cell r="B5466" t="str">
            <v>Luva de correr FD BB/JM DN 600 linha esgoto</v>
          </cell>
          <cell r="C5466" t="str">
            <v>ud</v>
          </cell>
          <cell r="D5466">
            <v>0</v>
          </cell>
          <cell r="E5466">
            <v>4320.7</v>
          </cell>
          <cell r="F5466">
            <v>4320.7</v>
          </cell>
        </row>
        <row r="5467">
          <cell r="A5467" t="str">
            <v>222663</v>
          </cell>
          <cell r="B5467" t="str">
            <v xml:space="preserve">Luva de correr FD BB/JM DN 700 linha esgoto </v>
          </cell>
          <cell r="C5467" t="str">
            <v>ud</v>
          </cell>
          <cell r="D5467">
            <v>0</v>
          </cell>
          <cell r="E5467">
            <v>5768.89</v>
          </cell>
          <cell r="F5467">
            <v>5768.89</v>
          </cell>
        </row>
        <row r="5468">
          <cell r="A5468" t="str">
            <v>222664</v>
          </cell>
          <cell r="B5468" t="str">
            <v>Luva de correr FD BB/JM DN 800 linha esgoto</v>
          </cell>
          <cell r="C5468" t="str">
            <v>ud</v>
          </cell>
          <cell r="D5468">
            <v>0</v>
          </cell>
          <cell r="E5468">
            <v>7479.65</v>
          </cell>
          <cell r="F5468">
            <v>7479.65</v>
          </cell>
        </row>
        <row r="5469">
          <cell r="A5469" t="str">
            <v>222665</v>
          </cell>
          <cell r="B5469" t="str">
            <v>Luva de correr FD BB/JM DN 900 linha esgoto</v>
          </cell>
          <cell r="C5469" t="str">
            <v>ud</v>
          </cell>
          <cell r="D5469">
            <v>0</v>
          </cell>
        </row>
        <row r="5470">
          <cell r="A5470" t="str">
            <v>222666</v>
          </cell>
          <cell r="B5470" t="str">
            <v>Luva de correr FD BB/JM DN 1000 linha esgoto</v>
          </cell>
          <cell r="C5470" t="str">
            <v>ud</v>
          </cell>
          <cell r="D5470">
            <v>0</v>
          </cell>
        </row>
        <row r="5471">
          <cell r="A5471" t="str">
            <v>222668</v>
          </cell>
          <cell r="B5471" t="str">
            <v>Luva de correr FD BB/JM DN 1200 linha esgoto</v>
          </cell>
          <cell r="C5471" t="str">
            <v>ud</v>
          </cell>
          <cell r="D5471">
            <v>0</v>
          </cell>
          <cell r="E5471">
            <v>19176.5</v>
          </cell>
          <cell r="F5471">
            <v>19176.5</v>
          </cell>
        </row>
        <row r="5472">
          <cell r="A5472" t="str">
            <v>2228</v>
          </cell>
          <cell r="B5472" t="str">
            <v>PLACAS DE REDUÇÃO FD</v>
          </cell>
        </row>
        <row r="5473">
          <cell r="A5473" t="str">
            <v>222801</v>
          </cell>
          <cell r="B5473" t="str">
            <v>Placa de redução FD PN-10 DN 100x50 linha esgoto</v>
          </cell>
          <cell r="C5473" t="str">
            <v>ud</v>
          </cell>
          <cell r="D5473">
            <v>0</v>
          </cell>
          <cell r="E5473">
            <v>143.22999999999999</v>
          </cell>
          <cell r="F5473">
            <v>143.22999999999999</v>
          </cell>
        </row>
        <row r="5474">
          <cell r="A5474" t="str">
            <v>222802</v>
          </cell>
          <cell r="B5474" t="str">
            <v>Placa de redução FD PN-10 DN 200x80 linha esgoto</v>
          </cell>
          <cell r="C5474" t="str">
            <v>ud</v>
          </cell>
          <cell r="D5474">
            <v>0</v>
          </cell>
        </row>
        <row r="5475">
          <cell r="A5475" t="str">
            <v>222803</v>
          </cell>
          <cell r="B5475" t="str">
            <v>Placa de redução FD PN-10 DN 200x100 linha esgoto</v>
          </cell>
          <cell r="C5475" t="str">
            <v>ud</v>
          </cell>
          <cell r="D5475">
            <v>0</v>
          </cell>
          <cell r="E5475">
            <v>289.23</v>
          </cell>
          <cell r="F5475">
            <v>289.23</v>
          </cell>
        </row>
        <row r="5476">
          <cell r="A5476" t="str">
            <v>222804</v>
          </cell>
          <cell r="B5476" t="str">
            <v>Placa de redução FD PN-10 DN 200x150 linha esgoto</v>
          </cell>
          <cell r="C5476" t="str">
            <v>ud</v>
          </cell>
          <cell r="D5476">
            <v>0</v>
          </cell>
        </row>
        <row r="5477">
          <cell r="A5477" t="str">
            <v>222805</v>
          </cell>
          <cell r="B5477" t="str">
            <v>Placa de redução FD PN-10 DN 250x200 linha esgoto</v>
          </cell>
          <cell r="C5477" t="str">
            <v>ud</v>
          </cell>
          <cell r="D5477">
            <v>0</v>
          </cell>
          <cell r="E5477">
            <v>690.15</v>
          </cell>
          <cell r="F5477">
            <v>690.15</v>
          </cell>
        </row>
        <row r="5478">
          <cell r="A5478" t="str">
            <v>222806</v>
          </cell>
          <cell r="B5478" t="str">
            <v>Placa de redução FD PN-10 DN 350x150 linha esgoto</v>
          </cell>
          <cell r="C5478" t="str">
            <v>ud</v>
          </cell>
          <cell r="D5478">
            <v>0</v>
          </cell>
          <cell r="E5478">
            <v>776.5</v>
          </cell>
          <cell r="F5478">
            <v>776.5</v>
          </cell>
        </row>
        <row r="5479">
          <cell r="A5479" t="str">
            <v>222807</v>
          </cell>
          <cell r="B5479" t="str">
            <v>Placa de redução FD PN-10 DN 350x250 linha esgoto</v>
          </cell>
          <cell r="C5479" t="str">
            <v>ud</v>
          </cell>
          <cell r="D5479">
            <v>0</v>
          </cell>
          <cell r="E5479">
            <v>657.85</v>
          </cell>
          <cell r="F5479">
            <v>657.85</v>
          </cell>
        </row>
        <row r="5480">
          <cell r="A5480" t="str">
            <v>222808</v>
          </cell>
          <cell r="B5480" t="str">
            <v>Placa de redução FD PN-10 DN 400x150 linha esgoto</v>
          </cell>
          <cell r="C5480" t="str">
            <v>ud</v>
          </cell>
          <cell r="D5480">
            <v>0</v>
          </cell>
        </row>
        <row r="5481">
          <cell r="A5481" t="str">
            <v>222809</v>
          </cell>
          <cell r="B5481" t="str">
            <v>Placa de redução FD PN-10 DN 400x200 linha esgoto</v>
          </cell>
          <cell r="C5481" t="str">
            <v>ud</v>
          </cell>
          <cell r="D5481">
            <v>0</v>
          </cell>
        </row>
        <row r="5482">
          <cell r="A5482" t="str">
            <v>222810</v>
          </cell>
          <cell r="B5482" t="str">
            <v>Placa de redução FD PN-10 DN 400x250 linha esgoto</v>
          </cell>
          <cell r="C5482" t="str">
            <v>ud</v>
          </cell>
          <cell r="D5482">
            <v>0</v>
          </cell>
          <cell r="E5482">
            <v>955.89</v>
          </cell>
          <cell r="F5482">
            <v>955.89</v>
          </cell>
        </row>
        <row r="5483">
          <cell r="A5483" t="str">
            <v>222811</v>
          </cell>
          <cell r="B5483" t="str">
            <v>Placa de redução FD PN-10 DN 400x300 linha esgoto</v>
          </cell>
          <cell r="C5483" t="str">
            <v>ud</v>
          </cell>
          <cell r="D5483">
            <v>0</v>
          </cell>
          <cell r="E5483">
            <v>963.44</v>
          </cell>
          <cell r="F5483">
            <v>963.44</v>
          </cell>
        </row>
        <row r="5484">
          <cell r="A5484" t="str">
            <v>222812</v>
          </cell>
          <cell r="B5484" t="str">
            <v>Placa de redução FD PN-10 DN 400x350 linha esgoto</v>
          </cell>
          <cell r="C5484" t="str">
            <v>ud</v>
          </cell>
          <cell r="D5484">
            <v>0</v>
          </cell>
        </row>
        <row r="5485">
          <cell r="A5485" t="str">
            <v>222813</v>
          </cell>
          <cell r="B5485" t="str">
            <v>Placa de redução FD PN-10 DN 500x350 linha esgoto</v>
          </cell>
          <cell r="C5485" t="str">
            <v>ud</v>
          </cell>
          <cell r="D5485">
            <v>0</v>
          </cell>
        </row>
        <row r="5486">
          <cell r="A5486" t="str">
            <v>222814</v>
          </cell>
          <cell r="B5486" t="str">
            <v>Placa de redução FD PN-10 DN 500x400 linha esgoto</v>
          </cell>
          <cell r="C5486" t="str">
            <v>ud</v>
          </cell>
          <cell r="D5486">
            <v>0</v>
          </cell>
        </row>
        <row r="5487">
          <cell r="A5487" t="str">
            <v>222815</v>
          </cell>
          <cell r="B5487" t="str">
            <v>Placa de redução FD PN-10 DN 600x150 linha esgoto</v>
          </cell>
          <cell r="C5487" t="str">
            <v>ud</v>
          </cell>
          <cell r="D5487">
            <v>0</v>
          </cell>
        </row>
        <row r="5488">
          <cell r="A5488" t="str">
            <v>222816</v>
          </cell>
          <cell r="B5488" t="str">
            <v>Placa de redução FD PN-10 DN 600x450 linha esgoto</v>
          </cell>
          <cell r="C5488" t="str">
            <v>ud</v>
          </cell>
          <cell r="D5488">
            <v>0</v>
          </cell>
        </row>
        <row r="5489">
          <cell r="A5489" t="str">
            <v>222817</v>
          </cell>
          <cell r="B5489" t="str">
            <v>Placa de redução FD PN-10 DN 700x500 linha esgoto</v>
          </cell>
          <cell r="C5489" t="str">
            <v>ud</v>
          </cell>
          <cell r="D5489">
            <v>0</v>
          </cell>
        </row>
        <row r="5490">
          <cell r="A5490" t="str">
            <v>222818</v>
          </cell>
          <cell r="B5490" t="str">
            <v>Placa de redução FD PN-10 DN 900x700 linha esgoto</v>
          </cell>
          <cell r="C5490" t="str">
            <v>ud</v>
          </cell>
          <cell r="D5490">
            <v>0</v>
          </cell>
        </row>
        <row r="5491">
          <cell r="A5491" t="str">
            <v>222819</v>
          </cell>
          <cell r="B5491" t="str">
            <v>Placa de redução FD PN-10 DN 1000x700 linha esgoto</v>
          </cell>
          <cell r="C5491" t="str">
            <v>ud</v>
          </cell>
          <cell r="D5491">
            <v>0</v>
          </cell>
        </row>
        <row r="5492">
          <cell r="A5492" t="str">
            <v>222820</v>
          </cell>
          <cell r="B5492" t="str">
            <v>Placa de redução FD PN-10 DN 1000x800 linha esgoto</v>
          </cell>
          <cell r="C5492" t="str">
            <v>ud</v>
          </cell>
          <cell r="D5492">
            <v>0</v>
          </cell>
        </row>
        <row r="5493">
          <cell r="A5493" t="str">
            <v>222821</v>
          </cell>
          <cell r="B5493" t="str">
            <v>Placa de redução FD PN-16 DN 100x50 linha esgoto</v>
          </cell>
          <cell r="C5493" t="str">
            <v>ud</v>
          </cell>
          <cell r="D5493">
            <v>0</v>
          </cell>
          <cell r="E5493">
            <v>143.22999999999999</v>
          </cell>
          <cell r="F5493">
            <v>143.22999999999999</v>
          </cell>
        </row>
        <row r="5494">
          <cell r="A5494" t="str">
            <v>2230</v>
          </cell>
          <cell r="B5494" t="str">
            <v>REDUÇÃO COM FLANGES FD</v>
          </cell>
        </row>
        <row r="5495">
          <cell r="A5495" t="str">
            <v>223015</v>
          </cell>
          <cell r="B5495" t="str">
            <v>Redução excentrica FD FF PN-10 DN 1000x900 linha esgoto</v>
          </cell>
          <cell r="C5495" t="str">
            <v>ud</v>
          </cell>
          <cell r="D5495">
            <v>0</v>
          </cell>
          <cell r="E5495">
            <v>0</v>
          </cell>
          <cell r="F5495">
            <v>0</v>
          </cell>
        </row>
        <row r="5496">
          <cell r="A5496" t="str">
            <v>223016</v>
          </cell>
          <cell r="B5496" t="str">
            <v>Redução excentrica FD FF PN-16 DN 80x50 linha esgoto</v>
          </cell>
          <cell r="C5496" t="str">
            <v>ud</v>
          </cell>
          <cell r="D5496">
            <v>0</v>
          </cell>
          <cell r="E5496">
            <v>161.09</v>
          </cell>
          <cell r="F5496">
            <v>161.09</v>
          </cell>
        </row>
        <row r="5497">
          <cell r="A5497" t="str">
            <v>223017</v>
          </cell>
          <cell r="B5497" t="str">
            <v>Redução excentrica FD FF PN-16 DN 100x80 linha esgoto</v>
          </cell>
          <cell r="C5497" t="str">
            <v>ud</v>
          </cell>
          <cell r="D5497">
            <v>0</v>
          </cell>
          <cell r="E5497">
            <v>214.87</v>
          </cell>
          <cell r="F5497">
            <v>214.87</v>
          </cell>
        </row>
        <row r="5498">
          <cell r="A5498" t="str">
            <v>223018</v>
          </cell>
          <cell r="B5498" t="str">
            <v>Redução excentrica FD FF PN-16 DN 150x80 linha esgoto</v>
          </cell>
          <cell r="C5498" t="str">
            <v>ud</v>
          </cell>
          <cell r="D5498">
            <v>0</v>
          </cell>
          <cell r="E5498">
            <v>315.69</v>
          </cell>
          <cell r="F5498">
            <v>315.69</v>
          </cell>
        </row>
        <row r="5499">
          <cell r="A5499" t="str">
            <v>223019</v>
          </cell>
          <cell r="B5499" t="str">
            <v>Redução excentrica FD FF PN-16 DN 150x100 linha esgoto</v>
          </cell>
          <cell r="C5499" t="str">
            <v>ud</v>
          </cell>
          <cell r="D5499">
            <v>0</v>
          </cell>
          <cell r="E5499">
            <v>342.16</v>
          </cell>
          <cell r="F5499">
            <v>342.16</v>
          </cell>
        </row>
        <row r="5500">
          <cell r="A5500" t="str">
            <v>223020</v>
          </cell>
          <cell r="B5500" t="str">
            <v>Redução FD FF PN-10 DN 80x50 linha esgoto</v>
          </cell>
          <cell r="C5500" t="str">
            <v>ud</v>
          </cell>
          <cell r="D5500">
            <v>0</v>
          </cell>
          <cell r="E5500">
            <v>157.84</v>
          </cell>
          <cell r="F5500">
            <v>157.84</v>
          </cell>
        </row>
        <row r="5501">
          <cell r="A5501" t="str">
            <v>223021</v>
          </cell>
          <cell r="B5501" t="str">
            <v>Redução FD FF PN-10 DN 80x75 linha esgoto</v>
          </cell>
          <cell r="C5501" t="str">
            <v>ud</v>
          </cell>
          <cell r="D5501">
            <v>0</v>
          </cell>
          <cell r="E5501">
            <v>179.04</v>
          </cell>
          <cell r="F5501">
            <v>179.04</v>
          </cell>
        </row>
        <row r="5502">
          <cell r="A5502" t="str">
            <v>223022</v>
          </cell>
          <cell r="B5502" t="str">
            <v>Redução FD FF PN-10 DN 100x50 linha esgoto</v>
          </cell>
          <cell r="C5502" t="str">
            <v>ud</v>
          </cell>
          <cell r="D5502">
            <v>0</v>
          </cell>
          <cell r="E5502">
            <v>234.51</v>
          </cell>
          <cell r="F5502">
            <v>234.51</v>
          </cell>
        </row>
        <row r="5503">
          <cell r="A5503" t="str">
            <v>223023</v>
          </cell>
          <cell r="B5503" t="str">
            <v>Redução FD FF PN-10 DN 100x80 linha esgoto</v>
          </cell>
          <cell r="C5503" t="str">
            <v>ud</v>
          </cell>
          <cell r="D5503">
            <v>0</v>
          </cell>
          <cell r="E5503">
            <v>281.41000000000003</v>
          </cell>
          <cell r="F5503">
            <v>281.41000000000003</v>
          </cell>
        </row>
        <row r="5504">
          <cell r="A5504" t="str">
            <v>223024</v>
          </cell>
          <cell r="B5504" t="str">
            <v>Redução FD FF PN-10 DN 150x80 linha esgoto</v>
          </cell>
          <cell r="C5504" t="str">
            <v>ud</v>
          </cell>
          <cell r="D5504">
            <v>0</v>
          </cell>
          <cell r="E5504">
            <v>312.36</v>
          </cell>
          <cell r="F5504">
            <v>312.36</v>
          </cell>
        </row>
        <row r="5505">
          <cell r="A5505" t="str">
            <v>223025</v>
          </cell>
          <cell r="B5505" t="str">
            <v>Redução FD FF PN-10 DN 150x100 linha esgoto</v>
          </cell>
          <cell r="C5505" t="str">
            <v>ud</v>
          </cell>
          <cell r="D5505">
            <v>0</v>
          </cell>
          <cell r="E5505">
            <v>338.19</v>
          </cell>
          <cell r="F5505">
            <v>338.19</v>
          </cell>
        </row>
        <row r="5506">
          <cell r="A5506" t="str">
            <v>223026</v>
          </cell>
          <cell r="B5506" t="str">
            <v>Redução FD FF PN-10 DN 200 100 linha esgoto</v>
          </cell>
          <cell r="C5506" t="str">
            <v>ud</v>
          </cell>
          <cell r="D5506">
            <v>0</v>
          </cell>
          <cell r="E5506">
            <v>696.24</v>
          </cell>
          <cell r="F5506">
            <v>696.24</v>
          </cell>
        </row>
        <row r="5507">
          <cell r="A5507" t="str">
            <v>223027</v>
          </cell>
          <cell r="B5507" t="str">
            <v>Redução FD FF PN-10 DN 200 150 linha esgoto</v>
          </cell>
          <cell r="C5507" t="str">
            <v>ud</v>
          </cell>
          <cell r="D5507">
            <v>0</v>
          </cell>
          <cell r="E5507">
            <v>564.94000000000005</v>
          </cell>
          <cell r="F5507">
            <v>564.94000000000005</v>
          </cell>
        </row>
        <row r="5508">
          <cell r="A5508" t="str">
            <v>223028</v>
          </cell>
          <cell r="B5508" t="str">
            <v>Redução FD FF PN-10 DN 250 150 linha esgoto</v>
          </cell>
          <cell r="C5508" t="str">
            <v>ud</v>
          </cell>
          <cell r="D5508">
            <v>0</v>
          </cell>
          <cell r="E5508">
            <v>620.66</v>
          </cell>
          <cell r="F5508">
            <v>620.66</v>
          </cell>
        </row>
        <row r="5509">
          <cell r="A5509" t="str">
            <v>223029</v>
          </cell>
          <cell r="B5509" t="str">
            <v>Redução FD FF PN-10 DN 250 200 linha esgoto (294401)</v>
          </cell>
          <cell r="C5509" t="str">
            <v>ud</v>
          </cell>
          <cell r="D5509">
            <v>0</v>
          </cell>
          <cell r="E5509">
            <v>628.6</v>
          </cell>
          <cell r="F5509">
            <v>628.6</v>
          </cell>
        </row>
        <row r="5510">
          <cell r="A5510" t="str">
            <v>223030</v>
          </cell>
          <cell r="B5510" t="str">
            <v>Redução FD FF PN-10 DN 300 150 linha esgoto</v>
          </cell>
          <cell r="C5510" t="str">
            <v>ud</v>
          </cell>
          <cell r="D5510">
            <v>0</v>
          </cell>
          <cell r="E5510">
            <v>724.09</v>
          </cell>
          <cell r="F5510">
            <v>724.09</v>
          </cell>
        </row>
        <row r="5511">
          <cell r="A5511" t="str">
            <v>223031</v>
          </cell>
          <cell r="B5511" t="str">
            <v>Redução FD FF PN-10 DN 300 200 linha esgoto</v>
          </cell>
          <cell r="C5511" t="str">
            <v>ud</v>
          </cell>
          <cell r="D5511">
            <v>0</v>
          </cell>
          <cell r="E5511">
            <v>859.38</v>
          </cell>
          <cell r="F5511">
            <v>859.38</v>
          </cell>
        </row>
        <row r="5512">
          <cell r="A5512" t="str">
            <v>223032</v>
          </cell>
          <cell r="B5512" t="str">
            <v>Redução FD FF PN-10 DN 300 250 linha esgoto</v>
          </cell>
          <cell r="C5512" t="str">
            <v>ud</v>
          </cell>
          <cell r="D5512">
            <v>0</v>
          </cell>
          <cell r="E5512">
            <v>767.87</v>
          </cell>
          <cell r="F5512">
            <v>767.87</v>
          </cell>
        </row>
        <row r="5513">
          <cell r="A5513" t="str">
            <v>223033</v>
          </cell>
          <cell r="B5513" t="str">
            <v xml:space="preserve">Redução FD FF PN-10 DN 350 200 linha esgoto </v>
          </cell>
          <cell r="C5513" t="str">
            <v>ud</v>
          </cell>
          <cell r="D5513">
            <v>0</v>
          </cell>
          <cell r="E5513">
            <v>867.36</v>
          </cell>
          <cell r="F5513">
            <v>867.36</v>
          </cell>
        </row>
        <row r="5514">
          <cell r="A5514" t="str">
            <v>223034</v>
          </cell>
          <cell r="B5514" t="str">
            <v>Redução FD FF PN-10 DN 350 250 linha esgoto</v>
          </cell>
          <cell r="C5514" t="str">
            <v>ud</v>
          </cell>
          <cell r="D5514">
            <v>0</v>
          </cell>
          <cell r="E5514">
            <v>0</v>
          </cell>
          <cell r="F5514">
            <v>0</v>
          </cell>
        </row>
        <row r="5515">
          <cell r="A5515" t="str">
            <v>223035</v>
          </cell>
          <cell r="B5515" t="str">
            <v>Redução FD FF PN-10 DN 350 300 linha esgoto</v>
          </cell>
          <cell r="C5515" t="str">
            <v>ud</v>
          </cell>
          <cell r="D5515">
            <v>0</v>
          </cell>
          <cell r="E5515">
            <v>930.97</v>
          </cell>
          <cell r="F5515">
            <v>930.97</v>
          </cell>
        </row>
        <row r="5516">
          <cell r="A5516" t="str">
            <v>223036</v>
          </cell>
          <cell r="B5516" t="str">
            <v>Redução FD FF PN-10 DN 400 250 linha esgoto</v>
          </cell>
          <cell r="C5516" t="str">
            <v>ud</v>
          </cell>
          <cell r="D5516">
            <v>0</v>
          </cell>
          <cell r="E5516">
            <v>1058.31</v>
          </cell>
          <cell r="F5516">
            <v>1058.31</v>
          </cell>
        </row>
        <row r="5517">
          <cell r="A5517" t="str">
            <v>223037</v>
          </cell>
          <cell r="B5517" t="str">
            <v>Redução FD FF PN-10 DN 400 300 linha esgoto</v>
          </cell>
          <cell r="C5517" t="str">
            <v>ud</v>
          </cell>
          <cell r="D5517">
            <v>0</v>
          </cell>
          <cell r="E5517">
            <v>1058.31</v>
          </cell>
          <cell r="F5517">
            <v>1058.31</v>
          </cell>
        </row>
        <row r="5518">
          <cell r="A5518" t="str">
            <v>223038</v>
          </cell>
          <cell r="B5518" t="str">
            <v>Redução FD FF PN-10 DN 400 350 linha esgoto</v>
          </cell>
          <cell r="C5518" t="str">
            <v>ud</v>
          </cell>
          <cell r="D5518">
            <v>0</v>
          </cell>
          <cell r="E5518">
            <v>1153.8</v>
          </cell>
          <cell r="F5518">
            <v>1153.8</v>
          </cell>
        </row>
        <row r="5519">
          <cell r="A5519" t="str">
            <v>223039</v>
          </cell>
          <cell r="B5519" t="str">
            <v>Redução FD FF PN-10 DN 450 300 linha esgoto</v>
          </cell>
          <cell r="C5519" t="str">
            <v>ud</v>
          </cell>
          <cell r="D5519">
            <v>0</v>
          </cell>
          <cell r="E5519">
            <v>0</v>
          </cell>
          <cell r="F5519">
            <v>0</v>
          </cell>
        </row>
        <row r="5520">
          <cell r="A5520" t="str">
            <v>223047</v>
          </cell>
          <cell r="B5520" t="str">
            <v>Redução FD FF PN-10 DN 450 350 linha esgoto</v>
          </cell>
          <cell r="C5520" t="str">
            <v>ud</v>
          </cell>
          <cell r="D5520">
            <v>0</v>
          </cell>
          <cell r="E5520">
            <v>0</v>
          </cell>
          <cell r="F5520">
            <v>0</v>
          </cell>
        </row>
        <row r="5521">
          <cell r="A5521" t="str">
            <v>223048</v>
          </cell>
          <cell r="B5521" t="str">
            <v>Redução FD FF PN-10 DN 450 400 linha esgoto</v>
          </cell>
          <cell r="C5521" t="str">
            <v>ud</v>
          </cell>
          <cell r="D5521">
            <v>0</v>
          </cell>
          <cell r="E5521">
            <v>0</v>
          </cell>
          <cell r="F5521">
            <v>0</v>
          </cell>
        </row>
        <row r="5522">
          <cell r="A5522" t="str">
            <v>223049</v>
          </cell>
          <cell r="B5522" t="str">
            <v>Redução FD FF PN-10 DN 500 350 linha esgoto</v>
          </cell>
          <cell r="C5522" t="str">
            <v>ud</v>
          </cell>
          <cell r="D5522">
            <v>0</v>
          </cell>
          <cell r="E5522">
            <v>0</v>
          </cell>
          <cell r="F5522">
            <v>0</v>
          </cell>
        </row>
        <row r="5523">
          <cell r="A5523" t="str">
            <v>223050</v>
          </cell>
          <cell r="B5523" t="str">
            <v>Redução FD FF PN-10 DN 500 400 linha esgoto</v>
          </cell>
          <cell r="C5523" t="str">
            <v>ud</v>
          </cell>
          <cell r="D5523">
            <v>0</v>
          </cell>
          <cell r="E5523">
            <v>2132.4899999999998</v>
          </cell>
          <cell r="F5523">
            <v>2132.4899999999998</v>
          </cell>
        </row>
        <row r="5524">
          <cell r="A5524" t="str">
            <v>223051</v>
          </cell>
          <cell r="B5524" t="str">
            <v>Redução FD FF PN-10 DN 500 450 linha esgoto</v>
          </cell>
          <cell r="C5524" t="str">
            <v>ud</v>
          </cell>
          <cell r="D5524">
            <v>0</v>
          </cell>
          <cell r="E5524">
            <v>2893.47</v>
          </cell>
          <cell r="F5524">
            <v>2893.47</v>
          </cell>
        </row>
        <row r="5525">
          <cell r="A5525" t="str">
            <v>223052</v>
          </cell>
          <cell r="B5525" t="str">
            <v>Redução FD FF PN-10 DN 600 400 linha esgoto</v>
          </cell>
          <cell r="C5525" t="str">
            <v>ud</v>
          </cell>
          <cell r="D5525">
            <v>0</v>
          </cell>
          <cell r="E5525">
            <v>0</v>
          </cell>
          <cell r="F5525">
            <v>0</v>
          </cell>
        </row>
        <row r="5526">
          <cell r="A5526" t="str">
            <v>223053</v>
          </cell>
          <cell r="B5526" t="str">
            <v>Redução FD FF PN-10 DN 600 450 linha esgoto</v>
          </cell>
          <cell r="C5526" t="str">
            <v>ud</v>
          </cell>
          <cell r="D5526">
            <v>0</v>
          </cell>
          <cell r="E5526">
            <v>0</v>
          </cell>
          <cell r="F5526">
            <v>0</v>
          </cell>
        </row>
        <row r="5527">
          <cell r="A5527" t="str">
            <v>223054</v>
          </cell>
          <cell r="B5527" t="str">
            <v>Redução FD FF PN-10 DN 600 500 linha esgoto</v>
          </cell>
          <cell r="C5527" t="str">
            <v>ud</v>
          </cell>
          <cell r="D5527">
            <v>0</v>
          </cell>
          <cell r="E5527">
            <v>3433.47</v>
          </cell>
          <cell r="F5527">
            <v>3433.47</v>
          </cell>
        </row>
        <row r="5528">
          <cell r="A5528" t="str">
            <v>223055</v>
          </cell>
          <cell r="B5528" t="str">
            <v>Redução FD FF PN-10 DN 700 600 linha esgoto</v>
          </cell>
          <cell r="C5528" t="str">
            <v>ud</v>
          </cell>
          <cell r="D5528">
            <v>0</v>
          </cell>
        </row>
        <row r="5529">
          <cell r="A5529" t="str">
            <v>223056</v>
          </cell>
          <cell r="B5529" t="str">
            <v>Redução FD FF PN-10 DN 800 700 linha esgoto</v>
          </cell>
          <cell r="C5529" t="str">
            <v>ud</v>
          </cell>
          <cell r="D5529">
            <v>0</v>
          </cell>
          <cell r="E5529">
            <v>0</v>
          </cell>
          <cell r="F5529">
            <v>0</v>
          </cell>
        </row>
        <row r="5530">
          <cell r="A5530" t="str">
            <v>223057</v>
          </cell>
          <cell r="B5530" t="str">
            <v>Redução FD FF PN-10 DN 900 800 linha esgoto</v>
          </cell>
          <cell r="C5530" t="str">
            <v>ud</v>
          </cell>
          <cell r="D5530">
            <v>0</v>
          </cell>
          <cell r="E5530">
            <v>0</v>
          </cell>
          <cell r="F5530">
            <v>0</v>
          </cell>
        </row>
        <row r="5531">
          <cell r="A5531" t="str">
            <v>223058</v>
          </cell>
          <cell r="B5531" t="str">
            <v>Redução FD FF PN-10 DN 1000 900 linha esgoto</v>
          </cell>
          <cell r="C5531" t="str">
            <v>ud</v>
          </cell>
          <cell r="D5531">
            <v>0</v>
          </cell>
          <cell r="E5531">
            <v>0</v>
          </cell>
          <cell r="F5531">
            <v>0</v>
          </cell>
        </row>
        <row r="5532">
          <cell r="A5532" t="str">
            <v>223059</v>
          </cell>
          <cell r="B5532" t="str">
            <v>Redução FD FF PN-10 DN 1200 1000 linha esgoto</v>
          </cell>
          <cell r="C5532" t="str">
            <v>ud</v>
          </cell>
          <cell r="D5532">
            <v>0</v>
          </cell>
          <cell r="E5532">
            <v>0</v>
          </cell>
          <cell r="F5532">
            <v>0</v>
          </cell>
        </row>
        <row r="5533">
          <cell r="A5533" t="str">
            <v>223064</v>
          </cell>
          <cell r="B5533" t="str">
            <v>Redução FD FF PN-16 DN 80x50 linha esgoto</v>
          </cell>
          <cell r="C5533" t="str">
            <v>ud</v>
          </cell>
          <cell r="D5533">
            <v>0</v>
          </cell>
          <cell r="E5533">
            <v>157.84</v>
          </cell>
          <cell r="F5533">
            <v>157.84</v>
          </cell>
        </row>
        <row r="5534">
          <cell r="A5534" t="str">
            <v>223065</v>
          </cell>
          <cell r="B5534" t="str">
            <v xml:space="preserve">Redução FD FF PN-16 DN 80x75 linha esgoto </v>
          </cell>
          <cell r="C5534" t="str">
            <v>ud</v>
          </cell>
          <cell r="D5534">
            <v>0</v>
          </cell>
          <cell r="E5534">
            <v>179.04</v>
          </cell>
          <cell r="F5534">
            <v>179.04</v>
          </cell>
        </row>
        <row r="5535">
          <cell r="A5535" t="str">
            <v>223067</v>
          </cell>
          <cell r="B5535" t="str">
            <v>Redução FD FF PN-16 DN 100x50 linha esgoto</v>
          </cell>
          <cell r="C5535" t="str">
            <v>ud</v>
          </cell>
          <cell r="D5535">
            <v>0</v>
          </cell>
          <cell r="E5535">
            <v>234.51</v>
          </cell>
          <cell r="F5535">
            <v>234.51</v>
          </cell>
        </row>
        <row r="5536">
          <cell r="A5536" t="str">
            <v>223068</v>
          </cell>
          <cell r="B5536" t="str">
            <v>Redução FD FF PN-16 DN 100x80 linha esgoto</v>
          </cell>
          <cell r="C5536" t="str">
            <v>ud</v>
          </cell>
          <cell r="D5536">
            <v>0</v>
          </cell>
          <cell r="E5536">
            <v>281.41000000000003</v>
          </cell>
          <cell r="F5536">
            <v>281.41000000000003</v>
          </cell>
        </row>
        <row r="5537">
          <cell r="A5537" t="str">
            <v>223070</v>
          </cell>
          <cell r="B5537" t="str">
            <v>Redução FD FF PN-16 DN 150x100 linha esgoto</v>
          </cell>
          <cell r="C5537" t="str">
            <v>ud</v>
          </cell>
          <cell r="D5537">
            <v>0</v>
          </cell>
          <cell r="E5537">
            <v>338.19</v>
          </cell>
          <cell r="F5537">
            <v>338.19</v>
          </cell>
        </row>
        <row r="5538">
          <cell r="A5538" t="str">
            <v>223001</v>
          </cell>
          <cell r="B5538" t="str">
            <v>Redução excentrica FD FF PN-10 DN 80x50 linha esgoto</v>
          </cell>
          <cell r="C5538" t="str">
            <v>ud</v>
          </cell>
          <cell r="D5538">
            <v>0</v>
          </cell>
          <cell r="E5538">
            <v>161.09</v>
          </cell>
          <cell r="F5538">
            <v>161.09</v>
          </cell>
        </row>
        <row r="5539">
          <cell r="A5539" t="str">
            <v>223002</v>
          </cell>
          <cell r="B5539" t="str">
            <v>Redução excentrica FD FF PN-10 DN 100x80 linha esgoto</v>
          </cell>
          <cell r="C5539" t="str">
            <v>ud</v>
          </cell>
          <cell r="D5539">
            <v>0</v>
          </cell>
          <cell r="E5539">
            <v>214.87</v>
          </cell>
          <cell r="F5539">
            <v>214.87</v>
          </cell>
        </row>
        <row r="5540">
          <cell r="A5540" t="str">
            <v>223003</v>
          </cell>
          <cell r="B5540" t="str">
            <v>Redução excentrica FD FF PN-10 DN 150x80 linha esgoto</v>
          </cell>
          <cell r="C5540" t="str">
            <v>ud</v>
          </cell>
          <cell r="D5540">
            <v>0</v>
          </cell>
          <cell r="E5540">
            <v>315.69</v>
          </cell>
          <cell r="F5540">
            <v>315.69</v>
          </cell>
        </row>
        <row r="5541">
          <cell r="A5541" t="str">
            <v>223004</v>
          </cell>
          <cell r="B5541" t="str">
            <v>Redução excentrica FD FF PN-10 DN 150x100 linha esgoto (293005)</v>
          </cell>
          <cell r="C5541" t="str">
            <v>ud</v>
          </cell>
          <cell r="D5541">
            <v>0</v>
          </cell>
          <cell r="E5541">
            <v>342.16</v>
          </cell>
          <cell r="F5541">
            <v>342.16</v>
          </cell>
        </row>
        <row r="5542">
          <cell r="A5542" t="str">
            <v>223005</v>
          </cell>
          <cell r="B5542" t="str">
            <v>Redução excentrica FD FF PN-10 DN 200x100 linha esgoto</v>
          </cell>
          <cell r="C5542" t="str">
            <v>ud</v>
          </cell>
          <cell r="D5542">
            <v>0</v>
          </cell>
          <cell r="E5542">
            <v>696.26</v>
          </cell>
          <cell r="F5542">
            <v>696.26</v>
          </cell>
        </row>
        <row r="5543">
          <cell r="A5543" t="str">
            <v>223006</v>
          </cell>
          <cell r="B5543" t="str">
            <v>Redução excentrica FD FF PN-10 DN 200x150 linha esgoto</v>
          </cell>
          <cell r="C5543" t="str">
            <v>ud</v>
          </cell>
          <cell r="D5543">
            <v>0</v>
          </cell>
          <cell r="E5543">
            <v>445.59</v>
          </cell>
          <cell r="F5543">
            <v>445.59</v>
          </cell>
        </row>
        <row r="5544">
          <cell r="A5544" t="str">
            <v>223007</v>
          </cell>
          <cell r="B5544" t="str">
            <v>Redução excentrica FD FF PN-10 DN 250x200 linha esgoto</v>
          </cell>
          <cell r="C5544" t="str">
            <v>ud</v>
          </cell>
          <cell r="D5544">
            <v>0</v>
          </cell>
          <cell r="E5544">
            <v>656.47</v>
          </cell>
          <cell r="F5544">
            <v>656.47</v>
          </cell>
        </row>
        <row r="5545">
          <cell r="A5545" t="str">
            <v>223008</v>
          </cell>
          <cell r="B5545" t="str">
            <v>Redução excentrica FD FF PN-10 DN 300x150 linha esgoto</v>
          </cell>
          <cell r="C5545" t="str">
            <v>ud</v>
          </cell>
          <cell r="D5545">
            <v>0</v>
          </cell>
          <cell r="E5545">
            <v>763.88</v>
          </cell>
          <cell r="F5545">
            <v>763.88</v>
          </cell>
        </row>
        <row r="5546">
          <cell r="A5546" t="str">
            <v>223009</v>
          </cell>
          <cell r="B5546" t="str">
            <v>Redução excentrica FD FF PN-10 DN 300x200 linha esgoto</v>
          </cell>
          <cell r="C5546" t="str">
            <v>ud</v>
          </cell>
          <cell r="D5546">
            <v>0</v>
          </cell>
          <cell r="E5546">
            <v>923.02</v>
          </cell>
          <cell r="F5546">
            <v>923.02</v>
          </cell>
        </row>
        <row r="5547">
          <cell r="A5547" t="str">
            <v>223010</v>
          </cell>
          <cell r="B5547" t="str">
            <v>Redução excentrica FD FF PN-10 DN 300x250 linha esgoto</v>
          </cell>
          <cell r="C5547" t="str">
            <v>ud</v>
          </cell>
          <cell r="D5547">
            <v>0</v>
          </cell>
          <cell r="E5547">
            <v>819.61</v>
          </cell>
          <cell r="F5547">
            <v>819.61</v>
          </cell>
        </row>
        <row r="5548">
          <cell r="A5548" t="str">
            <v>223011</v>
          </cell>
          <cell r="B5548" t="str">
            <v>Redução excentrica FD FF PN-10 DN 400x250 linha esgoto</v>
          </cell>
          <cell r="C5548" t="str">
            <v>ud</v>
          </cell>
          <cell r="D5548">
            <v>0</v>
          </cell>
          <cell r="E5548">
            <v>0</v>
          </cell>
          <cell r="F5548">
            <v>0</v>
          </cell>
        </row>
        <row r="5549">
          <cell r="A5549" t="str">
            <v>223012</v>
          </cell>
          <cell r="B5549" t="str">
            <v>Redução excentrica FD FF PN-10 DN 400x300 linha esgoto</v>
          </cell>
          <cell r="C5549" t="str">
            <v>ud</v>
          </cell>
          <cell r="D5549">
            <v>0</v>
          </cell>
          <cell r="E5549">
            <v>0</v>
          </cell>
          <cell r="F5549">
            <v>0</v>
          </cell>
        </row>
        <row r="5550">
          <cell r="A5550" t="str">
            <v>223013</v>
          </cell>
          <cell r="B5550" t="str">
            <v>Redução excentrica FD FF PN-10 DN 600x500 linha esgoto</v>
          </cell>
          <cell r="C5550" t="str">
            <v>ud</v>
          </cell>
          <cell r="D5550">
            <v>0</v>
          </cell>
          <cell r="E5550">
            <v>0</v>
          </cell>
          <cell r="F5550">
            <v>0</v>
          </cell>
        </row>
        <row r="5551">
          <cell r="A5551" t="str">
            <v>223014</v>
          </cell>
          <cell r="B5551" t="str">
            <v>Redução excentrica FD FF PN-10 DN 900x800 linha esgoto</v>
          </cell>
          <cell r="C5551" t="str">
            <v>ud</v>
          </cell>
          <cell r="D5551">
            <v>0</v>
          </cell>
        </row>
        <row r="5552">
          <cell r="A5552" t="str">
            <v>2233</v>
          </cell>
          <cell r="B5552" t="str">
            <v>TAMPÃO FD</v>
          </cell>
        </row>
        <row r="5553">
          <cell r="A5553" t="str">
            <v>223301</v>
          </cell>
          <cell r="B5553" t="str">
            <v>Tampão Classe   50 FD p/ poço de visita padrão Sanepar, incluindo caixilho (270350)</v>
          </cell>
          <cell r="C5553" t="str">
            <v>ud</v>
          </cell>
          <cell r="D5553">
            <v>0</v>
          </cell>
          <cell r="E5553">
            <v>220</v>
          </cell>
          <cell r="F5553">
            <v>220</v>
          </cell>
        </row>
        <row r="5554">
          <cell r="A5554" t="str">
            <v>223302</v>
          </cell>
          <cell r="B5554" t="str">
            <v>Tampão Classe 125 FD p/ poço de visita padrão Sanepar, incluindo caixilho (270369)</v>
          </cell>
          <cell r="C5554" t="str">
            <v>ud</v>
          </cell>
          <cell r="E5554">
            <v>315</v>
          </cell>
          <cell r="F5554">
            <v>315</v>
          </cell>
          <cell r="G5554">
            <v>6243</v>
          </cell>
        </row>
        <row r="5555">
          <cell r="A5555" t="str">
            <v>2235</v>
          </cell>
          <cell r="B5555" t="str">
            <v>TE FD JE/JE2GS</v>
          </cell>
        </row>
        <row r="5556">
          <cell r="A5556" t="str">
            <v>223501</v>
          </cell>
          <cell r="B5556" t="str">
            <v>Te FD BBB JE/JE2GS DN80x80 linha esgoto</v>
          </cell>
          <cell r="C5556" t="str">
            <v>ud</v>
          </cell>
          <cell r="D5556">
            <v>0</v>
          </cell>
          <cell r="E5556">
            <v>191.02</v>
          </cell>
          <cell r="F5556">
            <v>191.02</v>
          </cell>
        </row>
        <row r="5557">
          <cell r="A5557" t="str">
            <v>223502</v>
          </cell>
          <cell r="B5557" t="str">
            <v>Te FD BBB JE/JE2GS DN100x80 linha esgoto</v>
          </cell>
          <cell r="C5557" t="str">
            <v>ud</v>
          </cell>
          <cell r="D5557">
            <v>0</v>
          </cell>
          <cell r="E5557">
            <v>210.84</v>
          </cell>
          <cell r="F5557">
            <v>210.84</v>
          </cell>
        </row>
        <row r="5558">
          <cell r="A5558" t="str">
            <v>223503</v>
          </cell>
          <cell r="B5558" t="str">
            <v>Te FD BBB JE/JE2GS DN100x100 linha esgoto (286308)</v>
          </cell>
          <cell r="C5558" t="str">
            <v>ud</v>
          </cell>
          <cell r="D5558">
            <v>0</v>
          </cell>
          <cell r="E5558">
            <v>222.8</v>
          </cell>
          <cell r="F5558">
            <v>222.8</v>
          </cell>
        </row>
        <row r="5559">
          <cell r="A5559" t="str">
            <v>223504</v>
          </cell>
          <cell r="B5559" t="str">
            <v>Te FD BBB JE/JE2GS DN150x80 linha esgoto</v>
          </cell>
          <cell r="C5559" t="str">
            <v>ud</v>
          </cell>
          <cell r="D5559">
            <v>0</v>
          </cell>
          <cell r="E5559">
            <v>326.24</v>
          </cell>
          <cell r="F5559">
            <v>326.24</v>
          </cell>
        </row>
        <row r="5560">
          <cell r="A5560" t="str">
            <v>223505</v>
          </cell>
          <cell r="B5560" t="str">
            <v>Te FD BBB JE/JE2GS DN150x100 linha esgoto</v>
          </cell>
          <cell r="C5560" t="str">
            <v>ud</v>
          </cell>
          <cell r="D5560">
            <v>0</v>
          </cell>
          <cell r="E5560">
            <v>334.19</v>
          </cell>
          <cell r="F5560">
            <v>334.19</v>
          </cell>
        </row>
        <row r="5561">
          <cell r="A5561" t="str">
            <v>223506</v>
          </cell>
          <cell r="B5561" t="str">
            <v>Te FD BBB JE/JE2GS DN150x150 linha esgoto (294676)</v>
          </cell>
          <cell r="C5561" t="str">
            <v>ud</v>
          </cell>
          <cell r="D5561">
            <v>0</v>
          </cell>
          <cell r="E5561">
            <v>342.16</v>
          </cell>
          <cell r="F5561">
            <v>342.16</v>
          </cell>
        </row>
        <row r="5562">
          <cell r="A5562" t="str">
            <v>223507</v>
          </cell>
          <cell r="B5562" t="str">
            <v>Te FD BBB JE/JE2GS DN200x80 linha esgoto</v>
          </cell>
          <cell r="C5562" t="str">
            <v>ud</v>
          </cell>
          <cell r="D5562">
            <v>0</v>
          </cell>
          <cell r="E5562">
            <v>429.71</v>
          </cell>
          <cell r="F5562">
            <v>429.71</v>
          </cell>
        </row>
        <row r="5563">
          <cell r="A5563" t="str">
            <v>223508</v>
          </cell>
          <cell r="B5563" t="str">
            <v xml:space="preserve">Te FD BBB JE/JE2GS DN200x100 linha esgoto </v>
          </cell>
          <cell r="C5563" t="str">
            <v>ud</v>
          </cell>
          <cell r="D5563">
            <v>0</v>
          </cell>
          <cell r="E5563">
            <v>469</v>
          </cell>
          <cell r="F5563">
            <v>469</v>
          </cell>
        </row>
        <row r="5564">
          <cell r="A5564" t="str">
            <v>223509</v>
          </cell>
          <cell r="B5564" t="str">
            <v>Te FD BBB JE/JE2GS DN200x150 linha esgoto</v>
          </cell>
          <cell r="C5564" t="str">
            <v>ud</v>
          </cell>
          <cell r="D5564">
            <v>0</v>
          </cell>
          <cell r="E5564">
            <v>562.79999999999995</v>
          </cell>
          <cell r="F5564">
            <v>562.79999999999995</v>
          </cell>
        </row>
        <row r="5565">
          <cell r="A5565" t="str">
            <v>223510</v>
          </cell>
          <cell r="B5565" t="str">
            <v>Te FD BBB JE/JE2GS DN200x200 linha esgoto</v>
          </cell>
          <cell r="C5565" t="str">
            <v>ud</v>
          </cell>
          <cell r="D5565">
            <v>0</v>
          </cell>
          <cell r="E5565">
            <v>572.88</v>
          </cell>
          <cell r="F5565">
            <v>572.88</v>
          </cell>
        </row>
        <row r="5566">
          <cell r="A5566" t="str">
            <v>223511</v>
          </cell>
          <cell r="B5566" t="str">
            <v>Te FD BBB JE/JE2GS DN250x80 linha esgoto</v>
          </cell>
          <cell r="C5566" t="str">
            <v>ud</v>
          </cell>
          <cell r="D5566">
            <v>0</v>
          </cell>
          <cell r="E5566">
            <v>594.08000000000004</v>
          </cell>
          <cell r="F5566">
            <v>594.08000000000004</v>
          </cell>
        </row>
        <row r="5567">
          <cell r="A5567" t="str">
            <v>223512</v>
          </cell>
          <cell r="B5567" t="str">
            <v>Te FD BBB JE/JE2GS DN250x100 linha esgoto</v>
          </cell>
          <cell r="C5567" t="str">
            <v>ud</v>
          </cell>
          <cell r="D5567">
            <v>0</v>
          </cell>
          <cell r="E5567">
            <v>668.4</v>
          </cell>
          <cell r="F5567">
            <v>668.4</v>
          </cell>
        </row>
        <row r="5568">
          <cell r="A5568" t="str">
            <v>223514</v>
          </cell>
          <cell r="B5568" t="str">
            <v>Te FD BBB JE/JE2GS DN250x250 linha esgoto</v>
          </cell>
          <cell r="C5568" t="str">
            <v>ud</v>
          </cell>
          <cell r="D5568">
            <v>0</v>
          </cell>
          <cell r="E5568">
            <v>899.16</v>
          </cell>
          <cell r="F5568">
            <v>899.16</v>
          </cell>
        </row>
        <row r="5569">
          <cell r="A5569" t="str">
            <v>223515</v>
          </cell>
          <cell r="B5569" t="str">
            <v>Te FD BBB JE/JE2GS DN300x80 linha esgoto</v>
          </cell>
          <cell r="C5569" t="str">
            <v>ud</v>
          </cell>
          <cell r="D5569">
            <v>0</v>
          </cell>
        </row>
        <row r="5570">
          <cell r="A5570" t="str">
            <v>223516</v>
          </cell>
          <cell r="B5570" t="str">
            <v>Te FD BBB JE/JE2GS DN300x100 linha esgoto</v>
          </cell>
          <cell r="C5570" t="str">
            <v>ud</v>
          </cell>
          <cell r="D5570">
            <v>0</v>
          </cell>
          <cell r="E5570">
            <v>763.9</v>
          </cell>
          <cell r="F5570">
            <v>763.9</v>
          </cell>
        </row>
        <row r="5571">
          <cell r="A5571" t="str">
            <v>223517</v>
          </cell>
          <cell r="B5571" t="str">
            <v>Te FD BBB JE/JE2GS DN300x150 linha esgoto</v>
          </cell>
          <cell r="C5571" t="str">
            <v>ud</v>
          </cell>
          <cell r="D5571">
            <v>0</v>
          </cell>
          <cell r="E5571">
            <v>895.16</v>
          </cell>
          <cell r="F5571">
            <v>895.16</v>
          </cell>
        </row>
        <row r="5572">
          <cell r="A5572" t="str">
            <v>223518</v>
          </cell>
          <cell r="B5572" t="str">
            <v>Te FD BBB JE/JE2GS DN300x200 linha esgoto</v>
          </cell>
          <cell r="C5572" t="str">
            <v>ud</v>
          </cell>
          <cell r="D5572">
            <v>0</v>
          </cell>
          <cell r="E5572">
            <v>986.68</v>
          </cell>
          <cell r="F5572">
            <v>986.68</v>
          </cell>
        </row>
        <row r="5573">
          <cell r="A5573" t="str">
            <v>223519</v>
          </cell>
          <cell r="B5573" t="str">
            <v>Te FD BBB JE/JE2GS DN300x250 linha esgoto</v>
          </cell>
          <cell r="C5573" t="str">
            <v>ud</v>
          </cell>
          <cell r="D5573">
            <v>0</v>
          </cell>
          <cell r="E5573">
            <v>1070.18</v>
          </cell>
          <cell r="F5573">
            <v>1070.18</v>
          </cell>
        </row>
        <row r="5574">
          <cell r="A5574" t="str">
            <v>223520</v>
          </cell>
          <cell r="B5574" t="str">
            <v xml:space="preserve">Te FD BBB JE/JE2GS DN300x300 linha esgoto </v>
          </cell>
          <cell r="C5574" t="str">
            <v>ud</v>
          </cell>
          <cell r="D5574">
            <v>0</v>
          </cell>
          <cell r="E5574">
            <v>1137.9100000000001</v>
          </cell>
          <cell r="F5574">
            <v>1137.9100000000001</v>
          </cell>
        </row>
        <row r="5575">
          <cell r="A5575" t="str">
            <v>223521</v>
          </cell>
          <cell r="B5575" t="str">
            <v>Te FD BBB JE/JE2GS DN350x100 linha esgoto</v>
          </cell>
          <cell r="C5575" t="str">
            <v>ud</v>
          </cell>
          <cell r="D5575">
            <v>0</v>
          </cell>
          <cell r="E5575">
            <v>1257.26</v>
          </cell>
          <cell r="F5575">
            <v>1257.26</v>
          </cell>
        </row>
        <row r="5576">
          <cell r="A5576" t="str">
            <v>223522</v>
          </cell>
          <cell r="B5576" t="str">
            <v>Te FD BBB JE/JE2GS DN350x250 linha esgoto</v>
          </cell>
          <cell r="C5576" t="str">
            <v>ud</v>
          </cell>
          <cell r="D5576">
            <v>0</v>
          </cell>
        </row>
        <row r="5577">
          <cell r="A5577" t="str">
            <v>223523</v>
          </cell>
          <cell r="B5577" t="str">
            <v>Te FD BBB JE/JE2GS DN400x80 linha esgoto</v>
          </cell>
          <cell r="C5577" t="str">
            <v>ud</v>
          </cell>
          <cell r="D5577">
            <v>0</v>
          </cell>
        </row>
        <row r="5578">
          <cell r="A5578" t="str">
            <v>223524</v>
          </cell>
          <cell r="B5578" t="str">
            <v>Te FD BBB JE/JE2GS DN400x100 linha esgoto</v>
          </cell>
          <cell r="C5578" t="str">
            <v>ud</v>
          </cell>
          <cell r="D5578">
            <v>0</v>
          </cell>
          <cell r="E5578">
            <v>1293.03</v>
          </cell>
          <cell r="F5578">
            <v>1293.03</v>
          </cell>
        </row>
        <row r="5579">
          <cell r="A5579" t="str">
            <v>223525</v>
          </cell>
          <cell r="B5579" t="str">
            <v>Te FD BBB JE/JE2GS DN400x200 linha esgoto</v>
          </cell>
          <cell r="C5579" t="str">
            <v>ud</v>
          </cell>
          <cell r="D5579">
            <v>0</v>
          </cell>
          <cell r="E5579">
            <v>1519.77</v>
          </cell>
          <cell r="F5579">
            <v>1519.77</v>
          </cell>
        </row>
        <row r="5580">
          <cell r="A5580" t="str">
            <v>223526</v>
          </cell>
          <cell r="B5580" t="str">
            <v>Te FD BBB JE/JE2GS DN400x300 linha esgoto</v>
          </cell>
          <cell r="C5580" t="str">
            <v>ud</v>
          </cell>
          <cell r="D5580">
            <v>0</v>
          </cell>
          <cell r="E5580">
            <v>1742.6</v>
          </cell>
          <cell r="F5580">
            <v>1742.6</v>
          </cell>
        </row>
        <row r="5581">
          <cell r="A5581" t="str">
            <v>223527</v>
          </cell>
          <cell r="B5581" t="str">
            <v>Te FD BBB JE/JE2GS DN400x400 linha esgoto</v>
          </cell>
          <cell r="C5581" t="str">
            <v>ud</v>
          </cell>
          <cell r="D5581">
            <v>0</v>
          </cell>
          <cell r="E5581">
            <v>1962.02</v>
          </cell>
          <cell r="F5581">
            <v>1962.02</v>
          </cell>
        </row>
        <row r="5582">
          <cell r="A5582" t="str">
            <v>223528</v>
          </cell>
          <cell r="B5582" t="str">
            <v>Te FD BBB JE/JE2GS DN500x100 linha esgoto</v>
          </cell>
          <cell r="C5582" t="str">
            <v>ud</v>
          </cell>
          <cell r="D5582">
            <v>0</v>
          </cell>
          <cell r="E5582">
            <v>1798.29</v>
          </cell>
          <cell r="F5582">
            <v>1798.29</v>
          </cell>
        </row>
        <row r="5583">
          <cell r="A5583" t="str">
            <v>223529</v>
          </cell>
          <cell r="B5583" t="str">
            <v xml:space="preserve">Te FD BBB JE/JE2GS DN500x200 linha esgoto </v>
          </cell>
          <cell r="C5583" t="str">
            <v>ud</v>
          </cell>
          <cell r="D5583">
            <v>0</v>
          </cell>
          <cell r="E5583">
            <v>2275.71</v>
          </cell>
          <cell r="F5583">
            <v>2275.71</v>
          </cell>
        </row>
        <row r="5584">
          <cell r="A5584" t="str">
            <v>223530</v>
          </cell>
          <cell r="B5584" t="str">
            <v>Te FD BBB JE/JE2GS DN500x300 linha esgoto</v>
          </cell>
          <cell r="C5584" t="str">
            <v>ud</v>
          </cell>
          <cell r="D5584">
            <v>0</v>
          </cell>
        </row>
        <row r="5585">
          <cell r="A5585" t="str">
            <v>223531</v>
          </cell>
          <cell r="B5585" t="str">
            <v xml:space="preserve">Te FD BBB JE/JE2GS DN500x400 linha esgoto </v>
          </cell>
          <cell r="C5585" t="str">
            <v>ud</v>
          </cell>
          <cell r="D5585">
            <v>0</v>
          </cell>
        </row>
        <row r="5586">
          <cell r="A5586" t="str">
            <v>223532</v>
          </cell>
          <cell r="B5586" t="str">
            <v xml:space="preserve">Te FD BBB JE/JE2GS DN500x500 linha esgoto </v>
          </cell>
          <cell r="C5586" t="str">
            <v>ud</v>
          </cell>
          <cell r="D5586">
            <v>0</v>
          </cell>
          <cell r="E5586">
            <v>3926.82</v>
          </cell>
          <cell r="F5586">
            <v>3926.82</v>
          </cell>
        </row>
        <row r="5587">
          <cell r="A5587" t="str">
            <v>223533</v>
          </cell>
          <cell r="B5587" t="str">
            <v>Te FD BBB JE/JE2GS DN600x100 linha esgoto</v>
          </cell>
          <cell r="C5587" t="str">
            <v>ud</v>
          </cell>
          <cell r="D5587">
            <v>0</v>
          </cell>
        </row>
        <row r="5588">
          <cell r="A5588" t="str">
            <v>223534</v>
          </cell>
          <cell r="B5588" t="str">
            <v xml:space="preserve">Te FD BBB JE/JE2GS DN600x200 linha esgoto </v>
          </cell>
          <cell r="C5588" t="str">
            <v>ud</v>
          </cell>
          <cell r="D5588">
            <v>0</v>
          </cell>
        </row>
        <row r="5589">
          <cell r="A5589" t="str">
            <v>223535</v>
          </cell>
          <cell r="B5589" t="str">
            <v>Te FD BBB JE/JE2GS DN600x300 linha esgoto</v>
          </cell>
          <cell r="C5589" t="str">
            <v>ud</v>
          </cell>
          <cell r="D5589">
            <v>0</v>
          </cell>
          <cell r="E5589">
            <v>4237.13</v>
          </cell>
          <cell r="F5589">
            <v>4237.13</v>
          </cell>
        </row>
        <row r="5590">
          <cell r="A5590" t="str">
            <v>223536</v>
          </cell>
          <cell r="B5590" t="str">
            <v>Te FD BBB JE/JE2GS DN600x400 linha esgoto</v>
          </cell>
          <cell r="C5590" t="str">
            <v>ud</v>
          </cell>
          <cell r="D5590">
            <v>0</v>
          </cell>
          <cell r="E5590">
            <v>4455.96</v>
          </cell>
          <cell r="F5590">
            <v>4455.96</v>
          </cell>
        </row>
        <row r="5591">
          <cell r="A5591" t="str">
            <v>223537</v>
          </cell>
          <cell r="B5591" t="str">
            <v xml:space="preserve">Te FD BBB JE/JE2GS DN600x500 linha esgoto </v>
          </cell>
          <cell r="C5591" t="str">
            <v>ud</v>
          </cell>
          <cell r="D5591">
            <v>0</v>
          </cell>
          <cell r="E5591">
            <v>5351.12</v>
          </cell>
          <cell r="F5591">
            <v>5351.12</v>
          </cell>
        </row>
        <row r="5592">
          <cell r="A5592" t="str">
            <v>223538</v>
          </cell>
          <cell r="B5592" t="str">
            <v>Te FD BBB JE/JE2GS DN600x600 linha esgoto</v>
          </cell>
          <cell r="C5592" t="str">
            <v>ud</v>
          </cell>
          <cell r="D5592">
            <v>0</v>
          </cell>
          <cell r="E5592">
            <v>5721.15</v>
          </cell>
          <cell r="F5592">
            <v>5721.15</v>
          </cell>
        </row>
        <row r="5593">
          <cell r="A5593" t="str">
            <v>2236</v>
          </cell>
          <cell r="B5593" t="str">
            <v>TE FD JE/JE2GS COM FLANGE</v>
          </cell>
        </row>
        <row r="5594">
          <cell r="A5594" t="str">
            <v>223621</v>
          </cell>
          <cell r="B5594" t="str">
            <v>Te FD BBF JE/JE2GS PN-10 DN300x300 linha esgoto</v>
          </cell>
          <cell r="C5594" t="str">
            <v>ud</v>
          </cell>
          <cell r="D5594">
            <v>0</v>
          </cell>
          <cell r="E5594">
            <v>1524.21</v>
          </cell>
          <cell r="F5594">
            <v>1524.21</v>
          </cell>
        </row>
        <row r="5595">
          <cell r="A5595" t="str">
            <v>223622</v>
          </cell>
          <cell r="B5595" t="str">
            <v>Te FD BBF JE/JE2GS PN-10 DN350x100 linha esgoto</v>
          </cell>
          <cell r="C5595" t="str">
            <v>ud</v>
          </cell>
          <cell r="D5595">
            <v>0</v>
          </cell>
          <cell r="E5595">
            <v>1002.59</v>
          </cell>
          <cell r="F5595">
            <v>1002.59</v>
          </cell>
        </row>
        <row r="5596">
          <cell r="A5596" t="str">
            <v>223623</v>
          </cell>
          <cell r="B5596" t="str">
            <v>Te FD BBF JE/JE2GS PN-10 DN350x200 linha esgoto</v>
          </cell>
          <cell r="C5596" t="str">
            <v>ud</v>
          </cell>
          <cell r="D5596">
            <v>0</v>
          </cell>
        </row>
        <row r="5597">
          <cell r="A5597" t="str">
            <v>223624</v>
          </cell>
          <cell r="B5597" t="str">
            <v>Te FD BBF JE/JE2GS PN-10 DN350x350 linha esgoto</v>
          </cell>
          <cell r="C5597" t="str">
            <v>ud</v>
          </cell>
          <cell r="D5597">
            <v>0</v>
          </cell>
        </row>
        <row r="5598">
          <cell r="A5598" t="str">
            <v>223625</v>
          </cell>
          <cell r="B5598" t="str">
            <v>Te FD BBF JE/JE2GS PN-10 DN400x200 linha esgoto</v>
          </cell>
          <cell r="C5598" t="str">
            <v>ud</v>
          </cell>
          <cell r="D5598">
            <v>0</v>
          </cell>
          <cell r="E5598">
            <v>1571.53</v>
          </cell>
          <cell r="F5598">
            <v>1571.53</v>
          </cell>
        </row>
        <row r="5599">
          <cell r="A5599" t="str">
            <v>223626</v>
          </cell>
          <cell r="B5599" t="str">
            <v>Te FD BBF JE/JE2GS PN-10 DN400x300 linha esgoto</v>
          </cell>
          <cell r="C5599" t="str">
            <v>ud</v>
          </cell>
          <cell r="D5599">
            <v>0</v>
          </cell>
        </row>
        <row r="5600">
          <cell r="A5600" t="str">
            <v>223627</v>
          </cell>
          <cell r="B5600" t="str">
            <v xml:space="preserve">Te FD BBF JE/JE2GS PN-10 DN400x400 linha esgoto </v>
          </cell>
          <cell r="C5600" t="str">
            <v>ud</v>
          </cell>
          <cell r="D5600">
            <v>0</v>
          </cell>
        </row>
        <row r="5601">
          <cell r="A5601" t="str">
            <v>223628</v>
          </cell>
          <cell r="B5601" t="str">
            <v>Te FD BBF JE/JE2GS PN-10 DN500x200 linha esgoto</v>
          </cell>
          <cell r="C5601" t="str">
            <v>ud</v>
          </cell>
          <cell r="D5601">
            <v>0</v>
          </cell>
          <cell r="E5601">
            <v>2538.33</v>
          </cell>
          <cell r="F5601">
            <v>2538.33</v>
          </cell>
        </row>
        <row r="5602">
          <cell r="A5602" t="str">
            <v>223629</v>
          </cell>
          <cell r="B5602" t="str">
            <v>Te FD BBF JE/JE2GS PN-10 DN500x300 linha esgoto</v>
          </cell>
          <cell r="C5602" t="str">
            <v>ud</v>
          </cell>
          <cell r="D5602">
            <v>0</v>
          </cell>
          <cell r="E5602">
            <v>0</v>
          </cell>
          <cell r="F5602">
            <v>0</v>
          </cell>
        </row>
        <row r="5603">
          <cell r="A5603" t="str">
            <v>223630</v>
          </cell>
          <cell r="B5603" t="str">
            <v>Te FD BBF JE/JE2GS PN-10 DN500x400 linha esgoto</v>
          </cell>
          <cell r="C5603" t="str">
            <v>ud</v>
          </cell>
          <cell r="D5603">
            <v>0</v>
          </cell>
          <cell r="E5603">
            <v>0</v>
          </cell>
          <cell r="F5603">
            <v>0</v>
          </cell>
        </row>
        <row r="5604">
          <cell r="A5604" t="str">
            <v>223631</v>
          </cell>
          <cell r="B5604" t="str">
            <v>Te FD BBF JE/JE2GS PN-10 DN500x500 linha esgoto</v>
          </cell>
          <cell r="C5604" t="str">
            <v>ud</v>
          </cell>
          <cell r="D5604">
            <v>0</v>
          </cell>
          <cell r="E5604">
            <v>0</v>
          </cell>
          <cell r="F5604">
            <v>0</v>
          </cell>
        </row>
        <row r="5605">
          <cell r="A5605" t="str">
            <v>223632</v>
          </cell>
          <cell r="B5605" t="str">
            <v>Te FD BBF JE/JE2GS PN-10 DN600x200 linha esgoto</v>
          </cell>
          <cell r="C5605" t="str">
            <v>ud</v>
          </cell>
          <cell r="D5605">
            <v>0</v>
          </cell>
          <cell r="E5605">
            <v>2844.64</v>
          </cell>
          <cell r="F5605">
            <v>2844.64</v>
          </cell>
        </row>
        <row r="5606">
          <cell r="A5606" t="str">
            <v>223633</v>
          </cell>
          <cell r="B5606" t="str">
            <v>Te FD BBF JE/JE2GS PN-10 DN600x300 linha esgoto</v>
          </cell>
          <cell r="C5606" t="str">
            <v>ud</v>
          </cell>
          <cell r="D5606">
            <v>0</v>
          </cell>
          <cell r="E5606">
            <v>0</v>
          </cell>
          <cell r="F5606">
            <v>0</v>
          </cell>
        </row>
        <row r="5607">
          <cell r="A5607" t="str">
            <v>223634</v>
          </cell>
          <cell r="B5607" t="str">
            <v>Te FD BBF JE/JE2GS PN-10 DN600x400 linha esgoto</v>
          </cell>
          <cell r="C5607" t="str">
            <v>ud</v>
          </cell>
          <cell r="D5607">
            <v>0</v>
          </cell>
          <cell r="E5607">
            <v>0</v>
          </cell>
          <cell r="F5607">
            <v>0</v>
          </cell>
        </row>
        <row r="5608">
          <cell r="A5608" t="str">
            <v>223635</v>
          </cell>
          <cell r="B5608" t="str">
            <v>Te FD BBF JE/JE2GS PN-10 DN600x600 linha esgoto</v>
          </cell>
          <cell r="C5608" t="str">
            <v>ud</v>
          </cell>
          <cell r="D5608">
            <v>0</v>
          </cell>
          <cell r="E5608">
            <v>0</v>
          </cell>
          <cell r="F5608">
            <v>0</v>
          </cell>
        </row>
        <row r="5609">
          <cell r="A5609" t="str">
            <v>223636</v>
          </cell>
          <cell r="B5609" t="str">
            <v>Te FD BBF JE/JE2GS PN-10 DN700x600 linha esgoto</v>
          </cell>
          <cell r="C5609" t="str">
            <v>ud</v>
          </cell>
          <cell r="D5609">
            <v>0</v>
          </cell>
          <cell r="E5609">
            <v>7957.05</v>
          </cell>
          <cell r="F5609">
            <v>7957.05</v>
          </cell>
        </row>
        <row r="5610">
          <cell r="A5610" t="str">
            <v>223637</v>
          </cell>
          <cell r="B5610" t="str">
            <v>Te FD BBF JE/JE2GS PN-10 DN700x700 linha esgoto</v>
          </cell>
          <cell r="C5610" t="str">
            <v>ud</v>
          </cell>
          <cell r="D5610">
            <v>0</v>
          </cell>
        </row>
        <row r="5611">
          <cell r="A5611" t="str">
            <v>223638</v>
          </cell>
          <cell r="B5611" t="str">
            <v>Te FD BBF JE/JE2GS PN-10 DN800x200 linha esgoto</v>
          </cell>
          <cell r="C5611" t="str">
            <v>ud</v>
          </cell>
          <cell r="D5611">
            <v>0</v>
          </cell>
          <cell r="E5611">
            <v>0</v>
          </cell>
          <cell r="F5611">
            <v>0</v>
          </cell>
        </row>
        <row r="5612">
          <cell r="A5612" t="str">
            <v>223639</v>
          </cell>
          <cell r="B5612" t="str">
            <v>Te FD BBF JE/JE2GS PN-10 DN800x400 linha esgoto</v>
          </cell>
          <cell r="C5612" t="str">
            <v>ud</v>
          </cell>
          <cell r="D5612">
            <v>0</v>
          </cell>
          <cell r="E5612">
            <v>0</v>
          </cell>
          <cell r="F5612">
            <v>0</v>
          </cell>
        </row>
        <row r="5613">
          <cell r="A5613" t="str">
            <v>223640</v>
          </cell>
          <cell r="B5613" t="str">
            <v>Te FD BBF JE/JE2GS PN-10 DN800x600 linha esgoto</v>
          </cell>
          <cell r="C5613" t="str">
            <v>ud</v>
          </cell>
          <cell r="D5613">
            <v>0</v>
          </cell>
          <cell r="E5613">
            <v>0</v>
          </cell>
          <cell r="F5613">
            <v>0</v>
          </cell>
        </row>
        <row r="5614">
          <cell r="A5614" t="str">
            <v>223641</v>
          </cell>
          <cell r="B5614" t="str">
            <v>Te FD BBF JE/JE2GS PN-10 DN800x800 linha esgoto</v>
          </cell>
          <cell r="C5614" t="str">
            <v>ud</v>
          </cell>
          <cell r="D5614">
            <v>0</v>
          </cell>
          <cell r="E5614">
            <v>0</v>
          </cell>
          <cell r="F5614">
            <v>0</v>
          </cell>
        </row>
        <row r="5615">
          <cell r="A5615" t="str">
            <v>223642</v>
          </cell>
          <cell r="B5615" t="str">
            <v xml:space="preserve">Te FD BBF JE/JE2GS PN-10 DN900x200 linha esgoto </v>
          </cell>
          <cell r="C5615" t="str">
            <v>ud</v>
          </cell>
          <cell r="D5615">
            <v>0</v>
          </cell>
          <cell r="E5615">
            <v>0</v>
          </cell>
          <cell r="F5615">
            <v>0</v>
          </cell>
        </row>
        <row r="5616">
          <cell r="A5616" t="str">
            <v>223643</v>
          </cell>
          <cell r="B5616" t="str">
            <v>Te FD BBF JE/JE2GS PN-10 DN900x400 linha esgoto</v>
          </cell>
          <cell r="C5616" t="str">
            <v>ud</v>
          </cell>
          <cell r="D5616">
            <v>0</v>
          </cell>
          <cell r="E5616">
            <v>0</v>
          </cell>
          <cell r="F5616">
            <v>0</v>
          </cell>
        </row>
        <row r="5617">
          <cell r="A5617" t="str">
            <v>223644</v>
          </cell>
          <cell r="B5617" t="str">
            <v>Te FD BBF JE/JE2GS PN-10 DN900x600 linha esgoto</v>
          </cell>
          <cell r="C5617" t="str">
            <v>ud</v>
          </cell>
          <cell r="D5617">
            <v>0</v>
          </cell>
          <cell r="E5617">
            <v>0</v>
          </cell>
          <cell r="F5617">
            <v>0</v>
          </cell>
        </row>
        <row r="5618">
          <cell r="A5618" t="str">
            <v>223645</v>
          </cell>
          <cell r="B5618" t="str">
            <v xml:space="preserve">Te FD BBF JE/JE2GS PN-10 DN900x800 linha esgoto </v>
          </cell>
          <cell r="C5618" t="str">
            <v>ud</v>
          </cell>
          <cell r="D5618">
            <v>0</v>
          </cell>
          <cell r="E5618">
            <v>0</v>
          </cell>
          <cell r="F5618">
            <v>0</v>
          </cell>
        </row>
        <row r="5619">
          <cell r="A5619" t="str">
            <v>223646</v>
          </cell>
          <cell r="B5619" t="str">
            <v xml:space="preserve">Te FD BBF JE/JE2GS PN-10 DN900x900 linha esgoto </v>
          </cell>
          <cell r="C5619" t="str">
            <v>ud</v>
          </cell>
          <cell r="D5619">
            <v>0</v>
          </cell>
          <cell r="E5619">
            <v>0</v>
          </cell>
          <cell r="F5619">
            <v>0</v>
          </cell>
        </row>
        <row r="5620">
          <cell r="A5620" t="str">
            <v>223647</v>
          </cell>
          <cell r="B5620" t="str">
            <v>Te FD BBF JE/JE2GS PN-10 DN1000x200 linha esgoto</v>
          </cell>
          <cell r="C5620" t="str">
            <v>ud</v>
          </cell>
          <cell r="D5620">
            <v>0</v>
          </cell>
          <cell r="E5620">
            <v>0</v>
          </cell>
          <cell r="F5620">
            <v>0</v>
          </cell>
        </row>
        <row r="5621">
          <cell r="A5621" t="str">
            <v>223648</v>
          </cell>
          <cell r="B5621" t="str">
            <v>Te FD BBF JE/JE2GS PN-10 DN1000x400 linha esgoto</v>
          </cell>
          <cell r="C5621" t="str">
            <v>ud</v>
          </cell>
          <cell r="D5621">
            <v>0</v>
          </cell>
          <cell r="E5621">
            <v>0</v>
          </cell>
          <cell r="F5621">
            <v>0</v>
          </cell>
        </row>
        <row r="5622">
          <cell r="A5622" t="str">
            <v>223649</v>
          </cell>
          <cell r="B5622" t="str">
            <v>Te FD BBF JE/JE2GS PN-10 DN1000x600 linha esgoto</v>
          </cell>
          <cell r="C5622" t="str">
            <v>ud</v>
          </cell>
          <cell r="D5622">
            <v>0</v>
          </cell>
          <cell r="E5622">
            <v>0</v>
          </cell>
          <cell r="F5622">
            <v>0</v>
          </cell>
        </row>
        <row r="5623">
          <cell r="A5623" t="str">
            <v>223650</v>
          </cell>
          <cell r="B5623" t="str">
            <v xml:space="preserve">Te FD BBF JE/JE2GS PN-10 DN1000x800 linha esgoto </v>
          </cell>
          <cell r="C5623" t="str">
            <v>ud</v>
          </cell>
          <cell r="D5623">
            <v>0</v>
          </cell>
          <cell r="E5623">
            <v>0</v>
          </cell>
          <cell r="F5623">
            <v>0</v>
          </cell>
        </row>
        <row r="5624">
          <cell r="A5624" t="str">
            <v>223651</v>
          </cell>
          <cell r="B5624" t="str">
            <v>Te FD BBF JE/JE2GS PN-10 DN1000x1000 linha esgoto</v>
          </cell>
          <cell r="C5624" t="str">
            <v>ud</v>
          </cell>
          <cell r="D5624">
            <v>0</v>
          </cell>
          <cell r="E5624">
            <v>0</v>
          </cell>
          <cell r="F5624">
            <v>0</v>
          </cell>
        </row>
        <row r="5625">
          <cell r="A5625" t="str">
            <v>223652</v>
          </cell>
          <cell r="B5625" t="str">
            <v xml:space="preserve">Te FD BBF JE/JE2GS PN-10 DN1200x200 linha esgoto </v>
          </cell>
          <cell r="C5625" t="str">
            <v>ud</v>
          </cell>
          <cell r="D5625">
            <v>0</v>
          </cell>
          <cell r="E5625">
            <v>0</v>
          </cell>
          <cell r="F5625">
            <v>0</v>
          </cell>
        </row>
        <row r="5626">
          <cell r="A5626" t="str">
            <v>223653</v>
          </cell>
          <cell r="B5626" t="str">
            <v>Te FD BBF JE/JE2GS PN-10 DN1200x400 linha esgoto</v>
          </cell>
          <cell r="C5626" t="str">
            <v>ud</v>
          </cell>
          <cell r="D5626">
            <v>0</v>
          </cell>
          <cell r="E5626">
            <v>0</v>
          </cell>
          <cell r="F5626">
            <v>0</v>
          </cell>
        </row>
        <row r="5627">
          <cell r="A5627" t="str">
            <v>223654</v>
          </cell>
          <cell r="B5627" t="str">
            <v>Te FD BBF JE/JE2GS PN-10 DN1200x600 linha esgoto</v>
          </cell>
          <cell r="C5627" t="str">
            <v>ud</v>
          </cell>
          <cell r="D5627">
            <v>0</v>
          </cell>
        </row>
        <row r="5628">
          <cell r="A5628" t="str">
            <v>223655</v>
          </cell>
          <cell r="B5628" t="str">
            <v>Te FD BBF JE/JE2GS PN-10 DN1200x800 linha esgoto</v>
          </cell>
          <cell r="C5628" t="str">
            <v>ud</v>
          </cell>
          <cell r="D5628">
            <v>0</v>
          </cell>
          <cell r="E5628">
            <v>0</v>
          </cell>
          <cell r="F5628">
            <v>0</v>
          </cell>
        </row>
        <row r="5629">
          <cell r="A5629" t="str">
            <v>223656</v>
          </cell>
          <cell r="B5629" t="str">
            <v xml:space="preserve">Te FD BBF JE/JE2GS PN-10 DN1200x1000 linha esgoto </v>
          </cell>
          <cell r="C5629" t="str">
            <v>ud</v>
          </cell>
          <cell r="D5629">
            <v>0</v>
          </cell>
          <cell r="E5629">
            <v>0</v>
          </cell>
          <cell r="F5629">
            <v>0</v>
          </cell>
        </row>
        <row r="5630">
          <cell r="A5630" t="str">
            <v>223657</v>
          </cell>
          <cell r="B5630" t="str">
            <v xml:space="preserve">Te FD BBF JE/JE2GS PN-10 DN1200x1200 linha esgoto </v>
          </cell>
          <cell r="C5630" t="str">
            <v>ud</v>
          </cell>
          <cell r="D5630">
            <v>0</v>
          </cell>
          <cell r="E5630">
            <v>0</v>
          </cell>
          <cell r="F5630">
            <v>0</v>
          </cell>
        </row>
        <row r="5631">
          <cell r="A5631" t="str">
            <v>223658</v>
          </cell>
          <cell r="B5631" t="str">
            <v xml:space="preserve">Te FD BBF JE/JE2GS PN-16 DN80x50 linha esgoto </v>
          </cell>
          <cell r="C5631" t="str">
            <v>ud</v>
          </cell>
          <cell r="D5631">
            <v>0</v>
          </cell>
          <cell r="E5631">
            <v>182.99</v>
          </cell>
          <cell r="F5631">
            <v>182.99</v>
          </cell>
        </row>
        <row r="5632">
          <cell r="A5632" t="str">
            <v>223659</v>
          </cell>
          <cell r="B5632" t="str">
            <v>Te FD BBF JE/JE2GS PN-16 DN80x80 linha esgoto</v>
          </cell>
          <cell r="C5632" t="str">
            <v>ud</v>
          </cell>
          <cell r="D5632">
            <v>0</v>
          </cell>
          <cell r="E5632">
            <v>230.76</v>
          </cell>
          <cell r="F5632">
            <v>230.76</v>
          </cell>
        </row>
        <row r="5633">
          <cell r="A5633" t="str">
            <v>223660</v>
          </cell>
          <cell r="B5633" t="str">
            <v>Te FD BBF JE/JE2GS PN-16 DN100x80 linha esgoto</v>
          </cell>
          <cell r="C5633" t="str">
            <v>ud</v>
          </cell>
          <cell r="D5633">
            <v>0</v>
          </cell>
          <cell r="E5633">
            <v>281.41000000000003</v>
          </cell>
          <cell r="F5633">
            <v>281.41000000000003</v>
          </cell>
        </row>
        <row r="5634">
          <cell r="A5634" t="str">
            <v>223661</v>
          </cell>
          <cell r="B5634" t="str">
            <v>Te FD BBF JE/JE2GS PN-16 DN100x100 linha esgoto</v>
          </cell>
          <cell r="C5634" t="str">
            <v>ud</v>
          </cell>
          <cell r="D5634">
            <v>0</v>
          </cell>
          <cell r="E5634">
            <v>297.02999999999997</v>
          </cell>
          <cell r="F5634">
            <v>297.02999999999997</v>
          </cell>
        </row>
        <row r="5635">
          <cell r="A5635" t="str">
            <v>223662</v>
          </cell>
          <cell r="B5635" t="str">
            <v xml:space="preserve">Te FD BBF JE/JE2GS PN-16 DN150x80 linha esgoto </v>
          </cell>
          <cell r="C5635" t="str">
            <v>ud</v>
          </cell>
          <cell r="D5635">
            <v>0</v>
          </cell>
          <cell r="E5635">
            <v>286.44</v>
          </cell>
          <cell r="F5635">
            <v>286.44</v>
          </cell>
        </row>
        <row r="5636">
          <cell r="A5636" t="str">
            <v>223663</v>
          </cell>
          <cell r="B5636" t="str">
            <v>Te FD BBF JE/JE2GS PN-16 DN150x100 linha esgoto</v>
          </cell>
          <cell r="C5636" t="str">
            <v>ud</v>
          </cell>
          <cell r="D5636">
            <v>0</v>
          </cell>
          <cell r="E5636">
            <v>312.67</v>
          </cell>
          <cell r="F5636">
            <v>312.67</v>
          </cell>
        </row>
        <row r="5637">
          <cell r="A5637" t="str">
            <v>223664</v>
          </cell>
          <cell r="B5637" t="str">
            <v>Te FD BBF JE/JE2GS PN-16 DN150x150 linha esgoto</v>
          </cell>
          <cell r="C5637" t="str">
            <v>ud</v>
          </cell>
          <cell r="D5637">
            <v>0</v>
          </cell>
          <cell r="E5637">
            <v>515.9</v>
          </cell>
          <cell r="F5637">
            <v>515.9</v>
          </cell>
        </row>
        <row r="5638">
          <cell r="A5638" t="str">
            <v>223665</v>
          </cell>
          <cell r="B5638" t="str">
            <v>Te FD BBF JE/JE2GS PN-16 DN200x80 linha esgoto</v>
          </cell>
          <cell r="C5638" t="str">
            <v>ud</v>
          </cell>
          <cell r="D5638">
            <v>0</v>
          </cell>
          <cell r="E5638">
            <v>484.64</v>
          </cell>
          <cell r="F5638">
            <v>484.64</v>
          </cell>
        </row>
        <row r="5639">
          <cell r="A5639" t="str">
            <v>223666</v>
          </cell>
          <cell r="B5639" t="str">
            <v>Te FD BBF JE/JE2GS PN-16 DN200x100 linha esgoto</v>
          </cell>
          <cell r="C5639" t="str">
            <v>ud</v>
          </cell>
          <cell r="D5639">
            <v>0</v>
          </cell>
          <cell r="E5639">
            <v>493.29</v>
          </cell>
          <cell r="F5639">
            <v>493.29</v>
          </cell>
        </row>
        <row r="5640">
          <cell r="A5640" t="str">
            <v>223667</v>
          </cell>
          <cell r="B5640" t="str">
            <v>Te FD BBF JE/JE2GS PN-16 DN200x150 linha esgoto</v>
          </cell>
          <cell r="C5640" t="str">
            <v>ud</v>
          </cell>
          <cell r="D5640">
            <v>0</v>
          </cell>
        </row>
        <row r="5641">
          <cell r="A5641" t="str">
            <v>223669</v>
          </cell>
          <cell r="B5641" t="str">
            <v>Te FD BBF JE/JE2GS PN-16 DN250x80 linha esgoto</v>
          </cell>
          <cell r="C5641" t="str">
            <v>ud</v>
          </cell>
          <cell r="D5641">
            <v>0</v>
          </cell>
          <cell r="E5641">
            <v>572.88</v>
          </cell>
          <cell r="F5641">
            <v>572.88</v>
          </cell>
        </row>
        <row r="5642">
          <cell r="A5642" t="str">
            <v>223670</v>
          </cell>
          <cell r="B5642" t="str">
            <v>Te FD BBF JE/JE2GS PN-16 DN250x100 linha esgoto</v>
          </cell>
          <cell r="C5642" t="str">
            <v>ud</v>
          </cell>
          <cell r="D5642">
            <v>0</v>
          </cell>
          <cell r="E5642">
            <v>628.61</v>
          </cell>
          <cell r="F5642">
            <v>628.61</v>
          </cell>
        </row>
        <row r="5643">
          <cell r="A5643" t="str">
            <v>223601</v>
          </cell>
          <cell r="B5643" t="str">
            <v>Te FD BBF JE/JE2GS PN-10 DN80x50 linha esgoto</v>
          </cell>
          <cell r="C5643" t="str">
            <v>ud</v>
          </cell>
          <cell r="D5643">
            <v>0</v>
          </cell>
          <cell r="E5643">
            <v>182.99</v>
          </cell>
          <cell r="F5643">
            <v>182.99</v>
          </cell>
        </row>
        <row r="5644">
          <cell r="A5644" t="str">
            <v>223602</v>
          </cell>
          <cell r="B5644" t="str">
            <v>Te FD BBF JE/JE2GS PN-10 DN80x80 linha esgoto</v>
          </cell>
          <cell r="C5644" t="str">
            <v>ud</v>
          </cell>
          <cell r="D5644">
            <v>0</v>
          </cell>
          <cell r="E5644">
            <v>230.76</v>
          </cell>
          <cell r="F5644">
            <v>230.76</v>
          </cell>
        </row>
        <row r="5645">
          <cell r="A5645" t="str">
            <v>223603</v>
          </cell>
          <cell r="B5645" t="str">
            <v>Te FD BBF JE/JE2GS PN-10 DN100x80 linha esgoto</v>
          </cell>
          <cell r="C5645" t="str">
            <v>ud</v>
          </cell>
          <cell r="D5645">
            <v>0</v>
          </cell>
          <cell r="E5645">
            <v>281.41000000000003</v>
          </cell>
          <cell r="F5645">
            <v>281.41000000000003</v>
          </cell>
        </row>
        <row r="5646">
          <cell r="A5646" t="str">
            <v>223604</v>
          </cell>
          <cell r="B5646" t="str">
            <v>Te FD BBF JE/JE2GS PN-10 DN100x100 linha esgoto</v>
          </cell>
          <cell r="C5646" t="str">
            <v>ud</v>
          </cell>
          <cell r="D5646">
            <v>0</v>
          </cell>
          <cell r="E5646">
            <v>297.02999999999997</v>
          </cell>
          <cell r="F5646">
            <v>297.02999999999997</v>
          </cell>
        </row>
        <row r="5647">
          <cell r="A5647" t="str">
            <v>223605</v>
          </cell>
          <cell r="B5647" t="str">
            <v>Te FD BBF JE/JE2GS PN-10 DN150x80 linha esgoto</v>
          </cell>
          <cell r="C5647" t="str">
            <v>ud</v>
          </cell>
          <cell r="D5647">
            <v>0</v>
          </cell>
          <cell r="E5647">
            <v>286.44</v>
          </cell>
          <cell r="F5647">
            <v>286.44</v>
          </cell>
        </row>
        <row r="5648">
          <cell r="A5648" t="str">
            <v>223606</v>
          </cell>
          <cell r="B5648" t="str">
            <v>Te FD BBF JE/JE2GS PN-10 DN150x100 linha esgoto</v>
          </cell>
          <cell r="C5648" t="str">
            <v>ud</v>
          </cell>
          <cell r="D5648">
            <v>0</v>
          </cell>
          <cell r="E5648">
            <v>312.67</v>
          </cell>
          <cell r="F5648">
            <v>312.67</v>
          </cell>
        </row>
        <row r="5649">
          <cell r="A5649" t="str">
            <v>223607</v>
          </cell>
          <cell r="B5649" t="str">
            <v>Te FD BBF JE/JE2GS PN-10 DN150x150 linha esgoto</v>
          </cell>
          <cell r="C5649" t="str">
            <v>ud</v>
          </cell>
          <cell r="D5649">
            <v>0</v>
          </cell>
          <cell r="E5649">
            <v>515.9</v>
          </cell>
          <cell r="F5649">
            <v>515.9</v>
          </cell>
        </row>
        <row r="5650">
          <cell r="A5650" t="str">
            <v>223608</v>
          </cell>
          <cell r="B5650" t="str">
            <v>Te FD BBF JE/JE2GS PN-10 DN200x80 linha esgoto</v>
          </cell>
          <cell r="C5650" t="str">
            <v>ud</v>
          </cell>
          <cell r="D5650">
            <v>0</v>
          </cell>
          <cell r="E5650">
            <v>484.64</v>
          </cell>
          <cell r="F5650">
            <v>484.64</v>
          </cell>
        </row>
        <row r="5651">
          <cell r="A5651" t="str">
            <v>223609</v>
          </cell>
          <cell r="B5651" t="str">
            <v>Te FD BBF JE/JE2GS PN-10 DN200x100 linha esgoto</v>
          </cell>
          <cell r="C5651" t="str">
            <v>ud</v>
          </cell>
          <cell r="D5651">
            <v>0</v>
          </cell>
          <cell r="E5651">
            <v>493.29</v>
          </cell>
          <cell r="F5651">
            <v>493.29</v>
          </cell>
        </row>
        <row r="5652">
          <cell r="A5652" t="str">
            <v>223610</v>
          </cell>
          <cell r="B5652" t="str">
            <v>Te FD BBF JE/JE2GS PN-10 DN200x150 linha esgoto</v>
          </cell>
          <cell r="C5652" t="str">
            <v>ud</v>
          </cell>
          <cell r="D5652">
            <v>0</v>
          </cell>
        </row>
        <row r="5653">
          <cell r="A5653" t="str">
            <v>223611</v>
          </cell>
          <cell r="B5653" t="str">
            <v>Te FD BBF JE/JE2GS PN-10 DN200x200 linha esgoto</v>
          </cell>
          <cell r="C5653" t="str">
            <v>ud</v>
          </cell>
          <cell r="D5653">
            <v>0</v>
          </cell>
          <cell r="E5653">
            <v>706.54</v>
          </cell>
          <cell r="F5653">
            <v>706.54</v>
          </cell>
        </row>
        <row r="5654">
          <cell r="A5654" t="str">
            <v>223612</v>
          </cell>
          <cell r="B5654" t="str">
            <v>Te FD BBF JE/JE2GS PN-10 DN250x80 linha esgoto</v>
          </cell>
          <cell r="C5654" t="str">
            <v>ud</v>
          </cell>
          <cell r="D5654">
            <v>0</v>
          </cell>
          <cell r="E5654">
            <v>572.88</v>
          </cell>
          <cell r="F5654">
            <v>572.88</v>
          </cell>
        </row>
        <row r="5655">
          <cell r="A5655" t="str">
            <v>223613</v>
          </cell>
          <cell r="B5655" t="str">
            <v>Te FD BBF JE/JE2GS PN-10 DN250x100 linha esgoto</v>
          </cell>
          <cell r="C5655" t="str">
            <v>ud</v>
          </cell>
          <cell r="D5655">
            <v>0</v>
          </cell>
          <cell r="E5655">
            <v>628.61</v>
          </cell>
          <cell r="F5655">
            <v>628.61</v>
          </cell>
        </row>
        <row r="5656">
          <cell r="A5656" t="str">
            <v>223616</v>
          </cell>
          <cell r="B5656" t="str">
            <v>Te FD BBF JE/JE2GS PN-10 DN250x250 linha esgoto</v>
          </cell>
          <cell r="C5656" t="str">
            <v>ud</v>
          </cell>
          <cell r="D5656">
            <v>0</v>
          </cell>
        </row>
        <row r="5657">
          <cell r="A5657" t="str">
            <v>223617</v>
          </cell>
          <cell r="B5657" t="str">
            <v>Te FD BBF JE/JE2GS PN-10 DN300x100 linha esgoto</v>
          </cell>
          <cell r="C5657" t="str">
            <v>ud</v>
          </cell>
          <cell r="D5657">
            <v>0</v>
          </cell>
          <cell r="E5657">
            <v>787.73</v>
          </cell>
          <cell r="F5657">
            <v>787.73</v>
          </cell>
        </row>
        <row r="5658">
          <cell r="A5658" t="str">
            <v>223619</v>
          </cell>
          <cell r="B5658" t="str">
            <v xml:space="preserve">Te FD BBF JE/JE2GS PN-10 DN300x200 linha esgoto </v>
          </cell>
          <cell r="C5658" t="str">
            <v>ud</v>
          </cell>
          <cell r="D5658">
            <v>0</v>
          </cell>
        </row>
        <row r="5659">
          <cell r="A5659" t="str">
            <v>223674</v>
          </cell>
          <cell r="B5659" t="str">
            <v>Te FD BBF JE/JE2GS PN-16 DN300x100 linha esgoto</v>
          </cell>
          <cell r="C5659" t="str">
            <v>ud</v>
          </cell>
          <cell r="D5659">
            <v>0</v>
          </cell>
          <cell r="E5659">
            <v>787.73</v>
          </cell>
          <cell r="F5659">
            <v>787.73</v>
          </cell>
        </row>
        <row r="5660">
          <cell r="A5660" t="str">
            <v>223675</v>
          </cell>
          <cell r="B5660" t="str">
            <v>Te FD BBF JE/JE2GS PN-16 DN350x100 linha esgoto</v>
          </cell>
          <cell r="C5660" t="str">
            <v>ud</v>
          </cell>
          <cell r="D5660">
            <v>0</v>
          </cell>
          <cell r="E5660">
            <v>1002.59</v>
          </cell>
          <cell r="F5660">
            <v>1002.59</v>
          </cell>
        </row>
        <row r="5661">
          <cell r="A5661" t="str">
            <v>223676</v>
          </cell>
          <cell r="B5661" t="str">
            <v>Te FD BBF JE/JE2GS PN-16 DN400x100 linha esgoto</v>
          </cell>
          <cell r="C5661" t="str">
            <v>ud</v>
          </cell>
          <cell r="D5661">
            <v>0</v>
          </cell>
          <cell r="E5661">
            <v>1257.26</v>
          </cell>
          <cell r="F5661">
            <v>1257.26</v>
          </cell>
        </row>
        <row r="5662">
          <cell r="A5662" t="str">
            <v>223677</v>
          </cell>
          <cell r="B5662" t="str">
            <v>Te FD BBF JE/JE2GS PN-16 DN500x100 linha esgoto</v>
          </cell>
          <cell r="C5662" t="str">
            <v>ud</v>
          </cell>
          <cell r="D5662">
            <v>0</v>
          </cell>
          <cell r="E5662">
            <v>2188.1999999999998</v>
          </cell>
          <cell r="F5662">
            <v>2188.1999999999998</v>
          </cell>
        </row>
        <row r="5663">
          <cell r="A5663" t="str">
            <v>223678</v>
          </cell>
          <cell r="B5663" t="str">
            <v>Te FD BBF JE/JE2GS PN-16 DN600x100 linha esgoto</v>
          </cell>
          <cell r="C5663" t="str">
            <v>ud</v>
          </cell>
          <cell r="D5663">
            <v>0</v>
          </cell>
          <cell r="E5663">
            <v>2593.86</v>
          </cell>
          <cell r="F5663">
            <v>2593.86</v>
          </cell>
        </row>
        <row r="5664">
          <cell r="A5664" t="str">
            <v>2240</v>
          </cell>
          <cell r="B5664" t="str">
            <v>TE FD FF PN-10</v>
          </cell>
        </row>
        <row r="5665">
          <cell r="A5665" t="str">
            <v>224001</v>
          </cell>
          <cell r="B5665" t="str">
            <v>Te FD FFF PN-10 DN80x50 linha esgoto</v>
          </cell>
          <cell r="C5665" t="str">
            <v>ud</v>
          </cell>
          <cell r="D5665">
            <v>0</v>
          </cell>
          <cell r="E5665">
            <v>373.97</v>
          </cell>
          <cell r="F5665">
            <v>373.97</v>
          </cell>
        </row>
        <row r="5666">
          <cell r="A5666" t="str">
            <v>224002</v>
          </cell>
          <cell r="B5666" t="str">
            <v>Te FD FFF PN-10 DN80x80 linha esgoto (294133)</v>
          </cell>
          <cell r="C5666" t="str">
            <v>ud</v>
          </cell>
          <cell r="D5666">
            <v>0</v>
          </cell>
          <cell r="E5666">
            <v>381.97</v>
          </cell>
          <cell r="F5666">
            <v>381.97</v>
          </cell>
        </row>
        <row r="5667">
          <cell r="A5667" t="str">
            <v>224003</v>
          </cell>
          <cell r="B5667" t="str">
            <v>Te FD FFF PN-10 DN100x50 linha esgoto</v>
          </cell>
          <cell r="C5667" t="str">
            <v>ud</v>
          </cell>
          <cell r="D5667">
            <v>0</v>
          </cell>
          <cell r="E5667">
            <v>381.97</v>
          </cell>
          <cell r="F5667">
            <v>381.97</v>
          </cell>
        </row>
        <row r="5668">
          <cell r="A5668" t="str">
            <v>224004</v>
          </cell>
          <cell r="B5668" t="str">
            <v>Te FD FFF PN-10/16 DN100x80 linha esgoto</v>
          </cell>
          <cell r="C5668" t="str">
            <v>ud</v>
          </cell>
          <cell r="D5668">
            <v>0</v>
          </cell>
          <cell r="E5668">
            <v>381.97</v>
          </cell>
          <cell r="F5668">
            <v>381.97</v>
          </cell>
        </row>
        <row r="5669">
          <cell r="A5669" t="str">
            <v>224005</v>
          </cell>
          <cell r="B5669" t="str">
            <v>Te FD FFF PN-10 DN100x100 linha esgoto (286299)</v>
          </cell>
          <cell r="C5669" t="str">
            <v>ud</v>
          </cell>
          <cell r="D5669">
            <v>0</v>
          </cell>
          <cell r="E5669">
            <v>393.9</v>
          </cell>
          <cell r="F5669">
            <v>393.9</v>
          </cell>
        </row>
        <row r="5670">
          <cell r="A5670" t="str">
            <v>224006</v>
          </cell>
          <cell r="B5670" t="str">
            <v>Te FD FFF PN-10 DN150x50 linha esgoto</v>
          </cell>
          <cell r="C5670" t="str">
            <v>ud</v>
          </cell>
          <cell r="D5670">
            <v>0</v>
          </cell>
          <cell r="E5670">
            <v>547.17999999999995</v>
          </cell>
          <cell r="F5670">
            <v>547.17999999999995</v>
          </cell>
        </row>
        <row r="5671">
          <cell r="A5671" t="str">
            <v>224007</v>
          </cell>
          <cell r="B5671" t="str">
            <v>Te FD FFF PN-10 DN150x80 linha esgoto</v>
          </cell>
          <cell r="C5671" t="str">
            <v>ud</v>
          </cell>
          <cell r="D5671">
            <v>0</v>
          </cell>
          <cell r="E5671">
            <v>656.6</v>
          </cell>
          <cell r="F5671">
            <v>656.6</v>
          </cell>
        </row>
        <row r="5672">
          <cell r="A5672" t="str">
            <v>224008</v>
          </cell>
          <cell r="B5672" t="str">
            <v>Te FD FFF PN-10 DN150x100 linha esgoto</v>
          </cell>
          <cell r="C5672" t="str">
            <v>ud</v>
          </cell>
          <cell r="D5672">
            <v>0</v>
          </cell>
          <cell r="E5672">
            <v>656.6</v>
          </cell>
          <cell r="F5672">
            <v>656.6</v>
          </cell>
        </row>
        <row r="5673">
          <cell r="A5673" t="str">
            <v>224009</v>
          </cell>
          <cell r="B5673" t="str">
            <v>Te FD FFF PN-10 DN150x150 linha esgoto (293006)</v>
          </cell>
          <cell r="C5673" t="str">
            <v>ud</v>
          </cell>
          <cell r="D5673">
            <v>0</v>
          </cell>
          <cell r="E5673">
            <v>588.83000000000004</v>
          </cell>
          <cell r="F5673">
            <v>588.83000000000004</v>
          </cell>
        </row>
        <row r="5674">
          <cell r="A5674" t="str">
            <v>224010</v>
          </cell>
          <cell r="B5674" t="str">
            <v>Te FD FFF PN-10 DN200x50 linha esgoto (119016)</v>
          </cell>
          <cell r="C5674" t="str">
            <v>ud</v>
          </cell>
          <cell r="D5674">
            <v>0</v>
          </cell>
          <cell r="E5674">
            <v>763.86</v>
          </cell>
          <cell r="F5674">
            <v>763.86</v>
          </cell>
        </row>
        <row r="5675">
          <cell r="A5675" t="str">
            <v>224011</v>
          </cell>
          <cell r="B5675" t="str">
            <v>Te FD FFF PN-10 DN200x80 linha esgoto (293008)</v>
          </cell>
          <cell r="C5675" t="str">
            <v>ud</v>
          </cell>
          <cell r="D5675">
            <v>0</v>
          </cell>
          <cell r="E5675">
            <v>791.74</v>
          </cell>
          <cell r="F5675">
            <v>791.74</v>
          </cell>
        </row>
        <row r="5676">
          <cell r="A5676" t="str">
            <v>224012</v>
          </cell>
          <cell r="B5676" t="str">
            <v xml:space="preserve">Te FD FFF PN-10 DN200x100 linha esgoto </v>
          </cell>
          <cell r="C5676" t="str">
            <v>ud</v>
          </cell>
          <cell r="D5676">
            <v>0</v>
          </cell>
          <cell r="E5676">
            <v>807.66</v>
          </cell>
          <cell r="F5676">
            <v>807.66</v>
          </cell>
        </row>
        <row r="5677">
          <cell r="A5677" t="str">
            <v>224013</v>
          </cell>
          <cell r="B5677" t="str">
            <v>Te FD FFF PN-10 DN200x150 linha esgoto</v>
          </cell>
          <cell r="C5677" t="str">
            <v>ud</v>
          </cell>
          <cell r="D5677">
            <v>0</v>
          </cell>
          <cell r="E5677">
            <v>875.28</v>
          </cell>
          <cell r="F5677">
            <v>875.28</v>
          </cell>
        </row>
        <row r="5678">
          <cell r="A5678" t="str">
            <v>224014</v>
          </cell>
          <cell r="B5678" t="str">
            <v>Te FD FFF PN-10 DN200x200 linha esgoto (293007)</v>
          </cell>
          <cell r="C5678" t="str">
            <v>ud</v>
          </cell>
          <cell r="D5678">
            <v>0</v>
          </cell>
          <cell r="E5678">
            <v>923.02</v>
          </cell>
          <cell r="F5678">
            <v>923.02</v>
          </cell>
        </row>
        <row r="5679">
          <cell r="A5679" t="str">
            <v>224015</v>
          </cell>
          <cell r="B5679" t="str">
            <v>Te FD FFF PN-10 DN250x50 linha esgoto</v>
          </cell>
          <cell r="C5679" t="str">
            <v>ud</v>
          </cell>
          <cell r="D5679">
            <v>0</v>
          </cell>
          <cell r="E5679">
            <v>1250.68</v>
          </cell>
          <cell r="F5679">
            <v>1250.68</v>
          </cell>
        </row>
        <row r="5680">
          <cell r="A5680" t="str">
            <v>224016</v>
          </cell>
          <cell r="B5680" t="str">
            <v>Te FD FFF PN-10 DN250x80 linha esgoto</v>
          </cell>
          <cell r="C5680" t="str">
            <v>ud</v>
          </cell>
          <cell r="D5680">
            <v>0</v>
          </cell>
        </row>
        <row r="5681">
          <cell r="A5681" t="str">
            <v>224017</v>
          </cell>
          <cell r="B5681" t="str">
            <v xml:space="preserve">Te FD FFF PN-10 DN250x100 linha esgoto </v>
          </cell>
          <cell r="C5681" t="str">
            <v>ud</v>
          </cell>
          <cell r="D5681">
            <v>0</v>
          </cell>
          <cell r="E5681">
            <v>1250.68</v>
          </cell>
          <cell r="F5681">
            <v>1250.68</v>
          </cell>
        </row>
        <row r="5682">
          <cell r="A5682" t="str">
            <v>224018</v>
          </cell>
          <cell r="B5682" t="str">
            <v xml:space="preserve">Te FD FFF PN-10 DN250x200 linha esgoto </v>
          </cell>
          <cell r="C5682" t="str">
            <v>ud</v>
          </cell>
          <cell r="D5682">
            <v>0</v>
          </cell>
          <cell r="E5682">
            <v>1281.94</v>
          </cell>
          <cell r="F5682">
            <v>1281.94</v>
          </cell>
        </row>
        <row r="5683">
          <cell r="A5683" t="str">
            <v>224019</v>
          </cell>
          <cell r="B5683" t="str">
            <v xml:space="preserve">Te FD FFF PN-10 DN250x250 linha esgoto </v>
          </cell>
          <cell r="C5683" t="str">
            <v>ud</v>
          </cell>
          <cell r="D5683">
            <v>0</v>
          </cell>
          <cell r="E5683">
            <v>1453.91</v>
          </cell>
          <cell r="F5683">
            <v>1453.91</v>
          </cell>
        </row>
        <row r="5684">
          <cell r="A5684" t="str">
            <v>224020</v>
          </cell>
          <cell r="B5684" t="str">
            <v>Te FD FFF PN-10 DN300x100 linha esgoto</v>
          </cell>
          <cell r="C5684" t="str">
            <v>ud</v>
          </cell>
          <cell r="D5684">
            <v>0</v>
          </cell>
          <cell r="E5684">
            <v>1575.52</v>
          </cell>
          <cell r="F5684">
            <v>1575.52</v>
          </cell>
        </row>
        <row r="5685">
          <cell r="A5685" t="str">
            <v>224021</v>
          </cell>
          <cell r="B5685" t="str">
            <v>Te FD FFF PN-10 DN300x200 linha esgoto</v>
          </cell>
          <cell r="C5685" t="str">
            <v>ud</v>
          </cell>
          <cell r="D5685">
            <v>0</v>
          </cell>
          <cell r="E5685">
            <v>1670.95</v>
          </cell>
          <cell r="F5685">
            <v>1670.95</v>
          </cell>
        </row>
        <row r="5686">
          <cell r="A5686" t="str">
            <v>224022</v>
          </cell>
          <cell r="B5686" t="str">
            <v>Te FD FFF PN-10 DN300x300 linha esgoto</v>
          </cell>
          <cell r="C5686" t="str">
            <v>ud</v>
          </cell>
          <cell r="D5686">
            <v>0</v>
          </cell>
          <cell r="E5686">
            <v>2407.56</v>
          </cell>
          <cell r="F5686">
            <v>2407.56</v>
          </cell>
        </row>
        <row r="5687">
          <cell r="A5687" t="str">
            <v>224023</v>
          </cell>
          <cell r="B5687" t="str">
            <v xml:space="preserve">Te FD FFF PN-10 DN350x100 linha esgoto </v>
          </cell>
          <cell r="C5687" t="str">
            <v>ud</v>
          </cell>
          <cell r="D5687">
            <v>0</v>
          </cell>
          <cell r="E5687">
            <v>1909.69</v>
          </cell>
          <cell r="F5687">
            <v>1909.69</v>
          </cell>
        </row>
        <row r="5688">
          <cell r="A5688" t="str">
            <v>224024</v>
          </cell>
          <cell r="B5688" t="str">
            <v>Te FD FFF PN-10 DN350x200 linha esgoto</v>
          </cell>
          <cell r="C5688" t="str">
            <v>ud</v>
          </cell>
          <cell r="D5688">
            <v>0</v>
          </cell>
          <cell r="E5688">
            <v>2108.61</v>
          </cell>
          <cell r="F5688">
            <v>2108.61</v>
          </cell>
        </row>
        <row r="5689">
          <cell r="A5689" t="str">
            <v>224025</v>
          </cell>
          <cell r="B5689" t="str">
            <v>Te FD FFF PN-10 DN350x300 linha esgoto</v>
          </cell>
          <cell r="C5689" t="str">
            <v>ud</v>
          </cell>
          <cell r="D5689">
            <v>0</v>
          </cell>
        </row>
        <row r="5690">
          <cell r="A5690" t="str">
            <v>224026</v>
          </cell>
          <cell r="B5690" t="str">
            <v xml:space="preserve">Te FD FFF PN-10 DN350x350 linha esgoto </v>
          </cell>
          <cell r="C5690" t="str">
            <v>ud</v>
          </cell>
          <cell r="D5690">
            <v>0</v>
          </cell>
          <cell r="E5690">
            <v>2339.38</v>
          </cell>
          <cell r="F5690">
            <v>2339.38</v>
          </cell>
        </row>
        <row r="5691">
          <cell r="A5691" t="str">
            <v>224027</v>
          </cell>
          <cell r="B5691" t="str">
            <v>Te FD FFF PN-10 DN400x100 linha esgoto</v>
          </cell>
          <cell r="C5691" t="str">
            <v>ud</v>
          </cell>
          <cell r="D5691">
            <v>0</v>
          </cell>
          <cell r="E5691">
            <v>2327.44</v>
          </cell>
          <cell r="F5691">
            <v>2327.44</v>
          </cell>
        </row>
        <row r="5692">
          <cell r="A5692" t="str">
            <v>224028</v>
          </cell>
          <cell r="B5692" t="str">
            <v>Te FD FFF PN-10 DN400x200 linha esgoto</v>
          </cell>
          <cell r="C5692" t="str">
            <v>ud</v>
          </cell>
          <cell r="D5692">
            <v>0</v>
          </cell>
          <cell r="E5692">
            <v>2375.1999999999998</v>
          </cell>
          <cell r="F5692">
            <v>2375.1999999999998</v>
          </cell>
        </row>
        <row r="5693">
          <cell r="A5693" t="str">
            <v>224029</v>
          </cell>
          <cell r="B5693" t="str">
            <v>Te FD FFF PN-10 DN400x300 linha esgoto</v>
          </cell>
          <cell r="C5693" t="str">
            <v>ud</v>
          </cell>
          <cell r="D5693">
            <v>0</v>
          </cell>
          <cell r="E5693">
            <v>2466.04</v>
          </cell>
          <cell r="F5693">
            <v>2466.04</v>
          </cell>
        </row>
        <row r="5694">
          <cell r="A5694" t="str">
            <v>224030</v>
          </cell>
          <cell r="B5694" t="str">
            <v>Te FD FFF PN-10 DN400x400 linha esgoto</v>
          </cell>
          <cell r="C5694" t="str">
            <v>ud</v>
          </cell>
          <cell r="D5694">
            <v>0</v>
          </cell>
          <cell r="E5694">
            <v>3035.63</v>
          </cell>
          <cell r="F5694">
            <v>3035.63</v>
          </cell>
        </row>
        <row r="5695">
          <cell r="A5695" t="str">
            <v>224031</v>
          </cell>
          <cell r="B5695" t="str">
            <v>Te FD FFF PN-10 DN450x100 linha esgoto</v>
          </cell>
          <cell r="C5695" t="str">
            <v>ud</v>
          </cell>
          <cell r="D5695">
            <v>0</v>
          </cell>
        </row>
        <row r="5696">
          <cell r="A5696" t="str">
            <v>224032</v>
          </cell>
          <cell r="B5696" t="str">
            <v>Te FD FFF PN-10 DN450x200 linha esgoto</v>
          </cell>
          <cell r="C5696" t="str">
            <v>ud</v>
          </cell>
          <cell r="D5696">
            <v>0</v>
          </cell>
        </row>
        <row r="5697">
          <cell r="A5697" t="str">
            <v>224033</v>
          </cell>
          <cell r="B5697" t="str">
            <v>Te FD FFF PN-10 DN450x300 linha esgoto</v>
          </cell>
          <cell r="C5697" t="str">
            <v>ud</v>
          </cell>
          <cell r="D5697">
            <v>0</v>
          </cell>
        </row>
        <row r="5698">
          <cell r="A5698" t="str">
            <v>224034</v>
          </cell>
          <cell r="B5698" t="str">
            <v>Te FD FFF PN-10 DN450x400 linha esgoto</v>
          </cell>
          <cell r="C5698" t="str">
            <v>ud</v>
          </cell>
          <cell r="D5698">
            <v>0</v>
          </cell>
        </row>
        <row r="5699">
          <cell r="A5699" t="str">
            <v>224035</v>
          </cell>
          <cell r="B5699" t="str">
            <v>Te FD FFF PN-10 DN450x450 linha esgoto</v>
          </cell>
          <cell r="C5699" t="str">
            <v>ud</v>
          </cell>
          <cell r="D5699">
            <v>0</v>
          </cell>
          <cell r="E5699">
            <v>3606.71</v>
          </cell>
          <cell r="F5699">
            <v>3606.71</v>
          </cell>
        </row>
        <row r="5700">
          <cell r="A5700" t="str">
            <v>224036</v>
          </cell>
          <cell r="B5700" t="str">
            <v>Te FD FFF PN-10 DN500x100 linha esgoto</v>
          </cell>
          <cell r="C5700" t="str">
            <v>ud</v>
          </cell>
          <cell r="D5700">
            <v>0</v>
          </cell>
        </row>
        <row r="5701">
          <cell r="A5701" t="str">
            <v>224037</v>
          </cell>
          <cell r="B5701" t="str">
            <v>Te FD FFF PN-10 DN500x200 linha esgoto</v>
          </cell>
          <cell r="C5701" t="str">
            <v>ud</v>
          </cell>
          <cell r="D5701">
            <v>0</v>
          </cell>
          <cell r="E5701">
            <v>5159.0600000000004</v>
          </cell>
          <cell r="F5701">
            <v>5159.0600000000004</v>
          </cell>
        </row>
        <row r="5702">
          <cell r="A5702" t="str">
            <v>224038</v>
          </cell>
          <cell r="B5702" t="str">
            <v>Te FD FFF PN-10 DN500x300 linha esgoto</v>
          </cell>
          <cell r="C5702" t="str">
            <v>ud</v>
          </cell>
          <cell r="D5702">
            <v>0</v>
          </cell>
          <cell r="E5702">
            <v>5471.72</v>
          </cell>
          <cell r="F5702">
            <v>5471.72</v>
          </cell>
        </row>
        <row r="5703">
          <cell r="A5703" t="str">
            <v>224039</v>
          </cell>
          <cell r="B5703" t="str">
            <v>Te FD FFF PN-10 DN500x400 linha esgoto</v>
          </cell>
          <cell r="C5703" t="str">
            <v>ud</v>
          </cell>
          <cell r="D5703">
            <v>0</v>
          </cell>
        </row>
        <row r="5704">
          <cell r="A5704" t="str">
            <v>224040</v>
          </cell>
          <cell r="B5704" t="str">
            <v>Te FD FFF PN-10 DN500x500 linha esgoto</v>
          </cell>
          <cell r="C5704" t="str">
            <v>ud</v>
          </cell>
          <cell r="D5704">
            <v>0</v>
          </cell>
          <cell r="E5704">
            <v>5628.07</v>
          </cell>
          <cell r="F5704">
            <v>5628.07</v>
          </cell>
        </row>
        <row r="5705">
          <cell r="A5705" t="str">
            <v>224041</v>
          </cell>
          <cell r="B5705" t="str">
            <v>Te FD FFF PN-10 DN600x100 linha esgoto</v>
          </cell>
          <cell r="C5705" t="str">
            <v>ud</v>
          </cell>
          <cell r="D5705">
            <v>0</v>
          </cell>
        </row>
        <row r="5706">
          <cell r="A5706" t="str">
            <v>224042</v>
          </cell>
          <cell r="B5706" t="str">
            <v>Te FD FFF PN-10 DN600x200 linha esgoto</v>
          </cell>
          <cell r="C5706" t="str">
            <v>ud</v>
          </cell>
          <cell r="D5706">
            <v>0</v>
          </cell>
        </row>
        <row r="5707">
          <cell r="A5707" t="str">
            <v>224043</v>
          </cell>
          <cell r="B5707" t="str">
            <v xml:space="preserve">Te FD FFF PN-10 DN600x300 linha esgoto </v>
          </cell>
          <cell r="C5707" t="str">
            <v>ud</v>
          </cell>
          <cell r="D5707">
            <v>0</v>
          </cell>
          <cell r="E5707">
            <v>6027.48</v>
          </cell>
          <cell r="F5707">
            <v>6027.48</v>
          </cell>
        </row>
        <row r="5708">
          <cell r="A5708" t="str">
            <v>224044</v>
          </cell>
          <cell r="B5708" t="str">
            <v>Te FD FFF PN-10 DN600x400 linha esgoto</v>
          </cell>
          <cell r="C5708" t="str">
            <v>ud</v>
          </cell>
          <cell r="D5708">
            <v>0</v>
          </cell>
          <cell r="E5708">
            <v>6286.08</v>
          </cell>
          <cell r="F5708">
            <v>6286.08</v>
          </cell>
        </row>
        <row r="5709">
          <cell r="A5709" t="str">
            <v>224045</v>
          </cell>
          <cell r="B5709" t="str">
            <v>Te FD FFF PN-10 DN600x500 linha esgoto</v>
          </cell>
          <cell r="C5709" t="str">
            <v>ud</v>
          </cell>
          <cell r="D5709">
            <v>0</v>
          </cell>
          <cell r="E5709">
            <v>6664.04</v>
          </cell>
          <cell r="F5709">
            <v>6664.04</v>
          </cell>
        </row>
        <row r="5710">
          <cell r="A5710" t="str">
            <v>224046</v>
          </cell>
          <cell r="B5710" t="str">
            <v xml:space="preserve">Te FD FFF PN-10 DN600x600 linha esgoto </v>
          </cell>
          <cell r="C5710" t="str">
            <v>ud</v>
          </cell>
          <cell r="D5710">
            <v>0</v>
          </cell>
          <cell r="E5710">
            <v>7002.21</v>
          </cell>
          <cell r="F5710">
            <v>7002.21</v>
          </cell>
        </row>
        <row r="5711">
          <cell r="A5711" t="str">
            <v>224047</v>
          </cell>
          <cell r="B5711" t="str">
            <v>Te FD FFF PN-10 DN700x200 linha esgoto</v>
          </cell>
          <cell r="C5711" t="str">
            <v>ud</v>
          </cell>
          <cell r="D5711">
            <v>0</v>
          </cell>
          <cell r="E5711">
            <v>5470.46</v>
          </cell>
          <cell r="F5711">
            <v>5470.46</v>
          </cell>
        </row>
        <row r="5712">
          <cell r="A5712" t="str">
            <v>224048</v>
          </cell>
          <cell r="B5712" t="str">
            <v>Te FD FFF PN-10 DN700x400 linha esgoto</v>
          </cell>
          <cell r="C5712" t="str">
            <v>ud</v>
          </cell>
          <cell r="D5712">
            <v>0</v>
          </cell>
          <cell r="E5712">
            <v>6787.38</v>
          </cell>
          <cell r="F5712">
            <v>6787.38</v>
          </cell>
        </row>
        <row r="5713">
          <cell r="A5713" t="str">
            <v>224049</v>
          </cell>
          <cell r="B5713" t="str">
            <v>Te FD FFF PN-10 DN700x700 linha esgoto</v>
          </cell>
          <cell r="C5713" t="str">
            <v>ud</v>
          </cell>
          <cell r="D5713">
            <v>0</v>
          </cell>
        </row>
        <row r="5714">
          <cell r="A5714" t="str">
            <v>224050</v>
          </cell>
          <cell r="B5714" t="str">
            <v>Te FD FFF PN-10 DN800x200 linha esgoto</v>
          </cell>
          <cell r="C5714" t="str">
            <v>ud</v>
          </cell>
          <cell r="D5714">
            <v>0</v>
          </cell>
        </row>
        <row r="5715">
          <cell r="A5715" t="str">
            <v>224051</v>
          </cell>
          <cell r="B5715" t="str">
            <v>Te FD FFF PN-10 DN800x400 linha esgoto</v>
          </cell>
          <cell r="C5715" t="str">
            <v>ud</v>
          </cell>
          <cell r="D5715">
            <v>0</v>
          </cell>
        </row>
        <row r="5716">
          <cell r="A5716" t="str">
            <v>224052</v>
          </cell>
          <cell r="B5716" t="str">
            <v>Te FD FFF PN-10 DN800x600 linha esgoto</v>
          </cell>
          <cell r="C5716" t="str">
            <v>ud</v>
          </cell>
          <cell r="D5716">
            <v>0</v>
          </cell>
        </row>
        <row r="5717">
          <cell r="A5717" t="str">
            <v>224053</v>
          </cell>
          <cell r="B5717" t="str">
            <v>Te FD FFF PN-10 DN800x800 linha esgoto</v>
          </cell>
          <cell r="C5717" t="str">
            <v>ud</v>
          </cell>
          <cell r="D5717">
            <v>0</v>
          </cell>
        </row>
        <row r="5718">
          <cell r="A5718" t="str">
            <v>224054</v>
          </cell>
          <cell r="B5718" t="str">
            <v>Te FD FFF PN-10 DN900x200 linha esgoto</v>
          </cell>
          <cell r="C5718" t="str">
            <v>ud</v>
          </cell>
          <cell r="D5718">
            <v>0</v>
          </cell>
        </row>
        <row r="5719">
          <cell r="A5719" t="str">
            <v>224055</v>
          </cell>
          <cell r="B5719" t="str">
            <v>Te FD FFF PN-10 DN900x400 linha esgoto</v>
          </cell>
          <cell r="C5719" t="str">
            <v>ud</v>
          </cell>
          <cell r="D5719">
            <v>0</v>
          </cell>
        </row>
        <row r="5720">
          <cell r="A5720" t="str">
            <v>224056</v>
          </cell>
          <cell r="B5720" t="str">
            <v>Te FD FFF PN-10 DN900x600 linha esgoto</v>
          </cell>
          <cell r="C5720" t="str">
            <v>ud</v>
          </cell>
          <cell r="D5720">
            <v>0</v>
          </cell>
        </row>
        <row r="5721">
          <cell r="A5721" t="str">
            <v>224057</v>
          </cell>
          <cell r="B5721" t="str">
            <v>Te FD FFF PN-10 DN900x900 linha esgoto</v>
          </cell>
          <cell r="C5721" t="str">
            <v>ud</v>
          </cell>
          <cell r="D5721">
            <v>0</v>
          </cell>
        </row>
        <row r="5722">
          <cell r="A5722" t="str">
            <v>224058</v>
          </cell>
          <cell r="B5722" t="str">
            <v xml:space="preserve">Te FD FFF PN-10 DN1000x200 linha esgoto </v>
          </cell>
          <cell r="C5722" t="str">
            <v>ud</v>
          </cell>
          <cell r="D5722">
            <v>0</v>
          </cell>
        </row>
        <row r="5723">
          <cell r="A5723" t="str">
            <v>224059</v>
          </cell>
          <cell r="B5723" t="str">
            <v>Te FD FFF PN-10 DN1000x400 linha esgoto</v>
          </cell>
          <cell r="C5723" t="str">
            <v>ud</v>
          </cell>
          <cell r="D5723">
            <v>0</v>
          </cell>
        </row>
        <row r="5724">
          <cell r="A5724" t="str">
            <v>224060</v>
          </cell>
          <cell r="B5724" t="str">
            <v>Te FD FFF PN-10 DN1000x600 linha esgoto</v>
          </cell>
          <cell r="C5724" t="str">
            <v>ud</v>
          </cell>
          <cell r="D5724">
            <v>0</v>
          </cell>
        </row>
        <row r="5725">
          <cell r="A5725" t="str">
            <v>224061</v>
          </cell>
          <cell r="B5725" t="str">
            <v xml:space="preserve">Te FD FFF PN-10 DN1000x1000 linha esgoto </v>
          </cell>
          <cell r="C5725" t="str">
            <v>ud</v>
          </cell>
          <cell r="D5725">
            <v>0</v>
          </cell>
        </row>
        <row r="5726">
          <cell r="A5726" t="str">
            <v>224062</v>
          </cell>
          <cell r="B5726" t="str">
            <v>Te FD FFF PN-10 DN1200x200 linha esgoto</v>
          </cell>
          <cell r="C5726" t="str">
            <v>ud</v>
          </cell>
          <cell r="D5726">
            <v>0</v>
          </cell>
        </row>
        <row r="5727">
          <cell r="A5727" t="str">
            <v>224063</v>
          </cell>
          <cell r="B5727" t="str">
            <v>Te FD FFF PN-10 DN1200x400 linha esgoto</v>
          </cell>
          <cell r="C5727" t="str">
            <v>ud</v>
          </cell>
          <cell r="D5727">
            <v>0</v>
          </cell>
        </row>
        <row r="5728">
          <cell r="A5728" t="str">
            <v>224064</v>
          </cell>
          <cell r="B5728" t="str">
            <v>Te FD FFF PN-10 DN1200x600 linha esgoto</v>
          </cell>
          <cell r="C5728" t="str">
            <v>ud</v>
          </cell>
          <cell r="D5728">
            <v>0</v>
          </cell>
        </row>
        <row r="5729">
          <cell r="A5729" t="str">
            <v>224065</v>
          </cell>
          <cell r="B5729" t="str">
            <v>Te FD FFF PN-10 DN1200x800 linha esgoto</v>
          </cell>
          <cell r="C5729" t="str">
            <v>ud</v>
          </cell>
          <cell r="D5729">
            <v>0</v>
          </cell>
        </row>
        <row r="5730">
          <cell r="A5730" t="str">
            <v>224066</v>
          </cell>
          <cell r="B5730" t="str">
            <v>Te FD FFF PN-10 DN1200x1000 linha esgoto</v>
          </cell>
          <cell r="C5730" t="str">
            <v>ud</v>
          </cell>
          <cell r="D5730">
            <v>0</v>
          </cell>
        </row>
        <row r="5731">
          <cell r="A5731" t="str">
            <v>224067</v>
          </cell>
          <cell r="B5731" t="str">
            <v>Te FD FFF PN-10 DN1200x1200 linha esgoto</v>
          </cell>
          <cell r="C5731" t="str">
            <v>ud</v>
          </cell>
          <cell r="D5731">
            <v>0</v>
          </cell>
        </row>
        <row r="5732">
          <cell r="A5732" t="str">
            <v>2241</v>
          </cell>
          <cell r="B5732" t="str">
            <v>TE FD FF PN-16</v>
          </cell>
        </row>
        <row r="5733">
          <cell r="A5733" t="str">
            <v>224101</v>
          </cell>
          <cell r="B5733" t="str">
            <v>Te FD FFF PN-16 DN80x50 linha esgoto</v>
          </cell>
          <cell r="C5733" t="str">
            <v>ud</v>
          </cell>
          <cell r="D5733">
            <v>0</v>
          </cell>
          <cell r="E5733">
            <v>373.97</v>
          </cell>
          <cell r="F5733">
            <v>373.97</v>
          </cell>
        </row>
        <row r="5734">
          <cell r="A5734" t="str">
            <v>224102</v>
          </cell>
          <cell r="B5734" t="str">
            <v>Te FD FFF PN-16 DN80x80 linha esgoto</v>
          </cell>
          <cell r="C5734" t="str">
            <v>ud</v>
          </cell>
          <cell r="D5734">
            <v>0</v>
          </cell>
          <cell r="E5734">
            <v>381.97</v>
          </cell>
          <cell r="F5734">
            <v>381.97</v>
          </cell>
        </row>
        <row r="5735">
          <cell r="A5735" t="str">
            <v>224103</v>
          </cell>
          <cell r="B5735" t="str">
            <v>Te FD FFF PN-16 DN100x50 linha esgoto</v>
          </cell>
          <cell r="C5735" t="str">
            <v>ud</v>
          </cell>
          <cell r="D5735">
            <v>0</v>
          </cell>
          <cell r="E5735">
            <v>381.97</v>
          </cell>
          <cell r="F5735">
            <v>381.97</v>
          </cell>
        </row>
        <row r="5736">
          <cell r="A5736" t="str">
            <v>224104</v>
          </cell>
          <cell r="B5736" t="str">
            <v>Te FD FFF PN-16 DN100x80 linha esgoto</v>
          </cell>
          <cell r="C5736" t="str">
            <v>ud</v>
          </cell>
          <cell r="D5736">
            <v>0</v>
          </cell>
          <cell r="E5736">
            <v>381.97</v>
          </cell>
          <cell r="F5736">
            <v>381.97</v>
          </cell>
        </row>
        <row r="5737">
          <cell r="A5737" t="str">
            <v>224105</v>
          </cell>
          <cell r="B5737" t="str">
            <v xml:space="preserve">Te FD FFF PN-16 DN100x100 linha esgoto </v>
          </cell>
          <cell r="C5737" t="str">
            <v>ud</v>
          </cell>
          <cell r="D5737">
            <v>0</v>
          </cell>
          <cell r="E5737">
            <v>393.9</v>
          </cell>
          <cell r="F5737">
            <v>393.9</v>
          </cell>
        </row>
        <row r="5738">
          <cell r="A5738" t="str">
            <v>224106</v>
          </cell>
          <cell r="B5738" t="str">
            <v>Te FD FFF PN-16 DN150x50 linha esgoto</v>
          </cell>
          <cell r="C5738" t="str">
            <v>ud</v>
          </cell>
          <cell r="D5738">
            <v>0</v>
          </cell>
          <cell r="E5738">
            <v>547.17999999999995</v>
          </cell>
          <cell r="F5738">
            <v>547.17999999999995</v>
          </cell>
        </row>
        <row r="5739">
          <cell r="A5739" t="str">
            <v>224107</v>
          </cell>
          <cell r="B5739" t="str">
            <v>Te FD FFF PN-16 DN150x80 linha esgoto</v>
          </cell>
          <cell r="C5739" t="str">
            <v>ud</v>
          </cell>
          <cell r="D5739">
            <v>0</v>
          </cell>
          <cell r="E5739">
            <v>656.6</v>
          </cell>
          <cell r="F5739">
            <v>656.6</v>
          </cell>
        </row>
        <row r="5740">
          <cell r="A5740" t="str">
            <v>224108</v>
          </cell>
          <cell r="B5740" t="str">
            <v>Te FD FFF PN-16 DN150x100 linha esgoto</v>
          </cell>
          <cell r="C5740" t="str">
            <v>ud</v>
          </cell>
          <cell r="D5740">
            <v>0</v>
          </cell>
          <cell r="E5740">
            <v>656.6</v>
          </cell>
          <cell r="F5740">
            <v>656.6</v>
          </cell>
        </row>
        <row r="5741">
          <cell r="A5741" t="str">
            <v>224109</v>
          </cell>
          <cell r="B5741" t="str">
            <v>Te FD FFF PN-16 DN150x150 linha esgoto</v>
          </cell>
          <cell r="C5741" t="str">
            <v>ud</v>
          </cell>
          <cell r="D5741">
            <v>0</v>
          </cell>
          <cell r="E5741">
            <v>588.83000000000004</v>
          </cell>
          <cell r="F5741">
            <v>588.83000000000004</v>
          </cell>
        </row>
        <row r="5742">
          <cell r="A5742" t="str">
            <v>2280</v>
          </cell>
          <cell r="B5742" t="str">
            <v>TOCO DE TUBO FD FLANGE/FLANGE</v>
          </cell>
        </row>
        <row r="5743">
          <cell r="A5743" t="str">
            <v>228001</v>
          </cell>
          <cell r="B5743" t="str">
            <v>Toco de tubo FD flange/flange PN-10/16/25 DN 50 comp = 0,25 m</v>
          </cell>
          <cell r="C5743" t="str">
            <v>ud</v>
          </cell>
          <cell r="D5743">
            <v>0</v>
          </cell>
          <cell r="E5743">
            <v>159.18</v>
          </cell>
          <cell r="F5743">
            <v>159.18</v>
          </cell>
        </row>
        <row r="5744">
          <cell r="A5744" t="str">
            <v>228002</v>
          </cell>
          <cell r="B5744" t="str">
            <v>Toco de tubo FD flange/flange PN-10/16/25 DN 50 comp = 0,50 m</v>
          </cell>
          <cell r="C5744" t="str">
            <v>ud</v>
          </cell>
          <cell r="D5744">
            <v>0</v>
          </cell>
          <cell r="E5744">
            <v>207.29</v>
          </cell>
          <cell r="F5744">
            <v>207.29</v>
          </cell>
        </row>
        <row r="5745">
          <cell r="A5745" t="str">
            <v>228003</v>
          </cell>
          <cell r="B5745" t="str">
            <v>Toco de tubo FD flange/flange PN-10/16 DN 75 comp = 0,25 m</v>
          </cell>
          <cell r="C5745" t="str">
            <v>ud</v>
          </cell>
          <cell r="D5745">
            <v>0</v>
          </cell>
          <cell r="E5745">
            <v>177.71</v>
          </cell>
          <cell r="F5745">
            <v>177.71</v>
          </cell>
        </row>
        <row r="5746">
          <cell r="A5746" t="str">
            <v>228004</v>
          </cell>
          <cell r="B5746" t="str">
            <v>Toco de tubo FD flange/flange PN-10/16 DN 75 comp = 0,50 m</v>
          </cell>
          <cell r="C5746" t="str">
            <v>ud</v>
          </cell>
          <cell r="D5746">
            <v>0</v>
          </cell>
          <cell r="E5746">
            <v>281.35000000000002</v>
          </cell>
          <cell r="F5746">
            <v>281.35000000000002</v>
          </cell>
        </row>
        <row r="5747">
          <cell r="A5747" t="str">
            <v>228005</v>
          </cell>
          <cell r="B5747" t="str">
            <v>Toco de tubo FD flange/flange PN-10/16 DN 75 comp = 1,00 m</v>
          </cell>
          <cell r="C5747" t="str">
            <v>ud</v>
          </cell>
          <cell r="D5747">
            <v>0</v>
          </cell>
          <cell r="E5747">
            <v>492.37</v>
          </cell>
          <cell r="F5747">
            <v>492.37</v>
          </cell>
        </row>
        <row r="5748">
          <cell r="A5748" t="str">
            <v>228006</v>
          </cell>
          <cell r="B5748" t="str">
            <v>Toco de tubo FD flange/flange PN-10/16/25 DN 80 comp = 0,25 m</v>
          </cell>
          <cell r="C5748" t="str">
            <v>ud</v>
          </cell>
          <cell r="D5748">
            <v>0</v>
          </cell>
          <cell r="E5748">
            <v>188.8</v>
          </cell>
          <cell r="F5748">
            <v>188.8</v>
          </cell>
        </row>
        <row r="5749">
          <cell r="A5749" t="str">
            <v>228007</v>
          </cell>
          <cell r="B5749" t="str">
            <v>Toco de tubo FD flange/flange PN-10/16/25 DN 80 comp = 0,50 m</v>
          </cell>
          <cell r="C5749" t="str">
            <v>ud</v>
          </cell>
          <cell r="D5749">
            <v>0</v>
          </cell>
          <cell r="E5749">
            <v>252.83</v>
          </cell>
          <cell r="F5749">
            <v>252.83</v>
          </cell>
        </row>
        <row r="5750">
          <cell r="A5750" t="str">
            <v>228008</v>
          </cell>
          <cell r="B5750" t="str">
            <v>Toco de tubo FD flange/flange PN-10/16/25 DN 80 comp = 1,00 m</v>
          </cell>
          <cell r="C5750" t="str">
            <v>ud</v>
          </cell>
          <cell r="D5750">
            <v>0</v>
          </cell>
          <cell r="E5750">
            <v>442.45</v>
          </cell>
          <cell r="F5750">
            <v>442.45</v>
          </cell>
        </row>
        <row r="5751">
          <cell r="A5751" t="str">
            <v>228009</v>
          </cell>
          <cell r="B5751" t="str">
            <v>Toco de tubo FD flange/flange PN-10/16/25 DN 80 comp = 1,50 m</v>
          </cell>
          <cell r="C5751" t="str">
            <v>ud</v>
          </cell>
          <cell r="D5751">
            <v>0</v>
          </cell>
          <cell r="E5751">
            <v>739.42</v>
          </cell>
          <cell r="F5751">
            <v>739.42</v>
          </cell>
        </row>
        <row r="5752">
          <cell r="A5752" t="str">
            <v>228010</v>
          </cell>
          <cell r="B5752" t="str">
            <v>Toco de tubo FD flange/flange PN-10/16/25 DN 80 comp = 2,00 m</v>
          </cell>
          <cell r="C5752" t="str">
            <v>ud</v>
          </cell>
          <cell r="D5752">
            <v>0</v>
          </cell>
          <cell r="E5752">
            <v>888.07</v>
          </cell>
          <cell r="F5752">
            <v>888.07</v>
          </cell>
        </row>
        <row r="5753">
          <cell r="A5753" t="str">
            <v>228011</v>
          </cell>
          <cell r="B5753" t="str">
            <v>Toco de tubo FD flange/flange PN-10/16/25 DN 80 comp = 2,50 m</v>
          </cell>
          <cell r="C5753" t="str">
            <v>ud</v>
          </cell>
          <cell r="D5753">
            <v>0</v>
          </cell>
          <cell r="E5753">
            <v>1036.72</v>
          </cell>
          <cell r="F5753">
            <v>1036.72</v>
          </cell>
        </row>
        <row r="5754">
          <cell r="A5754" t="str">
            <v>228012</v>
          </cell>
          <cell r="B5754" t="str">
            <v>Toco de tubo FD flange/flange PN-10/16/25 DN 80 comp = 3,00 m</v>
          </cell>
          <cell r="C5754" t="str">
            <v>ud</v>
          </cell>
          <cell r="D5754">
            <v>0</v>
          </cell>
          <cell r="E5754">
            <v>1181.1099999999999</v>
          </cell>
          <cell r="F5754">
            <v>1181.1099999999999</v>
          </cell>
        </row>
        <row r="5755">
          <cell r="A5755" t="str">
            <v>228013</v>
          </cell>
          <cell r="B5755" t="str">
            <v>Toco de tubo FD flange/flange PN-10/16/25 DN 80 comp = 3,50 m</v>
          </cell>
          <cell r="C5755" t="str">
            <v>ud</v>
          </cell>
          <cell r="D5755">
            <v>0</v>
          </cell>
          <cell r="E5755">
            <v>1279.1500000000001</v>
          </cell>
          <cell r="F5755">
            <v>1279.1500000000001</v>
          </cell>
        </row>
        <row r="5756">
          <cell r="A5756" t="str">
            <v>228014</v>
          </cell>
          <cell r="B5756" t="str">
            <v>Toco de tubo FD flange/flange PN-10/16/25 DN 80 comp = 4,00 m</v>
          </cell>
          <cell r="C5756" t="str">
            <v>ud</v>
          </cell>
          <cell r="D5756">
            <v>0</v>
          </cell>
          <cell r="E5756">
            <v>1377.25</v>
          </cell>
          <cell r="F5756">
            <v>1377.25</v>
          </cell>
        </row>
        <row r="5757">
          <cell r="A5757" t="str">
            <v>228015</v>
          </cell>
          <cell r="B5757" t="str">
            <v>Toco de tubo FD flange/flange PN-10/16/25 DN 80 comp = 4,50 m</v>
          </cell>
          <cell r="C5757" t="str">
            <v>ud</v>
          </cell>
          <cell r="D5757">
            <v>0</v>
          </cell>
          <cell r="E5757">
            <v>1478.48</v>
          </cell>
          <cell r="F5757">
            <v>1478.48</v>
          </cell>
        </row>
        <row r="5758">
          <cell r="A5758" t="str">
            <v>228016</v>
          </cell>
          <cell r="B5758" t="str">
            <v>Toco de tubo FD flange/flange PN-10/16/25 DN 80 comp = 5,00 m</v>
          </cell>
          <cell r="C5758" t="str">
            <v>ud</v>
          </cell>
          <cell r="D5758">
            <v>0</v>
          </cell>
          <cell r="E5758">
            <v>1652.47</v>
          </cell>
          <cell r="F5758">
            <v>1652.47</v>
          </cell>
        </row>
        <row r="5759">
          <cell r="A5759" t="str">
            <v>228017</v>
          </cell>
          <cell r="B5759" t="str">
            <v>Toco de tubo FD flange/flange PN-10/16/25 DN 80 comp = 5,50 m</v>
          </cell>
          <cell r="C5759" t="str">
            <v>ud</v>
          </cell>
          <cell r="D5759">
            <v>0</v>
          </cell>
          <cell r="E5759">
            <v>1675.27</v>
          </cell>
          <cell r="F5759">
            <v>1675.27</v>
          </cell>
        </row>
        <row r="5760">
          <cell r="A5760" t="str">
            <v>228018</v>
          </cell>
          <cell r="B5760" t="str">
            <v>Toco de tubo FD flange/flange PN-10/16/25 DN 80 comp = 5,80 m</v>
          </cell>
          <cell r="C5760" t="str">
            <v>ud</v>
          </cell>
          <cell r="D5760">
            <v>0</v>
          </cell>
          <cell r="E5760">
            <v>1691.57</v>
          </cell>
          <cell r="F5760">
            <v>1691.57</v>
          </cell>
        </row>
        <row r="5761">
          <cell r="A5761" t="str">
            <v>228019</v>
          </cell>
          <cell r="B5761" t="str">
            <v>Toco de tubo FD flange/flange PN-10/16 DN 100 comp = 0,25 m</v>
          </cell>
          <cell r="C5761" t="str">
            <v>ud</v>
          </cell>
          <cell r="D5761">
            <v>0</v>
          </cell>
          <cell r="E5761">
            <v>207.29</v>
          </cell>
          <cell r="F5761">
            <v>207.29</v>
          </cell>
        </row>
        <row r="5762">
          <cell r="A5762" t="str">
            <v>228020</v>
          </cell>
          <cell r="B5762" t="str">
            <v>Toco de tubo FD flange/flange PN-10/16 DN 100 comp = 0,50 m</v>
          </cell>
          <cell r="C5762" t="str">
            <v>ud</v>
          </cell>
          <cell r="D5762">
            <v>0</v>
          </cell>
          <cell r="E5762">
            <v>325.74</v>
          </cell>
          <cell r="F5762">
            <v>325.74</v>
          </cell>
        </row>
        <row r="5763">
          <cell r="A5763" t="str">
            <v>228021</v>
          </cell>
          <cell r="B5763" t="str">
            <v>Toco de tubo FD flange/flange PN-10/16 DN 100 comp = 1,00 m</v>
          </cell>
          <cell r="C5763" t="str">
            <v>ud</v>
          </cell>
          <cell r="D5763">
            <v>0</v>
          </cell>
          <cell r="E5763">
            <v>654.57000000000005</v>
          </cell>
          <cell r="F5763">
            <v>654.57000000000005</v>
          </cell>
        </row>
        <row r="5764">
          <cell r="A5764" t="str">
            <v>228022</v>
          </cell>
          <cell r="B5764" t="str">
            <v>Toco de tubo FD flange/flange PN-10/16 DN 100 comp = 1,50 m</v>
          </cell>
          <cell r="C5764" t="str">
            <v>ud</v>
          </cell>
          <cell r="D5764">
            <v>0</v>
          </cell>
          <cell r="E5764">
            <v>798.91</v>
          </cell>
          <cell r="F5764">
            <v>798.91</v>
          </cell>
        </row>
        <row r="5765">
          <cell r="A5765" t="str">
            <v>228023</v>
          </cell>
          <cell r="B5765" t="str">
            <v>Toco de tubo FD flange/flange PN-10/16 DN 100 comp = 2,00 m</v>
          </cell>
          <cell r="C5765" t="str">
            <v>ud</v>
          </cell>
          <cell r="D5765">
            <v>0</v>
          </cell>
          <cell r="E5765">
            <v>953.91</v>
          </cell>
          <cell r="F5765">
            <v>953.91</v>
          </cell>
        </row>
        <row r="5766">
          <cell r="A5766" t="str">
            <v>228024</v>
          </cell>
          <cell r="B5766" t="str">
            <v>Toco de tubo FD flange/flange PN-10/16 DN 100 comp = 2,50 m</v>
          </cell>
          <cell r="C5766" t="str">
            <v>ud</v>
          </cell>
          <cell r="D5766">
            <v>0</v>
          </cell>
          <cell r="E5766">
            <v>1108.9100000000001</v>
          </cell>
          <cell r="F5766">
            <v>1108.9100000000001</v>
          </cell>
        </row>
        <row r="5767">
          <cell r="A5767" t="str">
            <v>228025</v>
          </cell>
          <cell r="B5767" t="str">
            <v>Toco de tubo FD flange/flange PN-10/16 DN 100 comp = 3,00 m</v>
          </cell>
          <cell r="C5767" t="str">
            <v>ud</v>
          </cell>
          <cell r="D5767">
            <v>0</v>
          </cell>
          <cell r="E5767">
            <v>1263.9100000000001</v>
          </cell>
          <cell r="F5767">
            <v>1263.9100000000001</v>
          </cell>
        </row>
        <row r="5768">
          <cell r="A5768" t="str">
            <v>228026</v>
          </cell>
          <cell r="B5768" t="str">
            <v>Toco de tubo FD flange/flange PN-10/16 DN 100 comp = 3,50 m</v>
          </cell>
          <cell r="C5768" t="str">
            <v>ud</v>
          </cell>
          <cell r="D5768">
            <v>0</v>
          </cell>
          <cell r="E5768">
            <v>1402.4</v>
          </cell>
          <cell r="F5768">
            <v>1402.4</v>
          </cell>
        </row>
        <row r="5769">
          <cell r="A5769" t="str">
            <v>228027</v>
          </cell>
          <cell r="B5769" t="str">
            <v>Toco de tubo FD flange/flange PN-10/16 DN 100 comp = 4,00 m</v>
          </cell>
          <cell r="C5769" t="str">
            <v>ud</v>
          </cell>
          <cell r="D5769">
            <v>0</v>
          </cell>
          <cell r="E5769">
            <v>1508.03</v>
          </cell>
          <cell r="F5769">
            <v>1508.03</v>
          </cell>
        </row>
        <row r="5770">
          <cell r="A5770" t="str">
            <v>228028</v>
          </cell>
          <cell r="B5770" t="str">
            <v>Toco de tubo FD flange/flange PN-10/16 DN 100 comp = 4,50 m</v>
          </cell>
          <cell r="C5770" t="str">
            <v>ud</v>
          </cell>
          <cell r="D5770">
            <v>0</v>
          </cell>
          <cell r="E5770">
            <v>1613.63</v>
          </cell>
          <cell r="F5770">
            <v>1613.63</v>
          </cell>
        </row>
        <row r="5771">
          <cell r="A5771" t="str">
            <v>228029</v>
          </cell>
          <cell r="B5771" t="str">
            <v>Toco de tubo FD flange/flange PN-10/16 DN 100 comp = 5,00 m</v>
          </cell>
          <cell r="C5771" t="str">
            <v>ud</v>
          </cell>
          <cell r="D5771">
            <v>0</v>
          </cell>
          <cell r="E5771">
            <v>1796.12</v>
          </cell>
          <cell r="F5771">
            <v>1796.12</v>
          </cell>
        </row>
        <row r="5772">
          <cell r="A5772" t="str">
            <v>228030</v>
          </cell>
          <cell r="B5772" t="str">
            <v>Toco de tubo FD flange/flange PN-10/16 DN 100 comp = 5,50 m</v>
          </cell>
          <cell r="C5772" t="str">
            <v>ud</v>
          </cell>
          <cell r="D5772">
            <v>0</v>
          </cell>
          <cell r="E5772">
            <v>1825.61</v>
          </cell>
          <cell r="F5772">
            <v>1825.61</v>
          </cell>
        </row>
        <row r="5773">
          <cell r="A5773" t="str">
            <v>228031</v>
          </cell>
          <cell r="B5773" t="str">
            <v>Toco de tubo FD flange/flange PN-10/16 DN 100 comp = 5,80 m</v>
          </cell>
          <cell r="C5773" t="str">
            <v>ud</v>
          </cell>
          <cell r="D5773">
            <v>0</v>
          </cell>
          <cell r="E5773">
            <v>1842.01</v>
          </cell>
          <cell r="F5773">
            <v>1842.01</v>
          </cell>
        </row>
        <row r="5774">
          <cell r="A5774" t="str">
            <v>228032</v>
          </cell>
          <cell r="B5774" t="str">
            <v>Toco de tubo FD flange/flange PN-10/16 DN 150 comp = 0,25 m</v>
          </cell>
          <cell r="C5774" t="str">
            <v>ud</v>
          </cell>
          <cell r="D5774">
            <v>0</v>
          </cell>
          <cell r="E5774">
            <v>329.45</v>
          </cell>
          <cell r="F5774">
            <v>329.45</v>
          </cell>
        </row>
        <row r="5775">
          <cell r="A5775" t="str">
            <v>228033</v>
          </cell>
          <cell r="B5775" t="str">
            <v>Toco de tubo FD flange/flange PN-10/16 DN 150 comp = 0,50 m</v>
          </cell>
          <cell r="C5775" t="str">
            <v>ud</v>
          </cell>
          <cell r="D5775">
            <v>0</v>
          </cell>
          <cell r="E5775">
            <v>465.47</v>
          </cell>
          <cell r="F5775">
            <v>465.47</v>
          </cell>
        </row>
        <row r="5776">
          <cell r="A5776" t="str">
            <v>228034</v>
          </cell>
          <cell r="B5776" t="str">
            <v>Toco de tubo FD flange/flange PN-10/16 DN 150 comp = 1,00 m</v>
          </cell>
          <cell r="C5776" t="str">
            <v>ud</v>
          </cell>
          <cell r="D5776">
            <v>0</v>
          </cell>
          <cell r="E5776">
            <v>795.28</v>
          </cell>
          <cell r="F5776">
            <v>795.28</v>
          </cell>
        </row>
        <row r="5777">
          <cell r="A5777" t="str">
            <v>228035</v>
          </cell>
          <cell r="B5777" t="str">
            <v>Toco de tubo FD flange/flange PN-10/16 DN 150 comp = 1,50 m</v>
          </cell>
          <cell r="C5777" t="str">
            <v>ud</v>
          </cell>
          <cell r="D5777">
            <v>0</v>
          </cell>
          <cell r="E5777">
            <v>1026.32</v>
          </cell>
          <cell r="F5777">
            <v>1026.32</v>
          </cell>
        </row>
        <row r="5778">
          <cell r="A5778" t="str">
            <v>228036</v>
          </cell>
          <cell r="B5778" t="str">
            <v>Toco de tubo FD flange/flange PN-10/16 DN 150 comp = 2,00 m</v>
          </cell>
          <cell r="C5778" t="str">
            <v>ud</v>
          </cell>
          <cell r="D5778">
            <v>0</v>
          </cell>
          <cell r="E5778">
            <v>1205.46</v>
          </cell>
          <cell r="F5778">
            <v>1205.46</v>
          </cell>
        </row>
        <row r="5779">
          <cell r="A5779" t="str">
            <v>228037</v>
          </cell>
          <cell r="B5779" t="str">
            <v>Toco de tubo FD flange/flange PN-10/16 DN 150 comp = 2,50 m</v>
          </cell>
          <cell r="C5779" t="str">
            <v>ud</v>
          </cell>
          <cell r="D5779">
            <v>0</v>
          </cell>
          <cell r="E5779">
            <v>1384.6</v>
          </cell>
          <cell r="F5779">
            <v>1384.6</v>
          </cell>
        </row>
        <row r="5780">
          <cell r="A5780" t="str">
            <v>228038</v>
          </cell>
          <cell r="B5780" t="str">
            <v>Toco de tubo FD flange/flange PN-10/16 DN 150 comp = 3,00 m</v>
          </cell>
          <cell r="C5780" t="str">
            <v>ud</v>
          </cell>
          <cell r="D5780">
            <v>0</v>
          </cell>
          <cell r="E5780">
            <v>1563.74</v>
          </cell>
          <cell r="F5780">
            <v>1563.74</v>
          </cell>
        </row>
        <row r="5781">
          <cell r="A5781" t="str">
            <v>228039</v>
          </cell>
          <cell r="B5781" t="str">
            <v>Toco de tubo FD flange/flange PN-10/16 DN 150 comp = 3,50 m</v>
          </cell>
          <cell r="C5781" t="str">
            <v>ud</v>
          </cell>
          <cell r="D5781">
            <v>0</v>
          </cell>
          <cell r="E5781">
            <v>1742.88</v>
          </cell>
          <cell r="F5781">
            <v>1742.88</v>
          </cell>
        </row>
        <row r="5782">
          <cell r="A5782" t="str">
            <v>228040</v>
          </cell>
          <cell r="B5782" t="str">
            <v>Toco de tubo FD flange/flange PN-10/16 DN 150 comp = 4,00 m</v>
          </cell>
          <cell r="C5782" t="str">
            <v>ud</v>
          </cell>
          <cell r="D5782">
            <v>0</v>
          </cell>
          <cell r="E5782">
            <v>1918.07</v>
          </cell>
          <cell r="F5782">
            <v>1918.07</v>
          </cell>
        </row>
        <row r="5783">
          <cell r="A5783" t="str">
            <v>228041</v>
          </cell>
          <cell r="B5783" t="str">
            <v>Toco de tubo FD flange/flange PN-10/16 DN 150 comp = 4,50 m</v>
          </cell>
          <cell r="C5783" t="str">
            <v>ud</v>
          </cell>
          <cell r="D5783">
            <v>0</v>
          </cell>
          <cell r="E5783">
            <v>2058.69</v>
          </cell>
          <cell r="F5783">
            <v>2058.69</v>
          </cell>
        </row>
        <row r="5784">
          <cell r="A5784" t="str">
            <v>228042</v>
          </cell>
          <cell r="B5784" t="str">
            <v>Toco de tubo FD flange/flange PN-10/16 DN 150 comp = 5,00 m</v>
          </cell>
          <cell r="C5784" t="str">
            <v>ud</v>
          </cell>
          <cell r="D5784">
            <v>0</v>
          </cell>
          <cell r="E5784">
            <v>2280.3000000000002</v>
          </cell>
          <cell r="F5784">
            <v>2280.3000000000002</v>
          </cell>
        </row>
        <row r="5785">
          <cell r="A5785" t="str">
            <v>228043</v>
          </cell>
          <cell r="B5785" t="str">
            <v>Toco de tubo FD flange/flange PN-10/16 DN 150 comp = 5,50 m</v>
          </cell>
          <cell r="C5785" t="str">
            <v>ud</v>
          </cell>
          <cell r="D5785">
            <v>0</v>
          </cell>
          <cell r="E5785">
            <v>2337.5700000000002</v>
          </cell>
          <cell r="F5785">
            <v>2337.5700000000002</v>
          </cell>
        </row>
        <row r="5786">
          <cell r="A5786" t="str">
            <v>228044</v>
          </cell>
          <cell r="B5786" t="str">
            <v>Toco de tubo FD flange/flange PN-10/16 DN 150 comp = 5,80 m</v>
          </cell>
          <cell r="C5786" t="str">
            <v>ud</v>
          </cell>
          <cell r="D5786">
            <v>0</v>
          </cell>
          <cell r="E5786">
            <v>2386.5300000000002</v>
          </cell>
          <cell r="F5786">
            <v>2386.5300000000002</v>
          </cell>
        </row>
        <row r="5787">
          <cell r="A5787" t="str">
            <v>228045</v>
          </cell>
          <cell r="B5787" t="str">
            <v>Toco de tubo FD flange/flange PN-10/16 DN 200 comp = 0,25 m</v>
          </cell>
          <cell r="C5787" t="str">
            <v>ud</v>
          </cell>
          <cell r="D5787">
            <v>0</v>
          </cell>
          <cell r="E5787">
            <v>465.47</v>
          </cell>
          <cell r="F5787">
            <v>465.47</v>
          </cell>
        </row>
        <row r="5788">
          <cell r="A5788" t="str">
            <v>228046</v>
          </cell>
          <cell r="B5788" t="str">
            <v>Toco de tubo FD flange/flange PN-10/16 DN 200 comp = 0,50 m</v>
          </cell>
          <cell r="C5788" t="str">
            <v>ud</v>
          </cell>
          <cell r="D5788">
            <v>0</v>
          </cell>
          <cell r="E5788">
            <v>599.67999999999995</v>
          </cell>
          <cell r="F5788">
            <v>599.67999999999995</v>
          </cell>
        </row>
        <row r="5789">
          <cell r="A5789" t="str">
            <v>228047</v>
          </cell>
          <cell r="B5789" t="str">
            <v>Toco de tubo FD flange/flange PN-10/16 DN 200 comp = 1,00 m</v>
          </cell>
          <cell r="C5789" t="str">
            <v>ud</v>
          </cell>
          <cell r="D5789">
            <v>0</v>
          </cell>
          <cell r="E5789">
            <v>1032.76</v>
          </cell>
          <cell r="F5789">
            <v>1032.76</v>
          </cell>
        </row>
        <row r="5790">
          <cell r="A5790" t="str">
            <v>228048</v>
          </cell>
          <cell r="B5790" t="str">
            <v>Toco de tubo FD flange/flange PN-10/16 DN 200 comp = 1,50 m</v>
          </cell>
          <cell r="C5790" t="str">
            <v>ud</v>
          </cell>
          <cell r="D5790">
            <v>0</v>
          </cell>
          <cell r="E5790">
            <v>1305.05</v>
          </cell>
          <cell r="F5790">
            <v>1305.05</v>
          </cell>
        </row>
        <row r="5791">
          <cell r="A5791" t="str">
            <v>228049</v>
          </cell>
          <cell r="B5791" t="str">
            <v>Toco de tubo FD flange/flange PN-10/16 DN 200 comp = 2,00 m</v>
          </cell>
          <cell r="C5791" t="str">
            <v>ud</v>
          </cell>
          <cell r="D5791">
            <v>0</v>
          </cell>
          <cell r="E5791">
            <v>1529.29</v>
          </cell>
          <cell r="F5791">
            <v>1529.29</v>
          </cell>
        </row>
        <row r="5792">
          <cell r="A5792" t="str">
            <v>228050</v>
          </cell>
          <cell r="B5792" t="str">
            <v>Toco de tubo FD flange/flange PN-10/16 DN 200 comp = 2,50 m</v>
          </cell>
          <cell r="C5792" t="str">
            <v>ud</v>
          </cell>
          <cell r="D5792">
            <v>0</v>
          </cell>
          <cell r="E5792">
            <v>1753.54</v>
          </cell>
          <cell r="F5792">
            <v>1753.54</v>
          </cell>
        </row>
        <row r="5793">
          <cell r="A5793" t="str">
            <v>228051</v>
          </cell>
          <cell r="B5793" t="str">
            <v>Toco de tubo FD flange/flange PN-10/16 DN 200 comp = 3,00 m</v>
          </cell>
          <cell r="C5793" t="str">
            <v>ud</v>
          </cell>
          <cell r="D5793">
            <v>0</v>
          </cell>
          <cell r="E5793">
            <v>1977.78</v>
          </cell>
          <cell r="F5793">
            <v>1977.78</v>
          </cell>
        </row>
        <row r="5794">
          <cell r="A5794" t="str">
            <v>228052</v>
          </cell>
          <cell r="B5794" t="str">
            <v>Toco de tubo FD flange/flange PN-10/16 DN 200 comp = 3,50 m</v>
          </cell>
          <cell r="C5794" t="str">
            <v>ud</v>
          </cell>
          <cell r="D5794">
            <v>0</v>
          </cell>
          <cell r="E5794">
            <v>2187.84</v>
          </cell>
          <cell r="F5794">
            <v>2187.84</v>
          </cell>
        </row>
        <row r="5795">
          <cell r="A5795" t="str">
            <v>228053</v>
          </cell>
          <cell r="B5795" t="str">
            <v>Toco de tubo FD flange/flange PN-10/16 DN 200 comp = 4,00 m</v>
          </cell>
          <cell r="C5795" t="str">
            <v>ud</v>
          </cell>
          <cell r="D5795">
            <v>0</v>
          </cell>
          <cell r="E5795">
            <v>2364.54</v>
          </cell>
          <cell r="F5795">
            <v>2364.54</v>
          </cell>
        </row>
        <row r="5796">
          <cell r="A5796" t="str">
            <v>228054</v>
          </cell>
          <cell r="B5796" t="str">
            <v>Toco de tubo FD flange/flange PN-10/16 DN 200 comp = 4,50 m</v>
          </cell>
          <cell r="C5796" t="str">
            <v>ud</v>
          </cell>
          <cell r="D5796">
            <v>0</v>
          </cell>
          <cell r="E5796">
            <v>2541.27</v>
          </cell>
          <cell r="F5796">
            <v>2541.27</v>
          </cell>
        </row>
        <row r="5797">
          <cell r="A5797" t="str">
            <v>228055</v>
          </cell>
          <cell r="B5797" t="str">
            <v>Toco de tubo FD flange/flange PN-10/16 DN 200 comp = 5,00 m</v>
          </cell>
          <cell r="C5797" t="str">
            <v>ud</v>
          </cell>
          <cell r="D5797">
            <v>0</v>
          </cell>
          <cell r="E5797">
            <v>2833.55</v>
          </cell>
          <cell r="F5797">
            <v>2833.55</v>
          </cell>
        </row>
        <row r="5798">
          <cell r="A5798" t="str">
            <v>228056</v>
          </cell>
          <cell r="B5798" t="str">
            <v>Toco de tubo FD flange/flange PN-10/16 DN 200 comp = 5,50 m</v>
          </cell>
          <cell r="C5798" t="str">
            <v>ud</v>
          </cell>
          <cell r="D5798">
            <v>0</v>
          </cell>
          <cell r="E5798">
            <v>2895.78</v>
          </cell>
          <cell r="F5798">
            <v>2895.78</v>
          </cell>
        </row>
        <row r="5799">
          <cell r="A5799" t="str">
            <v>228057</v>
          </cell>
          <cell r="B5799" t="str">
            <v>Toco de tubo FD flange/flange PN-10/16 DN 200 comp = 5,80 m</v>
          </cell>
          <cell r="C5799" t="str">
            <v>ud</v>
          </cell>
          <cell r="D5799">
            <v>0</v>
          </cell>
          <cell r="E5799">
            <v>2935.1</v>
          </cell>
          <cell r="F5799">
            <v>2935.1</v>
          </cell>
        </row>
        <row r="5800">
          <cell r="A5800" t="str">
            <v>228058</v>
          </cell>
          <cell r="B5800" t="str">
            <v>Toco de tubo FD flange/flange PN-10/16 DN 250 comp = 0,25 m</v>
          </cell>
          <cell r="C5800" t="str">
            <v>ud</v>
          </cell>
          <cell r="D5800">
            <v>0</v>
          </cell>
          <cell r="E5800">
            <v>727.3</v>
          </cell>
          <cell r="F5800">
            <v>727.3</v>
          </cell>
        </row>
        <row r="5801">
          <cell r="A5801" t="str">
            <v>228059</v>
          </cell>
          <cell r="B5801" t="str">
            <v>Toco de tubo FD flange/flange PN-10/16 DN 250 comp = 0,50 m</v>
          </cell>
          <cell r="C5801" t="str">
            <v>ud</v>
          </cell>
          <cell r="D5801">
            <v>0</v>
          </cell>
          <cell r="E5801">
            <v>872.75</v>
          </cell>
          <cell r="F5801">
            <v>872.75</v>
          </cell>
        </row>
        <row r="5802">
          <cell r="A5802" t="str">
            <v>228060</v>
          </cell>
          <cell r="B5802" t="str">
            <v>Toco de tubo FD flange/flange PN-10/16 DN 250 comp = 1,00 m</v>
          </cell>
          <cell r="C5802" t="str">
            <v>ud</v>
          </cell>
          <cell r="D5802">
            <v>0</v>
          </cell>
          <cell r="E5802">
            <v>1163.67</v>
          </cell>
          <cell r="F5802">
            <v>1163.67</v>
          </cell>
        </row>
        <row r="5803">
          <cell r="A5803" t="str">
            <v>228061</v>
          </cell>
          <cell r="B5803" t="str">
            <v>Toco de tubo FD flange/flange PN-10/16 DN 250 comp = 1,50 m</v>
          </cell>
          <cell r="C5803" t="str">
            <v>ud</v>
          </cell>
          <cell r="D5803">
            <v>0</v>
          </cell>
          <cell r="E5803">
            <v>1773.26</v>
          </cell>
          <cell r="F5803">
            <v>1773.26</v>
          </cell>
        </row>
        <row r="5804">
          <cell r="A5804" t="str">
            <v>228062</v>
          </cell>
          <cell r="B5804" t="str">
            <v>Toco de tubo FD flange/flange PN-10/16 DN 250 comp = 2,00 m</v>
          </cell>
          <cell r="C5804" t="str">
            <v>ud</v>
          </cell>
          <cell r="D5804">
            <v>0</v>
          </cell>
          <cell r="E5804">
            <v>2002.36</v>
          </cell>
          <cell r="F5804">
            <v>2002.36</v>
          </cell>
        </row>
        <row r="5805">
          <cell r="A5805" t="str">
            <v>228063</v>
          </cell>
          <cell r="B5805" t="str">
            <v>Toco de tubo FD flange/flange PN-10/16 DN 250 comp = 2,50 m</v>
          </cell>
          <cell r="C5805" t="str">
            <v>ud</v>
          </cell>
          <cell r="D5805">
            <v>0</v>
          </cell>
          <cell r="E5805">
            <v>2228.5500000000002</v>
          </cell>
          <cell r="F5805">
            <v>2228.5500000000002</v>
          </cell>
        </row>
        <row r="5806">
          <cell r="A5806" t="str">
            <v>228064</v>
          </cell>
          <cell r="B5806" t="str">
            <v>Toco de tubo FD flange/flange PN-10/16 DN 250 comp = 3,00 m</v>
          </cell>
          <cell r="C5806" t="str">
            <v>ud</v>
          </cell>
          <cell r="D5806">
            <v>0</v>
          </cell>
          <cell r="E5806">
            <v>2454.69</v>
          </cell>
          <cell r="F5806">
            <v>2454.69</v>
          </cell>
        </row>
        <row r="5807">
          <cell r="A5807" t="str">
            <v>228065</v>
          </cell>
          <cell r="B5807" t="str">
            <v>Toco de tubo FD flange/flange PN-10/16 DN 250 comp = 3,50 m</v>
          </cell>
          <cell r="C5807" t="str">
            <v>ud</v>
          </cell>
          <cell r="D5807">
            <v>0</v>
          </cell>
          <cell r="E5807">
            <v>2680.91</v>
          </cell>
          <cell r="F5807">
            <v>2680.91</v>
          </cell>
        </row>
        <row r="5808">
          <cell r="A5808" t="str">
            <v>228066</v>
          </cell>
          <cell r="B5808" t="str">
            <v>Toco de tubo FD flange/flange PN-10/16 DN 250 comp = 4,00 m</v>
          </cell>
          <cell r="C5808" t="str">
            <v>ud</v>
          </cell>
          <cell r="D5808">
            <v>0</v>
          </cell>
          <cell r="E5808">
            <v>2907.05</v>
          </cell>
          <cell r="F5808">
            <v>2907.05</v>
          </cell>
        </row>
        <row r="5809">
          <cell r="A5809" t="str">
            <v>228067</v>
          </cell>
          <cell r="B5809" t="str">
            <v>Toco de tubo FD flange/flange PN-10/16 DN 250 comp = 4,50 m</v>
          </cell>
          <cell r="C5809" t="str">
            <v>ud</v>
          </cell>
          <cell r="D5809">
            <v>0</v>
          </cell>
          <cell r="E5809">
            <v>3133.25</v>
          </cell>
          <cell r="F5809">
            <v>3133.25</v>
          </cell>
        </row>
        <row r="5810">
          <cell r="A5810" t="str">
            <v>228068</v>
          </cell>
          <cell r="B5810" t="str">
            <v>Toco de tubo FD flange/flange PN-10/16 DN 250 comp = 5,00 m</v>
          </cell>
          <cell r="C5810" t="str">
            <v>ud</v>
          </cell>
          <cell r="D5810">
            <v>0</v>
          </cell>
          <cell r="E5810">
            <v>3505.13</v>
          </cell>
          <cell r="F5810">
            <v>3505.13</v>
          </cell>
        </row>
        <row r="5811">
          <cell r="A5811" t="str">
            <v>228069</v>
          </cell>
          <cell r="B5811" t="str">
            <v>Toco de tubo FD flange/flange PN-10/16 DN 250 comp = 5,50 m</v>
          </cell>
          <cell r="C5811" t="str">
            <v>ud</v>
          </cell>
          <cell r="D5811">
            <v>0</v>
          </cell>
          <cell r="E5811">
            <v>3586.91</v>
          </cell>
          <cell r="F5811">
            <v>3586.91</v>
          </cell>
        </row>
        <row r="5812">
          <cell r="A5812" t="str">
            <v>228070</v>
          </cell>
          <cell r="B5812" t="str">
            <v>Toco de tubo FD flange/flange PN-10/16 DN 250 comp = 5,80 m</v>
          </cell>
          <cell r="C5812" t="str">
            <v>ud</v>
          </cell>
          <cell r="D5812">
            <v>0</v>
          </cell>
          <cell r="E5812">
            <v>3636</v>
          </cell>
          <cell r="F5812">
            <v>3636</v>
          </cell>
        </row>
        <row r="5813">
          <cell r="A5813" t="str">
            <v>228071</v>
          </cell>
          <cell r="B5813" t="str">
            <v>Toco de tubo FD flange/flange PN-10/16 DN 300 comp = 0,25 m</v>
          </cell>
          <cell r="C5813" t="str">
            <v>ud</v>
          </cell>
          <cell r="D5813">
            <v>0</v>
          </cell>
          <cell r="E5813">
            <v>945.48</v>
          </cell>
          <cell r="F5813">
            <v>945.48</v>
          </cell>
        </row>
        <row r="5814">
          <cell r="A5814" t="str">
            <v>228072</v>
          </cell>
          <cell r="B5814" t="str">
            <v>Toco de tubo FD flange/flange PN-10/16 DN 300 comp = 0,50 m</v>
          </cell>
          <cell r="C5814" t="str">
            <v>ud</v>
          </cell>
          <cell r="D5814">
            <v>0</v>
          </cell>
          <cell r="E5814">
            <v>973.57</v>
          </cell>
          <cell r="F5814">
            <v>973.57</v>
          </cell>
        </row>
        <row r="5815">
          <cell r="A5815" t="str">
            <v>228073</v>
          </cell>
          <cell r="B5815" t="str">
            <v>Toco de tubo FD flange/flange PN-10/16 DN 300 comp = 1,00 m</v>
          </cell>
          <cell r="C5815" t="str">
            <v>ud</v>
          </cell>
          <cell r="D5815">
            <v>0</v>
          </cell>
          <cell r="E5815">
            <v>1600.05</v>
          </cell>
          <cell r="F5815">
            <v>1600.05</v>
          </cell>
        </row>
        <row r="5816">
          <cell r="A5816" t="str">
            <v>228074</v>
          </cell>
          <cell r="B5816" t="str">
            <v>Toco de tubo FD flange/flange PN-10/16 DN 300 comp = 1,50 m</v>
          </cell>
          <cell r="C5816" t="str">
            <v>ud</v>
          </cell>
          <cell r="D5816">
            <v>0</v>
          </cell>
          <cell r="E5816">
            <v>2163.31</v>
          </cell>
          <cell r="F5816">
            <v>2163.31</v>
          </cell>
        </row>
        <row r="5817">
          <cell r="A5817" t="str">
            <v>228075</v>
          </cell>
          <cell r="B5817" t="str">
            <v>Toco de tubo FD flange/flange PN-10/16 DN 300 comp = 2,00 m</v>
          </cell>
          <cell r="C5817" t="str">
            <v>ud</v>
          </cell>
          <cell r="D5817">
            <v>0</v>
          </cell>
          <cell r="E5817">
            <v>2433.16</v>
          </cell>
          <cell r="F5817">
            <v>2433.16</v>
          </cell>
        </row>
        <row r="5818">
          <cell r="A5818" t="str">
            <v>228076</v>
          </cell>
          <cell r="B5818" t="str">
            <v>Toco de tubo FD flange/flange PN-10/16 DN 300 comp = 2,50 m</v>
          </cell>
          <cell r="C5818" t="str">
            <v>ud</v>
          </cell>
          <cell r="D5818">
            <v>0</v>
          </cell>
          <cell r="E5818">
            <v>2706.2</v>
          </cell>
          <cell r="F5818">
            <v>2706.2</v>
          </cell>
        </row>
        <row r="5819">
          <cell r="A5819" t="str">
            <v>228077</v>
          </cell>
          <cell r="B5819" t="str">
            <v>Toco de tubo FD flange/flange PN-10/16 DN 300 comp = 3,00 m</v>
          </cell>
          <cell r="C5819" t="str">
            <v>ud</v>
          </cell>
          <cell r="D5819">
            <v>0</v>
          </cell>
          <cell r="E5819">
            <v>2979.3</v>
          </cell>
          <cell r="F5819">
            <v>2979.3</v>
          </cell>
        </row>
        <row r="5820">
          <cell r="A5820" t="str">
            <v>228078</v>
          </cell>
          <cell r="B5820" t="str">
            <v>Toco de tubo FD flange/flange PN-10/16 DN 300 comp = 3,50 m</v>
          </cell>
          <cell r="C5820" t="str">
            <v>ud</v>
          </cell>
          <cell r="D5820">
            <v>0</v>
          </cell>
          <cell r="E5820">
            <v>3267.86</v>
          </cell>
          <cell r="F5820">
            <v>3267.86</v>
          </cell>
        </row>
        <row r="5821">
          <cell r="A5821" t="str">
            <v>228079</v>
          </cell>
          <cell r="B5821" t="str">
            <v>Toco de tubo FD flange/flange PN-10/16 DN 300 comp = 4,00 m</v>
          </cell>
          <cell r="C5821" t="str">
            <v>ud</v>
          </cell>
          <cell r="D5821">
            <v>0</v>
          </cell>
          <cell r="E5821">
            <v>3522.16</v>
          </cell>
          <cell r="F5821">
            <v>3522.16</v>
          </cell>
        </row>
        <row r="5822">
          <cell r="A5822" t="str">
            <v>228080</v>
          </cell>
          <cell r="B5822" t="str">
            <v>Toco de tubo FD flange/flange PN-10/16 DN 300 comp = 4,50 m</v>
          </cell>
          <cell r="C5822" t="str">
            <v>ud</v>
          </cell>
          <cell r="D5822">
            <v>0</v>
          </cell>
          <cell r="E5822">
            <v>3795.25</v>
          </cell>
          <cell r="F5822">
            <v>3795.25</v>
          </cell>
        </row>
        <row r="5823">
          <cell r="A5823" t="str">
            <v>228081</v>
          </cell>
          <cell r="B5823" t="str">
            <v>Toco de tubo FD flange/flange PN-10/16 DN 300 comp = 5,00 m</v>
          </cell>
          <cell r="C5823" t="str">
            <v>ud</v>
          </cell>
          <cell r="D5823">
            <v>0</v>
          </cell>
          <cell r="E5823">
            <v>4235.24</v>
          </cell>
          <cell r="F5823">
            <v>4235.24</v>
          </cell>
        </row>
        <row r="5824">
          <cell r="A5824" t="str">
            <v>228082</v>
          </cell>
          <cell r="B5824" t="str">
            <v>Toco de tubo FD flange/flange PN-10/16 DN 300 comp = 5,50 m</v>
          </cell>
          <cell r="C5824" t="str">
            <v>ud</v>
          </cell>
          <cell r="D5824">
            <v>0</v>
          </cell>
          <cell r="E5824">
            <v>4339.74</v>
          </cell>
          <cell r="F5824">
            <v>4339.74</v>
          </cell>
        </row>
        <row r="5825">
          <cell r="A5825" t="str">
            <v>228083</v>
          </cell>
          <cell r="B5825" t="str">
            <v>Toco de tubo FD flange/flange PN-10/16 DN 300 comp = 5,80 m</v>
          </cell>
          <cell r="C5825" t="str">
            <v>ud</v>
          </cell>
          <cell r="D5825">
            <v>0</v>
          </cell>
          <cell r="E5825">
            <v>4612.6400000000003</v>
          </cell>
          <cell r="F5825">
            <v>4612.6400000000003</v>
          </cell>
        </row>
        <row r="5826">
          <cell r="A5826" t="str">
            <v>228084</v>
          </cell>
          <cell r="B5826" t="str">
            <v>Toco de tubo FD flange/flange PN-10 DN 400 comp = 0,25 m</v>
          </cell>
          <cell r="C5826" t="str">
            <v>ud</v>
          </cell>
          <cell r="D5826">
            <v>0</v>
          </cell>
          <cell r="E5826">
            <v>1381.86</v>
          </cell>
          <cell r="F5826">
            <v>1381.86</v>
          </cell>
        </row>
        <row r="5827">
          <cell r="A5827" t="str">
            <v>228085</v>
          </cell>
          <cell r="B5827" t="str">
            <v>Toco de tubo FD flange/flange PN-10 DN 400 comp = 0,50 m</v>
          </cell>
          <cell r="C5827" t="str">
            <v>ud</v>
          </cell>
          <cell r="D5827">
            <v>0</v>
          </cell>
          <cell r="E5827">
            <v>1818.24</v>
          </cell>
          <cell r="F5827">
            <v>1818.24</v>
          </cell>
        </row>
        <row r="5828">
          <cell r="A5828" t="str">
            <v>228086</v>
          </cell>
          <cell r="B5828" t="str">
            <v>Toco de tubo FD flange/flange PN-10 DN 400 comp = 1,00 m</v>
          </cell>
          <cell r="C5828" t="str">
            <v>ud</v>
          </cell>
          <cell r="D5828">
            <v>0</v>
          </cell>
          <cell r="E5828">
            <v>2293.9</v>
          </cell>
          <cell r="F5828">
            <v>2293.9</v>
          </cell>
        </row>
        <row r="5829">
          <cell r="A5829" t="str">
            <v>228087</v>
          </cell>
          <cell r="B5829" t="str">
            <v>Toco de tubo FD flange/flange PN-10 DN 400 comp = 1,50 m</v>
          </cell>
          <cell r="C5829" t="str">
            <v>ud</v>
          </cell>
          <cell r="D5829">
            <v>0</v>
          </cell>
          <cell r="E5829">
            <v>3027.85</v>
          </cell>
          <cell r="F5829">
            <v>3027.85</v>
          </cell>
        </row>
        <row r="5830">
          <cell r="A5830" t="str">
            <v>228088</v>
          </cell>
          <cell r="B5830" t="str">
            <v>Toco de tubo FD flange/flange PN-10 DN 400 comp = 2,00 m</v>
          </cell>
          <cell r="C5830" t="str">
            <v>ud</v>
          </cell>
          <cell r="D5830">
            <v>0</v>
          </cell>
          <cell r="E5830">
            <v>3411.58</v>
          </cell>
          <cell r="F5830">
            <v>3411.58</v>
          </cell>
        </row>
        <row r="5831">
          <cell r="A5831" t="str">
            <v>228089</v>
          </cell>
          <cell r="B5831" t="str">
            <v>Toco de tubo FD flange/flange PN-10 DN 400 comp = 2,50 m</v>
          </cell>
          <cell r="C5831" t="str">
            <v>ud</v>
          </cell>
          <cell r="D5831">
            <v>0</v>
          </cell>
          <cell r="E5831">
            <v>3884.21</v>
          </cell>
          <cell r="F5831">
            <v>3884.21</v>
          </cell>
        </row>
        <row r="5832">
          <cell r="A5832" t="str">
            <v>228090</v>
          </cell>
          <cell r="B5832" t="str">
            <v>Toco de tubo FD flange/flange PN-10 DN 400 comp = 3,00 m</v>
          </cell>
          <cell r="C5832" t="str">
            <v>ud</v>
          </cell>
          <cell r="D5832">
            <v>0</v>
          </cell>
          <cell r="E5832">
            <v>4179.03</v>
          </cell>
          <cell r="F5832">
            <v>4179.03</v>
          </cell>
        </row>
        <row r="5833">
          <cell r="A5833" t="str">
            <v>228091</v>
          </cell>
          <cell r="B5833" t="str">
            <v>Toco de tubo FD flange/flange PN-10 DN 400 comp = 3,50 m</v>
          </cell>
          <cell r="C5833" t="str">
            <v>ud</v>
          </cell>
          <cell r="D5833">
            <v>0</v>
          </cell>
          <cell r="E5833">
            <v>4562.6899999999996</v>
          </cell>
          <cell r="F5833">
            <v>4562.6899999999996</v>
          </cell>
        </row>
        <row r="5834">
          <cell r="A5834" t="str">
            <v>228092</v>
          </cell>
          <cell r="B5834" t="str">
            <v>Toco de tubo FD flange/flange PN-10 DN 400 comp = 4,00 m</v>
          </cell>
          <cell r="C5834" t="str">
            <v>ud</v>
          </cell>
          <cell r="D5834">
            <v>0</v>
          </cell>
          <cell r="E5834">
            <v>4946.45</v>
          </cell>
          <cell r="F5834">
            <v>4946.45</v>
          </cell>
        </row>
        <row r="5835">
          <cell r="A5835" t="str">
            <v>228093</v>
          </cell>
          <cell r="B5835" t="str">
            <v>Toco de tubo FD flange/flange PN-10 DN 400 comp = 4,50 m</v>
          </cell>
          <cell r="C5835" t="str">
            <v>ud</v>
          </cell>
          <cell r="D5835">
            <v>0</v>
          </cell>
          <cell r="E5835">
            <v>5419.05</v>
          </cell>
          <cell r="F5835">
            <v>5419.05</v>
          </cell>
        </row>
        <row r="5836">
          <cell r="A5836" t="str">
            <v>228094</v>
          </cell>
          <cell r="B5836" t="str">
            <v>Toco de tubo FD flange/flange PN-10 DN 400 comp = 5,00 m</v>
          </cell>
          <cell r="C5836" t="str">
            <v>ud</v>
          </cell>
          <cell r="D5836">
            <v>0</v>
          </cell>
          <cell r="E5836">
            <v>5943.15</v>
          </cell>
          <cell r="F5836">
            <v>5943.15</v>
          </cell>
        </row>
        <row r="5837">
          <cell r="A5837" t="str">
            <v>228095</v>
          </cell>
          <cell r="B5837" t="str">
            <v>Toco de tubo FD flange/flange PN-10 DN 400 comp = 5,50 m</v>
          </cell>
          <cell r="C5837" t="str">
            <v>ud</v>
          </cell>
          <cell r="D5837">
            <v>0</v>
          </cell>
          <cell r="E5837">
            <v>6188.57</v>
          </cell>
          <cell r="F5837">
            <v>6188.57</v>
          </cell>
        </row>
        <row r="5838">
          <cell r="A5838" t="str">
            <v>228096</v>
          </cell>
          <cell r="B5838" t="str">
            <v>Toco de tubo FD flange/flange PN-10 DN 400 comp = 5,80 m</v>
          </cell>
          <cell r="C5838" t="str">
            <v>ud</v>
          </cell>
          <cell r="D5838">
            <v>0</v>
          </cell>
          <cell r="E5838">
            <v>6193.56</v>
          </cell>
          <cell r="F5838">
            <v>6193.56</v>
          </cell>
        </row>
        <row r="5839">
          <cell r="A5839" t="str">
            <v>2281</v>
          </cell>
          <cell r="B5839" t="str">
            <v>TOCO DE TUBO FD PONTA/FLANGE</v>
          </cell>
        </row>
        <row r="5840">
          <cell r="A5840" t="str">
            <v>228101</v>
          </cell>
          <cell r="B5840" t="str">
            <v>Toco de tubo FD ponta/flange PN-10/16/25 DN 50 comp = 0,25 m</v>
          </cell>
          <cell r="C5840" t="str">
            <v>ud</v>
          </cell>
          <cell r="D5840">
            <v>0</v>
          </cell>
          <cell r="E5840">
            <v>119.56</v>
          </cell>
          <cell r="F5840">
            <v>119.56</v>
          </cell>
        </row>
        <row r="5841">
          <cell r="A5841" t="str">
            <v>228102</v>
          </cell>
          <cell r="B5841" t="str">
            <v>Toco de tubo FD ponta/flange PN-10/16/25 DN 50 comp = 0,50 m</v>
          </cell>
          <cell r="C5841" t="str">
            <v>ud</v>
          </cell>
          <cell r="D5841">
            <v>0</v>
          </cell>
          <cell r="E5841">
            <v>198.01</v>
          </cell>
          <cell r="F5841">
            <v>198.01</v>
          </cell>
        </row>
        <row r="5842">
          <cell r="A5842" t="str">
            <v>228103</v>
          </cell>
          <cell r="B5842" t="str">
            <v>Toco de tubo FD ponta/flange PN-10/16 DN 75 comp = 0,25 m</v>
          </cell>
          <cell r="C5842" t="str">
            <v>ud</v>
          </cell>
          <cell r="D5842">
            <v>0</v>
          </cell>
          <cell r="E5842">
            <v>141.97999999999999</v>
          </cell>
          <cell r="F5842">
            <v>141.97999999999999</v>
          </cell>
        </row>
        <row r="5843">
          <cell r="A5843" t="str">
            <v>228104</v>
          </cell>
          <cell r="B5843" t="str">
            <v>Toco de tubo FD ponta/flange PN-10/16 DN 75 comp = 0,50 m</v>
          </cell>
          <cell r="C5843" t="str">
            <v>ud</v>
          </cell>
          <cell r="D5843">
            <v>0</v>
          </cell>
          <cell r="E5843">
            <v>235.4</v>
          </cell>
          <cell r="F5843">
            <v>235.4</v>
          </cell>
        </row>
        <row r="5844">
          <cell r="A5844" t="str">
            <v>228105</v>
          </cell>
          <cell r="B5844" t="str">
            <v>Toco de tubo FD ponta/flange PN-10/16 DN 75 comp = 1,00 m</v>
          </cell>
          <cell r="C5844" t="str">
            <v>ud</v>
          </cell>
          <cell r="D5844">
            <v>0</v>
          </cell>
          <cell r="E5844">
            <v>322.58</v>
          </cell>
          <cell r="F5844">
            <v>322.58</v>
          </cell>
        </row>
        <row r="5845">
          <cell r="A5845" t="str">
            <v>228106</v>
          </cell>
          <cell r="B5845" t="str">
            <v>Toco de tubo FD ponta/flange PN-10/16/25 DN 80 comp = 0,25 m</v>
          </cell>
          <cell r="C5845" t="str">
            <v>ud</v>
          </cell>
          <cell r="D5845">
            <v>0</v>
          </cell>
          <cell r="E5845">
            <v>173.99</v>
          </cell>
          <cell r="F5845">
            <v>173.99</v>
          </cell>
        </row>
        <row r="5846">
          <cell r="A5846" t="str">
            <v>228107</v>
          </cell>
          <cell r="B5846" t="str">
            <v>Toco de tubo FD ponta/flange PN-10/16/25 DN 80 comp = 0,50 m</v>
          </cell>
          <cell r="C5846" t="str">
            <v>ud</v>
          </cell>
          <cell r="D5846">
            <v>0</v>
          </cell>
          <cell r="E5846">
            <v>259.82</v>
          </cell>
          <cell r="F5846">
            <v>259.82</v>
          </cell>
        </row>
        <row r="5847">
          <cell r="A5847" t="str">
            <v>228108</v>
          </cell>
          <cell r="B5847" t="str">
            <v>Toco de tubo FD ponta/flange PN-10/16/25 DN 80 comp = 1,00 m</v>
          </cell>
          <cell r="C5847" t="str">
            <v>ud</v>
          </cell>
          <cell r="D5847">
            <v>0</v>
          </cell>
          <cell r="E5847">
            <v>288.39999999999998</v>
          </cell>
          <cell r="F5847">
            <v>288.39999999999998</v>
          </cell>
        </row>
        <row r="5848">
          <cell r="A5848" t="str">
            <v>228109</v>
          </cell>
          <cell r="B5848" t="str">
            <v>Toco de tubo FD ponta/flange PN-10/16/25 DN 80 comp = 1,50 m</v>
          </cell>
          <cell r="C5848" t="str">
            <v>ud</v>
          </cell>
          <cell r="D5848">
            <v>0</v>
          </cell>
          <cell r="E5848">
            <v>592.67999999999995</v>
          </cell>
          <cell r="F5848">
            <v>592.67999999999995</v>
          </cell>
        </row>
        <row r="5849">
          <cell r="A5849" t="str">
            <v>228110</v>
          </cell>
          <cell r="B5849" t="str">
            <v>Toco de tubo FD ponta/flange PN-10/16/25 DN 80 comp = 2,00 m</v>
          </cell>
          <cell r="C5849" t="str">
            <v>ud</v>
          </cell>
          <cell r="D5849">
            <v>0</v>
          </cell>
          <cell r="E5849">
            <v>741.33</v>
          </cell>
          <cell r="F5849">
            <v>741.33</v>
          </cell>
        </row>
        <row r="5850">
          <cell r="A5850" t="str">
            <v>228111</v>
          </cell>
          <cell r="B5850" t="str">
            <v>Toco de tubo FD ponta/flange PN-10/16/25 DN 80 comp = 2,50 m</v>
          </cell>
          <cell r="C5850" t="str">
            <v>ud</v>
          </cell>
          <cell r="D5850">
            <v>0</v>
          </cell>
          <cell r="E5850">
            <v>867.24</v>
          </cell>
          <cell r="F5850">
            <v>867.24</v>
          </cell>
        </row>
        <row r="5851">
          <cell r="A5851" t="str">
            <v>228112</v>
          </cell>
          <cell r="B5851" t="str">
            <v>Toco de tubo FD ponta/flange PN-10/16/25 DN 80 comp = 3,00 m</v>
          </cell>
          <cell r="C5851" t="str">
            <v>ud</v>
          </cell>
          <cell r="D5851">
            <v>0</v>
          </cell>
          <cell r="E5851">
            <v>965.27</v>
          </cell>
          <cell r="F5851">
            <v>965.27</v>
          </cell>
        </row>
        <row r="5852">
          <cell r="A5852" t="str">
            <v>228113</v>
          </cell>
          <cell r="B5852" t="str">
            <v>Toco de tubo FD ponta/flange PN-10/16/25 DN 80 comp = 3,50 m</v>
          </cell>
          <cell r="C5852" t="str">
            <v>ud</v>
          </cell>
          <cell r="D5852">
            <v>0</v>
          </cell>
          <cell r="E5852">
            <v>1063.3</v>
          </cell>
          <cell r="F5852">
            <v>1063.3</v>
          </cell>
        </row>
        <row r="5853">
          <cell r="A5853" t="str">
            <v>228114</v>
          </cell>
          <cell r="B5853" t="str">
            <v>Toco de tubo FD ponta/flange PN-10/16/25 DN 80 comp = 4,00 m</v>
          </cell>
          <cell r="C5853" t="str">
            <v>ud</v>
          </cell>
          <cell r="D5853">
            <v>0</v>
          </cell>
          <cell r="E5853">
            <v>1230.5999999999999</v>
          </cell>
          <cell r="F5853">
            <v>1230.5999999999999</v>
          </cell>
        </row>
        <row r="5854">
          <cell r="A5854" t="str">
            <v>228115</v>
          </cell>
          <cell r="B5854" t="str">
            <v>Toco de tubo FD ponta/flange PN-10/16/25 DN 80 comp = 4,50 m</v>
          </cell>
          <cell r="C5854" t="str">
            <v>ud</v>
          </cell>
          <cell r="D5854">
            <v>0</v>
          </cell>
          <cell r="E5854">
            <v>1262.6600000000001</v>
          </cell>
          <cell r="F5854">
            <v>1262.6600000000001</v>
          </cell>
        </row>
        <row r="5855">
          <cell r="A5855" t="str">
            <v>228116</v>
          </cell>
          <cell r="B5855" t="str">
            <v>Toco de tubo FD ponta/flange PN-10/16/25 DN 80 comp = 5,00 m</v>
          </cell>
          <cell r="C5855" t="str">
            <v>ud</v>
          </cell>
          <cell r="D5855">
            <v>0</v>
          </cell>
          <cell r="E5855">
            <v>1436.65</v>
          </cell>
          <cell r="F5855">
            <v>1436.65</v>
          </cell>
        </row>
        <row r="5856">
          <cell r="A5856" t="str">
            <v>228117</v>
          </cell>
          <cell r="B5856" t="str">
            <v>Toco de tubo FD ponta/flange PN-10/16/25 DN 80 comp = 5,50 m</v>
          </cell>
          <cell r="C5856" t="str">
            <v>ud</v>
          </cell>
          <cell r="D5856">
            <v>0</v>
          </cell>
          <cell r="E5856">
            <v>1459.44</v>
          </cell>
          <cell r="F5856">
            <v>1459.44</v>
          </cell>
        </row>
        <row r="5857">
          <cell r="A5857" t="str">
            <v>228118</v>
          </cell>
          <cell r="B5857" t="str">
            <v>Toco de tubo FD ponta/flange PN-10/16/25 DN 80 comp = 5,80 m</v>
          </cell>
          <cell r="C5857" t="str">
            <v>ud</v>
          </cell>
          <cell r="D5857">
            <v>0</v>
          </cell>
          <cell r="E5857">
            <v>1475.71</v>
          </cell>
          <cell r="F5857">
            <v>1475.71</v>
          </cell>
        </row>
        <row r="5858">
          <cell r="A5858" t="str">
            <v>228119</v>
          </cell>
          <cell r="B5858" t="str">
            <v>Toco de tubo FD ponta/flange PN-10/16 DN 100 comp = 0,25 m</v>
          </cell>
          <cell r="C5858" t="str">
            <v>ud</v>
          </cell>
          <cell r="D5858">
            <v>0</v>
          </cell>
          <cell r="E5858">
            <v>179.37</v>
          </cell>
          <cell r="F5858">
            <v>179.37</v>
          </cell>
        </row>
        <row r="5859">
          <cell r="A5859" t="str">
            <v>228120</v>
          </cell>
          <cell r="B5859" t="str">
            <v>Toco de tubo FD ponta/flange PN-10/16 DN 100 comp = 0,50 m</v>
          </cell>
          <cell r="C5859" t="str">
            <v>ud</v>
          </cell>
          <cell r="D5859">
            <v>0</v>
          </cell>
          <cell r="E5859">
            <v>308.31</v>
          </cell>
          <cell r="F5859">
            <v>308.31</v>
          </cell>
        </row>
        <row r="5860">
          <cell r="A5860" t="str">
            <v>228121</v>
          </cell>
          <cell r="B5860" t="str">
            <v>Toco de tubo FD ponta/flange PN-10/16 DN 100 comp = 1,00 m</v>
          </cell>
          <cell r="C5860" t="str">
            <v>ud</v>
          </cell>
          <cell r="D5860">
            <v>0</v>
          </cell>
          <cell r="E5860">
            <v>484.49</v>
          </cell>
          <cell r="F5860">
            <v>484.49</v>
          </cell>
        </row>
        <row r="5861">
          <cell r="A5861" t="str">
            <v>228122</v>
          </cell>
          <cell r="B5861" t="str">
            <v>Toco de tubo FD ponta/flange PN-10/16 DN 100 comp = 1,50 m</v>
          </cell>
          <cell r="C5861" t="str">
            <v>ud</v>
          </cell>
          <cell r="D5861">
            <v>0</v>
          </cell>
          <cell r="E5861">
            <v>631.96</v>
          </cell>
          <cell r="F5861">
            <v>631.96</v>
          </cell>
        </row>
        <row r="5862">
          <cell r="A5862" t="str">
            <v>228123</v>
          </cell>
          <cell r="B5862" t="str">
            <v>Toco de tubo FD ponta/flange PN-10/16 DN 100 comp = 2,00 m</v>
          </cell>
          <cell r="C5862" t="str">
            <v>ud</v>
          </cell>
          <cell r="D5862">
            <v>0</v>
          </cell>
          <cell r="E5862">
            <v>786.96</v>
          </cell>
          <cell r="F5862">
            <v>786.96</v>
          </cell>
        </row>
        <row r="5863">
          <cell r="A5863" t="str">
            <v>228124</v>
          </cell>
          <cell r="B5863" t="str">
            <v>Toco de tubo FD ponta/flange PN-10/16 DN 100 comp = 2,50 m</v>
          </cell>
          <cell r="C5863" t="str">
            <v>ud</v>
          </cell>
          <cell r="D5863">
            <v>0</v>
          </cell>
          <cell r="E5863">
            <v>940.04</v>
          </cell>
          <cell r="F5863">
            <v>940.04</v>
          </cell>
        </row>
        <row r="5864">
          <cell r="A5864" t="str">
            <v>228125</v>
          </cell>
          <cell r="B5864" t="str">
            <v>Toco de tubo FD ponta/flange PN-10/16 DN 100 comp = 3,00 m</v>
          </cell>
          <cell r="C5864" t="str">
            <v>ud</v>
          </cell>
          <cell r="D5864">
            <v>0</v>
          </cell>
          <cell r="E5864">
            <v>1045.8</v>
          </cell>
          <cell r="F5864">
            <v>1045.8</v>
          </cell>
        </row>
        <row r="5865">
          <cell r="A5865" t="str">
            <v>228126</v>
          </cell>
          <cell r="B5865" t="str">
            <v>Toco de tubo FD ponta/flange PN-10/16 DN 100 comp = 3,50 m</v>
          </cell>
          <cell r="C5865" t="str">
            <v>ud</v>
          </cell>
          <cell r="D5865">
            <v>0</v>
          </cell>
          <cell r="E5865">
            <v>1151.27</v>
          </cell>
          <cell r="F5865">
            <v>1151.27</v>
          </cell>
        </row>
        <row r="5866">
          <cell r="A5866" t="str">
            <v>228127</v>
          </cell>
          <cell r="B5866" t="str">
            <v>Toco de tubo FD ponta/flange PN-10/16 DN 100 comp = 4,00 m</v>
          </cell>
          <cell r="C5866" t="str">
            <v>ud</v>
          </cell>
          <cell r="D5866">
            <v>0</v>
          </cell>
          <cell r="E5866">
            <v>1256.8800000000001</v>
          </cell>
          <cell r="F5866">
            <v>1256.8800000000001</v>
          </cell>
        </row>
        <row r="5867">
          <cell r="A5867" t="str">
            <v>228128</v>
          </cell>
          <cell r="B5867" t="str">
            <v>Toco de tubo FD ponta/flange PN-10/16 DN 100 comp = 4,50 m</v>
          </cell>
          <cell r="C5867" t="str">
            <v>ud</v>
          </cell>
          <cell r="D5867">
            <v>0</v>
          </cell>
          <cell r="E5867">
            <v>1362.52</v>
          </cell>
          <cell r="F5867">
            <v>1362.52</v>
          </cell>
        </row>
        <row r="5868">
          <cell r="A5868" t="str">
            <v>228129</v>
          </cell>
          <cell r="B5868" t="str">
            <v>Toco de tubo FD ponta/flange PN-10/16 DN 100 comp = 5,00 m</v>
          </cell>
          <cell r="C5868" t="str">
            <v>ud</v>
          </cell>
          <cell r="D5868">
            <v>0</v>
          </cell>
          <cell r="E5868">
            <v>1544.97</v>
          </cell>
          <cell r="F5868">
            <v>1544.97</v>
          </cell>
        </row>
        <row r="5869">
          <cell r="A5869" t="str">
            <v>228130</v>
          </cell>
          <cell r="B5869" t="str">
            <v>Toco de tubo FD ponta/flange PN-10/16 DN 100 comp = 5,50 m</v>
          </cell>
          <cell r="C5869" t="str">
            <v>ud</v>
          </cell>
          <cell r="D5869">
            <v>0</v>
          </cell>
          <cell r="E5869">
            <v>1574.47</v>
          </cell>
          <cell r="F5869">
            <v>1574.47</v>
          </cell>
        </row>
        <row r="5870">
          <cell r="A5870" t="str">
            <v>228131</v>
          </cell>
          <cell r="B5870" t="str">
            <v>Toco de tubo FD ponta/flange PN-10/16 DN 100 comp = 5,80 m</v>
          </cell>
          <cell r="C5870" t="str">
            <v>ud</v>
          </cell>
          <cell r="D5870">
            <v>0</v>
          </cell>
          <cell r="E5870">
            <v>1594.07</v>
          </cell>
          <cell r="F5870">
            <v>1594.07</v>
          </cell>
        </row>
        <row r="5871">
          <cell r="A5871" t="str">
            <v>228132</v>
          </cell>
          <cell r="B5871" t="str">
            <v>Toco de tubo FD ponta/flange PN-10/16 DN 150 comp = 0,25 m</v>
          </cell>
          <cell r="C5871" t="str">
            <v>ud</v>
          </cell>
          <cell r="D5871">
            <v>0</v>
          </cell>
          <cell r="E5871">
            <v>264.27</v>
          </cell>
          <cell r="F5871">
            <v>264.27</v>
          </cell>
        </row>
        <row r="5872">
          <cell r="A5872" t="str">
            <v>228133</v>
          </cell>
          <cell r="B5872" t="str">
            <v>Toco de tubo FD ponta/flange PN-10/16 DN 150 comp = 0,50 m</v>
          </cell>
          <cell r="C5872" t="str">
            <v>ud</v>
          </cell>
          <cell r="D5872">
            <v>0</v>
          </cell>
          <cell r="E5872">
            <v>367.04</v>
          </cell>
          <cell r="F5872">
            <v>367.04</v>
          </cell>
        </row>
        <row r="5873">
          <cell r="A5873" t="str">
            <v>228134</v>
          </cell>
          <cell r="B5873" t="str">
            <v>Toco de tubo FD ponta/flange PN-10/16 DN 150 comp = 1,00 m</v>
          </cell>
          <cell r="C5873" t="str">
            <v>ud</v>
          </cell>
          <cell r="D5873">
            <v>0</v>
          </cell>
          <cell r="E5873">
            <v>675.36</v>
          </cell>
          <cell r="F5873">
            <v>675.36</v>
          </cell>
        </row>
        <row r="5874">
          <cell r="A5874" t="str">
            <v>228135</v>
          </cell>
          <cell r="B5874" t="str">
            <v>Toco de tubo FD ponta/flange PN-10/16 DN 150 comp = 1,50 m</v>
          </cell>
          <cell r="C5874" t="str">
            <v>ud</v>
          </cell>
          <cell r="D5874">
            <v>0</v>
          </cell>
          <cell r="E5874">
            <v>781.87</v>
          </cell>
          <cell r="F5874">
            <v>781.87</v>
          </cell>
        </row>
        <row r="5875">
          <cell r="A5875" t="str">
            <v>228136</v>
          </cell>
          <cell r="B5875" t="str">
            <v>Toco de tubo FD ponta/flange PN-10/16 DN 150 comp = 2,00 m</v>
          </cell>
          <cell r="C5875" t="str">
            <v>ud</v>
          </cell>
          <cell r="D5875">
            <v>0</v>
          </cell>
          <cell r="E5875">
            <v>961.01</v>
          </cell>
          <cell r="F5875">
            <v>961.01</v>
          </cell>
        </row>
        <row r="5876">
          <cell r="A5876" t="str">
            <v>228137</v>
          </cell>
          <cell r="B5876" t="str">
            <v>Toco de tubo FD ponta/flange PN-10/16 DN 150 comp = 2,50 m</v>
          </cell>
          <cell r="C5876" t="str">
            <v>ud</v>
          </cell>
          <cell r="D5876">
            <v>0</v>
          </cell>
          <cell r="E5876">
            <v>1140.1500000000001</v>
          </cell>
          <cell r="F5876">
            <v>1140.1500000000001</v>
          </cell>
        </row>
        <row r="5877">
          <cell r="A5877" t="str">
            <v>228138</v>
          </cell>
          <cell r="B5877" t="str">
            <v>Toco de tubo FD ponta/flange PN-10/16 DN 150 comp = 3,00 m</v>
          </cell>
          <cell r="C5877" t="str">
            <v>ud</v>
          </cell>
          <cell r="D5877">
            <v>0</v>
          </cell>
          <cell r="E5877">
            <v>1319.29</v>
          </cell>
          <cell r="F5877">
            <v>1319.29</v>
          </cell>
        </row>
        <row r="5878">
          <cell r="A5878" t="str">
            <v>228139</v>
          </cell>
          <cell r="B5878" t="str">
            <v>Toco de tubo FD ponta/flange PN-10/16 DN 150 comp = 3,50 m</v>
          </cell>
          <cell r="C5878" t="str">
            <v>ud</v>
          </cell>
          <cell r="D5878">
            <v>0</v>
          </cell>
          <cell r="E5878">
            <v>1460.3</v>
          </cell>
          <cell r="F5878">
            <v>1460.3</v>
          </cell>
        </row>
        <row r="5879">
          <cell r="A5879" t="str">
            <v>228140</v>
          </cell>
          <cell r="B5879" t="str">
            <v>Toco de tubo FD ponta/flange PN-10/16 DN 150 comp = 4,00 m</v>
          </cell>
          <cell r="C5879" t="str">
            <v>ud</v>
          </cell>
          <cell r="D5879">
            <v>0</v>
          </cell>
          <cell r="E5879">
            <v>1597.69</v>
          </cell>
          <cell r="F5879">
            <v>1597.69</v>
          </cell>
        </row>
        <row r="5880">
          <cell r="A5880" t="str">
            <v>228141</v>
          </cell>
          <cell r="B5880" t="str">
            <v>Toco de tubo FD ponta/flange PN-10/16 DN 150 comp = 4,50 m</v>
          </cell>
          <cell r="C5880" t="str">
            <v>ud</v>
          </cell>
          <cell r="D5880">
            <v>0</v>
          </cell>
          <cell r="E5880">
            <v>1738.3</v>
          </cell>
          <cell r="F5880">
            <v>1738.3</v>
          </cell>
        </row>
        <row r="5881">
          <cell r="A5881" t="str">
            <v>228142</v>
          </cell>
          <cell r="B5881" t="str">
            <v>Toco de tubo FD ponta/flange PN-10/16 DN 150 comp = 5,00 m</v>
          </cell>
          <cell r="C5881" t="str">
            <v>ud</v>
          </cell>
          <cell r="D5881">
            <v>0</v>
          </cell>
          <cell r="E5881">
            <v>1974.53</v>
          </cell>
          <cell r="F5881">
            <v>1974.53</v>
          </cell>
        </row>
        <row r="5882">
          <cell r="A5882" t="str">
            <v>228143</v>
          </cell>
          <cell r="B5882" t="str">
            <v>Toco de tubo FD ponta/flange PN-10/16 DN 150 comp = 5,50 m</v>
          </cell>
          <cell r="C5882" t="str">
            <v>ud</v>
          </cell>
          <cell r="D5882">
            <v>0</v>
          </cell>
          <cell r="E5882">
            <v>2017.14</v>
          </cell>
          <cell r="F5882">
            <v>2017.14</v>
          </cell>
        </row>
        <row r="5883">
          <cell r="A5883" t="str">
            <v>228144</v>
          </cell>
          <cell r="B5883" t="str">
            <v>Toco de tubo FD ponta/flange PN-10/16 DN 150 comp = 5,80 m</v>
          </cell>
          <cell r="C5883" t="str">
            <v>ud</v>
          </cell>
          <cell r="D5883">
            <v>0</v>
          </cell>
          <cell r="E5883">
            <v>2117.5</v>
          </cell>
          <cell r="F5883">
            <v>2117.5</v>
          </cell>
        </row>
        <row r="5884">
          <cell r="A5884" t="str">
            <v>228145</v>
          </cell>
          <cell r="B5884" t="str">
            <v>Toco de tubo FD ponta/flange PN-10/16 DN 200 comp = 0,25 m</v>
          </cell>
          <cell r="C5884" t="str">
            <v>ud</v>
          </cell>
          <cell r="D5884">
            <v>0</v>
          </cell>
          <cell r="E5884">
            <v>323</v>
          </cell>
          <cell r="F5884">
            <v>323</v>
          </cell>
        </row>
        <row r="5885">
          <cell r="A5885" t="str">
            <v>228146</v>
          </cell>
          <cell r="B5885" t="str">
            <v>Toco de tubo FD ponta/flange PN-10/16 DN 200 comp = 0,50 m</v>
          </cell>
          <cell r="C5885" t="str">
            <v>ud</v>
          </cell>
          <cell r="D5885">
            <v>0</v>
          </cell>
          <cell r="E5885">
            <v>478.25</v>
          </cell>
          <cell r="F5885">
            <v>478.25</v>
          </cell>
        </row>
        <row r="5886">
          <cell r="A5886" t="str">
            <v>228147</v>
          </cell>
          <cell r="B5886" t="str">
            <v>Toco de tubo FD ponta/flange PN-10/16 DN 200 comp = 1,00 m</v>
          </cell>
          <cell r="C5886" t="str">
            <v>ud</v>
          </cell>
          <cell r="D5886">
            <v>0</v>
          </cell>
          <cell r="E5886">
            <v>921.47</v>
          </cell>
          <cell r="F5886">
            <v>921.47</v>
          </cell>
        </row>
        <row r="5887">
          <cell r="A5887" t="str">
            <v>228148</v>
          </cell>
          <cell r="B5887" t="str">
            <v>Toco de tubo FD ponta/flange PN-10/16 DN 200 comp = 1,50 m</v>
          </cell>
          <cell r="C5887" t="str">
            <v>ud</v>
          </cell>
          <cell r="D5887">
            <v>0</v>
          </cell>
          <cell r="E5887">
            <v>988.89</v>
          </cell>
          <cell r="F5887">
            <v>988.89</v>
          </cell>
        </row>
        <row r="5888">
          <cell r="A5888" t="str">
            <v>228149</v>
          </cell>
          <cell r="B5888" t="str">
            <v>Toco de tubo FD ponta/flange PN-10/16 DN 200 comp = 2,00 m</v>
          </cell>
          <cell r="C5888" t="str">
            <v>ud</v>
          </cell>
          <cell r="D5888">
            <v>0</v>
          </cell>
          <cell r="E5888">
            <v>1213.1300000000001</v>
          </cell>
          <cell r="F5888">
            <v>1213.1300000000001</v>
          </cell>
        </row>
        <row r="5889">
          <cell r="A5889" t="str">
            <v>228150</v>
          </cell>
          <cell r="B5889" t="str">
            <v>Toco de tubo FD ponta/flange PN-10/16 DN 200 comp = 2,50 m</v>
          </cell>
          <cell r="C5889" t="str">
            <v>ud</v>
          </cell>
          <cell r="D5889">
            <v>0</v>
          </cell>
          <cell r="E5889">
            <v>1437.38</v>
          </cell>
          <cell r="F5889">
            <v>1437.38</v>
          </cell>
        </row>
        <row r="5890">
          <cell r="A5890" t="str">
            <v>228151</v>
          </cell>
          <cell r="B5890" t="str">
            <v>Toco de tubo FD ponta/flange PN-10/16 DN 200 comp = 3,00 m</v>
          </cell>
          <cell r="C5890" t="str">
            <v>ud</v>
          </cell>
          <cell r="D5890">
            <v>0</v>
          </cell>
          <cell r="E5890">
            <v>1628.4</v>
          </cell>
          <cell r="F5890">
            <v>1628.4</v>
          </cell>
        </row>
        <row r="5891">
          <cell r="A5891" t="str">
            <v>228152</v>
          </cell>
          <cell r="B5891" t="str">
            <v>Toco de tubo FD ponta/flange PN-10/16 DN 200 comp = 3,50 m</v>
          </cell>
          <cell r="C5891" t="str">
            <v>ud</v>
          </cell>
          <cell r="D5891">
            <v>0</v>
          </cell>
          <cell r="E5891">
            <v>1805.08</v>
          </cell>
          <cell r="F5891">
            <v>1805.08</v>
          </cell>
        </row>
        <row r="5892">
          <cell r="A5892" t="str">
            <v>228153</v>
          </cell>
          <cell r="B5892" t="str">
            <v>Toco de tubo FD ponta/flange PN-10/16 DN 200 comp = 4,00 m</v>
          </cell>
          <cell r="C5892" t="str">
            <v>ud</v>
          </cell>
          <cell r="D5892">
            <v>0</v>
          </cell>
          <cell r="E5892">
            <v>1981.83</v>
          </cell>
          <cell r="F5892">
            <v>1981.83</v>
          </cell>
        </row>
        <row r="5893">
          <cell r="A5893" t="str">
            <v>228154</v>
          </cell>
          <cell r="B5893" t="str">
            <v>Toco de tubo FD ponta/flange PN-10/16 DN 200 comp = 4,50 m</v>
          </cell>
          <cell r="C5893" t="str">
            <v>ud</v>
          </cell>
          <cell r="D5893">
            <v>0</v>
          </cell>
          <cell r="E5893">
            <v>2158.59</v>
          </cell>
          <cell r="F5893">
            <v>2158.59</v>
          </cell>
        </row>
        <row r="5894">
          <cell r="A5894" t="str">
            <v>228155</v>
          </cell>
          <cell r="B5894" t="str">
            <v>Toco de tubo FD ponta/flange PN-10/16 DN 200 comp = 5,00 m</v>
          </cell>
          <cell r="C5894" t="str">
            <v>ud</v>
          </cell>
          <cell r="D5894">
            <v>0</v>
          </cell>
          <cell r="E5894">
            <v>2450.8200000000002</v>
          </cell>
          <cell r="F5894">
            <v>2450.8200000000002</v>
          </cell>
        </row>
        <row r="5895">
          <cell r="A5895" t="str">
            <v>228156</v>
          </cell>
          <cell r="B5895" t="str">
            <v>Toco de tubo FD ponta/flange PN-10/16 DN 200 comp = 5,50 m</v>
          </cell>
          <cell r="C5895" t="str">
            <v>ud</v>
          </cell>
          <cell r="D5895">
            <v>0</v>
          </cell>
          <cell r="E5895">
            <v>2513.08</v>
          </cell>
          <cell r="F5895">
            <v>2513.08</v>
          </cell>
        </row>
        <row r="5896">
          <cell r="A5896" t="str">
            <v>228157</v>
          </cell>
          <cell r="B5896" t="str">
            <v>Toco de tubo FD ponta/flange PN-10/16 DN 200 comp = 5,80 m</v>
          </cell>
          <cell r="C5896" t="str">
            <v>ud</v>
          </cell>
          <cell r="D5896">
            <v>0</v>
          </cell>
          <cell r="E5896">
            <v>2552.37</v>
          </cell>
          <cell r="F5896">
            <v>2552.37</v>
          </cell>
        </row>
        <row r="5897">
          <cell r="A5897" t="str">
            <v>228158</v>
          </cell>
          <cell r="B5897" t="str">
            <v>Toco de tubo FD ponta/flange PN-10/16 DN 250 comp = 0,25 m</v>
          </cell>
          <cell r="C5897" t="str">
            <v>ud</v>
          </cell>
          <cell r="D5897">
            <v>0</v>
          </cell>
          <cell r="E5897">
            <v>493.21</v>
          </cell>
          <cell r="F5897">
            <v>493.21</v>
          </cell>
        </row>
        <row r="5898">
          <cell r="A5898" t="str">
            <v>228159</v>
          </cell>
          <cell r="B5898" t="str">
            <v>Toco de tubo FD ponta/flange PN-10/16 DN 250 comp = 0,50 m</v>
          </cell>
          <cell r="C5898" t="str">
            <v>ud</v>
          </cell>
          <cell r="D5898">
            <v>0</v>
          </cell>
          <cell r="E5898">
            <v>683.73</v>
          </cell>
          <cell r="F5898">
            <v>683.73</v>
          </cell>
        </row>
        <row r="5899">
          <cell r="A5899" t="str">
            <v>228160</v>
          </cell>
          <cell r="B5899" t="str">
            <v>Toco de tubo FD ponta/flange PN-10/16 DN 250 comp = 1,00 m</v>
          </cell>
          <cell r="C5899" t="str">
            <v>ud</v>
          </cell>
          <cell r="D5899">
            <v>0</v>
          </cell>
          <cell r="E5899">
            <v>997.59</v>
          </cell>
          <cell r="F5899">
            <v>997.59</v>
          </cell>
        </row>
        <row r="5900">
          <cell r="A5900" t="str">
            <v>228161</v>
          </cell>
          <cell r="B5900" t="str">
            <v>Toco de tubo FD ponta/flange PN-10/16 DN 250 comp = 1,50 m</v>
          </cell>
          <cell r="C5900" t="str">
            <v>ud</v>
          </cell>
          <cell r="D5900">
            <v>0</v>
          </cell>
          <cell r="E5900">
            <v>1302.0899999999999</v>
          </cell>
          <cell r="F5900">
            <v>1302.0899999999999</v>
          </cell>
        </row>
        <row r="5901">
          <cell r="A5901" t="str">
            <v>228162</v>
          </cell>
          <cell r="B5901" t="str">
            <v>Toco de tubo FD ponta/flange PN-10/16 DN 250 comp = 2,00 m</v>
          </cell>
          <cell r="C5901" t="str">
            <v>ud</v>
          </cell>
          <cell r="D5901">
            <v>0</v>
          </cell>
          <cell r="E5901">
            <v>1548.33</v>
          </cell>
          <cell r="F5901">
            <v>1548.33</v>
          </cell>
        </row>
        <row r="5902">
          <cell r="A5902" t="str">
            <v>228163</v>
          </cell>
          <cell r="B5902" t="str">
            <v>Toco de tubo FD ponta/flange PN-10/16 DN 250 comp = 2,50 m</v>
          </cell>
          <cell r="C5902" t="str">
            <v>ud</v>
          </cell>
          <cell r="D5902">
            <v>0</v>
          </cell>
          <cell r="E5902">
            <v>1774.49</v>
          </cell>
          <cell r="F5902">
            <v>1774.49</v>
          </cell>
        </row>
        <row r="5903">
          <cell r="A5903" t="str">
            <v>228164</v>
          </cell>
          <cell r="B5903" t="str">
            <v>Toco de tubo FD ponta/flange PN-10/16 DN 250 comp = 3,00 m</v>
          </cell>
          <cell r="C5903" t="str">
            <v>ud</v>
          </cell>
          <cell r="D5903">
            <v>0</v>
          </cell>
          <cell r="E5903">
            <v>2000.64</v>
          </cell>
          <cell r="F5903">
            <v>2000.64</v>
          </cell>
        </row>
        <row r="5904">
          <cell r="A5904" t="str">
            <v>228165</v>
          </cell>
          <cell r="B5904" t="str">
            <v>Toco de tubo FD ponta/flange PN-10/16 DN 250 comp = 3,50 m</v>
          </cell>
          <cell r="C5904" t="str">
            <v>ud</v>
          </cell>
          <cell r="D5904">
            <v>0</v>
          </cell>
          <cell r="E5904">
            <v>2226.9</v>
          </cell>
          <cell r="F5904">
            <v>2226.9</v>
          </cell>
        </row>
        <row r="5905">
          <cell r="A5905" t="str">
            <v>228166</v>
          </cell>
          <cell r="B5905" t="str">
            <v>Toco de tubo FD ponta/flange PN-10/16 DN 250 comp = 4,00 m</v>
          </cell>
          <cell r="C5905" t="str">
            <v>ud</v>
          </cell>
          <cell r="D5905">
            <v>0</v>
          </cell>
          <cell r="E5905">
            <v>2453.0500000000002</v>
          </cell>
          <cell r="F5905">
            <v>2453.0500000000002</v>
          </cell>
        </row>
        <row r="5906">
          <cell r="A5906" t="str">
            <v>228167</v>
          </cell>
          <cell r="B5906" t="str">
            <v>Toco de tubo FD ponta/flange PN-10/16 DN 250 comp = 4,50 m</v>
          </cell>
          <cell r="C5906" t="str">
            <v>ud</v>
          </cell>
          <cell r="D5906">
            <v>0</v>
          </cell>
          <cell r="E5906">
            <v>2682.44</v>
          </cell>
          <cell r="F5906">
            <v>2682.44</v>
          </cell>
        </row>
        <row r="5907">
          <cell r="A5907" t="str">
            <v>228168</v>
          </cell>
          <cell r="B5907" t="str">
            <v>Toco de tubo FD ponta/flange PN-10/16 DN 250 comp = 5,00 m</v>
          </cell>
          <cell r="C5907" t="str">
            <v>ud</v>
          </cell>
          <cell r="D5907">
            <v>0</v>
          </cell>
          <cell r="E5907">
            <v>3054.32</v>
          </cell>
          <cell r="F5907">
            <v>3054.32</v>
          </cell>
        </row>
        <row r="5908">
          <cell r="A5908" t="str">
            <v>228169</v>
          </cell>
          <cell r="B5908" t="str">
            <v>Toco de tubo FD ponta/flange PN-10/16 DN 250 comp = 5,50 m</v>
          </cell>
          <cell r="C5908" t="str">
            <v>ud</v>
          </cell>
          <cell r="D5908">
            <v>0</v>
          </cell>
          <cell r="E5908">
            <v>3136.11</v>
          </cell>
          <cell r="F5908">
            <v>3136.11</v>
          </cell>
        </row>
        <row r="5909">
          <cell r="A5909" t="str">
            <v>228170</v>
          </cell>
          <cell r="B5909" t="str">
            <v>Toco de tubo FD ponta/flange PN-10/16 DN 250 comp = 5,80 m</v>
          </cell>
          <cell r="C5909" t="str">
            <v>ud</v>
          </cell>
          <cell r="D5909">
            <v>0</v>
          </cell>
          <cell r="E5909">
            <v>3185.25</v>
          </cell>
          <cell r="F5909">
            <v>3185.25</v>
          </cell>
        </row>
        <row r="5910">
          <cell r="A5910" t="str">
            <v>228171</v>
          </cell>
          <cell r="B5910" t="str">
            <v>Toco de tubo FD ponta/flange PN-10/16 DN 300 comp = 0,25 m</v>
          </cell>
          <cell r="C5910" t="str">
            <v>ud</v>
          </cell>
          <cell r="D5910">
            <v>0</v>
          </cell>
          <cell r="E5910">
            <v>719.11</v>
          </cell>
          <cell r="F5910">
            <v>719.11</v>
          </cell>
        </row>
        <row r="5911">
          <cell r="A5911" t="str">
            <v>228172</v>
          </cell>
          <cell r="B5911" t="str">
            <v>Toco de tubo FD ponta/flange PN-10/16 DN 300 comp = 0,50 m</v>
          </cell>
          <cell r="C5911" t="str">
            <v>ud</v>
          </cell>
          <cell r="D5911">
            <v>0</v>
          </cell>
          <cell r="E5911">
            <v>926.65</v>
          </cell>
          <cell r="F5911">
            <v>926.65</v>
          </cell>
        </row>
        <row r="5912">
          <cell r="A5912" t="str">
            <v>228173</v>
          </cell>
          <cell r="B5912" t="str">
            <v>Toco de tubo FD ponta/flange PN-10/16 DN 300 comp = 1,00 m</v>
          </cell>
          <cell r="C5912" t="str">
            <v>ud</v>
          </cell>
          <cell r="D5912">
            <v>0</v>
          </cell>
          <cell r="E5912">
            <v>1316.26</v>
          </cell>
          <cell r="F5912">
            <v>1316.26</v>
          </cell>
        </row>
        <row r="5913">
          <cell r="A5913" t="str">
            <v>228174</v>
          </cell>
          <cell r="B5913" t="str">
            <v>Toco de tubo FD ponta/flange PN-10/16 DN 300 comp = 1,50 m</v>
          </cell>
          <cell r="C5913" t="str">
            <v>ud</v>
          </cell>
          <cell r="D5913">
            <v>0</v>
          </cell>
          <cell r="E5913">
            <v>1586.12</v>
          </cell>
          <cell r="F5913">
            <v>1586.12</v>
          </cell>
        </row>
        <row r="5914">
          <cell r="A5914" t="str">
            <v>228175</v>
          </cell>
          <cell r="B5914" t="str">
            <v>Toco de tubo FD ponta/flange PN-10/16 DN 300 comp = 2,00 m</v>
          </cell>
          <cell r="C5914" t="str">
            <v>ud</v>
          </cell>
          <cell r="D5914">
            <v>0</v>
          </cell>
          <cell r="E5914">
            <v>1859.2</v>
          </cell>
          <cell r="F5914">
            <v>1859.2</v>
          </cell>
        </row>
        <row r="5915">
          <cell r="A5915" t="str">
            <v>228176</v>
          </cell>
          <cell r="B5915" t="str">
            <v>Toco de tubo FD ponta/flange PN-10/16 DN 300 comp = 2,50 m</v>
          </cell>
          <cell r="C5915" t="str">
            <v>ud</v>
          </cell>
          <cell r="D5915">
            <v>0</v>
          </cell>
          <cell r="E5915">
            <v>2132.2600000000002</v>
          </cell>
          <cell r="F5915">
            <v>2132.2600000000002</v>
          </cell>
        </row>
        <row r="5916">
          <cell r="A5916" t="str">
            <v>228177</v>
          </cell>
          <cell r="B5916" t="str">
            <v>Toco de tubo FD ponta/flange PN-10/16 DN 300 comp = 3,00 m</v>
          </cell>
          <cell r="C5916" t="str">
            <v>ud</v>
          </cell>
          <cell r="D5916">
            <v>0</v>
          </cell>
          <cell r="E5916">
            <v>2402.15</v>
          </cell>
          <cell r="F5916">
            <v>2402.15</v>
          </cell>
        </row>
        <row r="5917">
          <cell r="A5917" t="str">
            <v>228178</v>
          </cell>
          <cell r="B5917" t="str">
            <v>Toco de tubo FD ponta/flange PN-10/16 DN 300 comp = 3,50 m</v>
          </cell>
          <cell r="C5917" t="str">
            <v>ud</v>
          </cell>
          <cell r="D5917">
            <v>0</v>
          </cell>
          <cell r="E5917">
            <v>2675.14</v>
          </cell>
          <cell r="F5917">
            <v>2675.14</v>
          </cell>
        </row>
        <row r="5918">
          <cell r="A5918" t="str">
            <v>228179</v>
          </cell>
          <cell r="B5918" t="str">
            <v>Toco de tubo FD ponta/flange PN-10/16 DN 300 comp = 4,00 m</v>
          </cell>
          <cell r="C5918" t="str">
            <v>ud</v>
          </cell>
          <cell r="D5918">
            <v>0</v>
          </cell>
          <cell r="E5918">
            <v>2948.24</v>
          </cell>
          <cell r="F5918">
            <v>2948.24</v>
          </cell>
        </row>
        <row r="5919">
          <cell r="A5919" t="str">
            <v>228180</v>
          </cell>
          <cell r="B5919" t="str">
            <v>Toco de tubo FD ponta/flange PN-10/16 DN 300 comp = 4,50 m</v>
          </cell>
          <cell r="C5919" t="str">
            <v>ud</v>
          </cell>
          <cell r="D5919">
            <v>0</v>
          </cell>
          <cell r="E5919">
            <v>3218.07</v>
          </cell>
          <cell r="F5919">
            <v>3218.07</v>
          </cell>
        </row>
        <row r="5920">
          <cell r="A5920" t="str">
            <v>228181</v>
          </cell>
          <cell r="B5920" t="str">
            <v>Toco de tubo FD ponta/flange PN-10/16 DN 300 comp = 5,00 m</v>
          </cell>
          <cell r="C5920" t="str">
            <v>ud</v>
          </cell>
          <cell r="D5920">
            <v>0</v>
          </cell>
          <cell r="E5920">
            <v>3661.33</v>
          </cell>
          <cell r="F5920">
            <v>3661.33</v>
          </cell>
        </row>
        <row r="5921">
          <cell r="A5921" t="str">
            <v>228182</v>
          </cell>
          <cell r="B5921" t="str">
            <v>Toco de tubo FD ponta/flange PN-10/16 DN 300 comp = 5,50 m</v>
          </cell>
          <cell r="C5921" t="str">
            <v>ud</v>
          </cell>
          <cell r="D5921">
            <v>0</v>
          </cell>
          <cell r="E5921">
            <v>3765.77</v>
          </cell>
          <cell r="F5921">
            <v>3765.77</v>
          </cell>
        </row>
        <row r="5922">
          <cell r="A5922" t="str">
            <v>228183</v>
          </cell>
          <cell r="B5922" t="str">
            <v>Toco de tubo FD ponta/flange PN-10/16 DN 300 comp = 5,80 m</v>
          </cell>
          <cell r="C5922" t="str">
            <v>ud</v>
          </cell>
          <cell r="D5922">
            <v>0</v>
          </cell>
          <cell r="E5922">
            <v>3827.78</v>
          </cell>
          <cell r="F5922">
            <v>3827.78</v>
          </cell>
        </row>
        <row r="5923">
          <cell r="A5923" t="str">
            <v>228184</v>
          </cell>
          <cell r="B5923" t="str">
            <v>Toco de tubo FD ponta/flange PN-10 DN 400 comp = 0,25 m</v>
          </cell>
          <cell r="C5923" t="str">
            <v>ud</v>
          </cell>
          <cell r="D5923">
            <v>0</v>
          </cell>
          <cell r="E5923">
            <v>945.29</v>
          </cell>
          <cell r="F5923">
            <v>945.29</v>
          </cell>
        </row>
        <row r="5924">
          <cell r="A5924" t="str">
            <v>228185</v>
          </cell>
          <cell r="B5924" t="str">
            <v>Toco de tubo FD ponta/flange PN-10 DN 400 comp = 0,50 m</v>
          </cell>
          <cell r="C5924" t="str">
            <v>ud</v>
          </cell>
          <cell r="D5924">
            <v>0</v>
          </cell>
          <cell r="E5924">
            <v>1326.4</v>
          </cell>
          <cell r="F5924">
            <v>1326.4</v>
          </cell>
        </row>
        <row r="5925">
          <cell r="A5925" t="str">
            <v>228186</v>
          </cell>
          <cell r="B5925" t="str">
            <v>Toco de tubo FD ponta/flange PN-10 DN 400 comp = 1,00 m</v>
          </cell>
          <cell r="C5925" t="str">
            <v>ud</v>
          </cell>
          <cell r="D5925">
            <v>0</v>
          </cell>
          <cell r="E5925">
            <v>1848.15</v>
          </cell>
          <cell r="F5925">
            <v>1848.15</v>
          </cell>
        </row>
        <row r="5926">
          <cell r="A5926" t="str">
            <v>228187</v>
          </cell>
          <cell r="B5926" t="str">
            <v>Toco de tubo FD ponta/flange PN-10 DN 400 comp = 1,50 m</v>
          </cell>
          <cell r="C5926" t="str">
            <v>ud</v>
          </cell>
          <cell r="D5926">
            <v>0</v>
          </cell>
          <cell r="E5926">
            <v>2224.46</v>
          </cell>
          <cell r="F5926">
            <v>2224.46</v>
          </cell>
        </row>
        <row r="5927">
          <cell r="A5927" t="str">
            <v>228188</v>
          </cell>
          <cell r="B5927" t="str">
            <v>Toco de tubo FD ponta/flange PN-10 DN 400 comp = 2,00 m</v>
          </cell>
          <cell r="C5927" t="str">
            <v>ud</v>
          </cell>
          <cell r="D5927">
            <v>0</v>
          </cell>
          <cell r="E5927">
            <v>2615.61</v>
          </cell>
          <cell r="F5927">
            <v>2615.61</v>
          </cell>
        </row>
        <row r="5928">
          <cell r="A5928" t="str">
            <v>228189</v>
          </cell>
          <cell r="B5928" t="str">
            <v>Toco de tubo FD ponta/flange PN-10 DN 400 comp = 2,50 m</v>
          </cell>
          <cell r="C5928" t="str">
            <v>ud</v>
          </cell>
          <cell r="D5928">
            <v>0</v>
          </cell>
          <cell r="E5928">
            <v>3002.76</v>
          </cell>
          <cell r="F5928">
            <v>3002.76</v>
          </cell>
        </row>
        <row r="5929">
          <cell r="A5929" t="str">
            <v>228190</v>
          </cell>
          <cell r="B5929" t="str">
            <v>Toco de tubo FD ponta/flange PN-10 DN 400 comp = 3,00 m</v>
          </cell>
          <cell r="C5929" t="str">
            <v>ud</v>
          </cell>
          <cell r="D5929">
            <v>0</v>
          </cell>
          <cell r="E5929">
            <v>3383.04</v>
          </cell>
          <cell r="F5929">
            <v>3383.04</v>
          </cell>
        </row>
        <row r="5930">
          <cell r="A5930" t="str">
            <v>228191</v>
          </cell>
          <cell r="B5930" t="str">
            <v>Toco de tubo FD ponta/flange PN-10 DN 400 comp = 3,50 m</v>
          </cell>
          <cell r="C5930" t="str">
            <v>ud</v>
          </cell>
          <cell r="D5930">
            <v>0</v>
          </cell>
          <cell r="E5930">
            <v>3766.72</v>
          </cell>
          <cell r="F5930">
            <v>3766.72</v>
          </cell>
        </row>
        <row r="5931">
          <cell r="A5931" t="str">
            <v>228192</v>
          </cell>
          <cell r="B5931" t="str">
            <v>Toco de tubo FD ponta/flange PN-10 DN 400 comp = 4,00 m</v>
          </cell>
          <cell r="C5931" t="str">
            <v>ud</v>
          </cell>
          <cell r="D5931">
            <v>0</v>
          </cell>
          <cell r="E5931">
            <v>4150.4799999999996</v>
          </cell>
          <cell r="F5931">
            <v>4150.4799999999996</v>
          </cell>
        </row>
        <row r="5932">
          <cell r="A5932" t="str">
            <v>228193</v>
          </cell>
          <cell r="B5932" t="str">
            <v>Toco de tubo FD ponta/flange PN-10 DN 400 comp = 4,50 m</v>
          </cell>
          <cell r="C5932" t="str">
            <v>ud</v>
          </cell>
          <cell r="D5932">
            <v>0</v>
          </cell>
          <cell r="E5932">
            <v>4534.1899999999996</v>
          </cell>
          <cell r="F5932">
            <v>4534.1899999999996</v>
          </cell>
        </row>
        <row r="5933">
          <cell r="A5933" t="str">
            <v>228194</v>
          </cell>
          <cell r="B5933" t="str">
            <v>Toco de tubo FD ponta/flange PN-10 DN 400 comp = 5,00 m</v>
          </cell>
          <cell r="C5933" t="str">
            <v>ud</v>
          </cell>
          <cell r="D5933">
            <v>0</v>
          </cell>
          <cell r="E5933">
            <v>5147.16</v>
          </cell>
          <cell r="F5933">
            <v>5147.16</v>
          </cell>
        </row>
        <row r="5934">
          <cell r="A5934" t="str">
            <v>228195</v>
          </cell>
          <cell r="B5934" t="str">
            <v>Toco de tubo FD ponta/flange PN-10 DN 400 comp = 5,50 m</v>
          </cell>
          <cell r="C5934" t="str">
            <v>ud</v>
          </cell>
          <cell r="D5934">
            <v>0</v>
          </cell>
          <cell r="E5934">
            <v>5303.7</v>
          </cell>
          <cell r="F5934">
            <v>5303.7</v>
          </cell>
        </row>
        <row r="5935">
          <cell r="A5935" t="str">
            <v>228196</v>
          </cell>
          <cell r="B5935" t="str">
            <v>Toco de tubo FD ponta/flange PN-10 DN 400 comp = 5,80 m</v>
          </cell>
          <cell r="C5935" t="str">
            <v>ud</v>
          </cell>
          <cell r="D5935">
            <v>0</v>
          </cell>
          <cell r="E5935">
            <v>5397.57</v>
          </cell>
          <cell r="F5935">
            <v>5397.57</v>
          </cell>
        </row>
        <row r="5936">
          <cell r="A5936" t="str">
            <v>2282</v>
          </cell>
          <cell r="B5936" t="str">
            <v>TOCO DE TUBO FD FLANGE/FLANGE C/ ABA DE VEDAÇÃO</v>
          </cell>
        </row>
        <row r="5937">
          <cell r="A5937" t="str">
            <v>228251</v>
          </cell>
          <cell r="B5937" t="str">
            <v>Toco de tubo FD flange/flange c/ aba de vedação PN-10/16 DN 200 comp = 3,00 m</v>
          </cell>
          <cell r="C5937" t="str">
            <v>ud</v>
          </cell>
          <cell r="D5937">
            <v>0</v>
          </cell>
          <cell r="E5937">
            <v>2573.44</v>
          </cell>
          <cell r="F5937">
            <v>2573.44</v>
          </cell>
        </row>
        <row r="5938">
          <cell r="A5938" t="str">
            <v>228252</v>
          </cell>
          <cell r="B5938" t="str">
            <v>Toco de tubo FD flange/flange c/ aba de vedação PN-10/16 DN 200 comp = 3,50 m</v>
          </cell>
          <cell r="C5938" t="str">
            <v>ud</v>
          </cell>
          <cell r="D5938">
            <v>0</v>
          </cell>
          <cell r="E5938">
            <v>2796.03</v>
          </cell>
          <cell r="F5938">
            <v>2796.03</v>
          </cell>
        </row>
        <row r="5939">
          <cell r="A5939" t="str">
            <v>228253</v>
          </cell>
          <cell r="B5939" t="str">
            <v>Toco de tubo FD flange/flange c/ aba de vedação PN-10/16 DN 200 comp = 4,00 m</v>
          </cell>
          <cell r="C5939" t="str">
            <v>ud</v>
          </cell>
          <cell r="D5939">
            <v>0</v>
          </cell>
          <cell r="E5939">
            <v>3018.94</v>
          </cell>
          <cell r="F5939">
            <v>3018.94</v>
          </cell>
        </row>
        <row r="5940">
          <cell r="A5940" t="str">
            <v>228254</v>
          </cell>
          <cell r="B5940" t="str">
            <v>Toco de tubo FD flange/flange c/ aba de vedação PN-10/16 DN 200 comp = 4,50 m</v>
          </cell>
          <cell r="C5940" t="str">
            <v>ud</v>
          </cell>
          <cell r="D5940">
            <v>0</v>
          </cell>
          <cell r="E5940">
            <v>3242.07</v>
          </cell>
          <cell r="F5940">
            <v>3242.07</v>
          </cell>
        </row>
        <row r="5941">
          <cell r="A5941" t="str">
            <v>228255</v>
          </cell>
          <cell r="B5941" t="str">
            <v>Toco de tubo FD flange/flange c/ aba de vedação PN-10/16 DN 200 comp = 5,00 m</v>
          </cell>
          <cell r="C5941" t="str">
            <v>ud</v>
          </cell>
          <cell r="D5941">
            <v>0</v>
          </cell>
          <cell r="E5941">
            <v>3465.38</v>
          </cell>
          <cell r="F5941">
            <v>3465.38</v>
          </cell>
        </row>
        <row r="5942">
          <cell r="A5942" t="str">
            <v>228256</v>
          </cell>
          <cell r="B5942" t="str">
            <v>Toco de tubo FD flange/flange c/ aba de vedação PN-10/16 DN 200 comp = 5,50 m</v>
          </cell>
          <cell r="C5942" t="str">
            <v>ud</v>
          </cell>
          <cell r="D5942">
            <v>0</v>
          </cell>
          <cell r="E5942">
            <v>3688.84</v>
          </cell>
          <cell r="F5942">
            <v>3688.84</v>
          </cell>
        </row>
        <row r="5943">
          <cell r="A5943" t="str">
            <v>228257</v>
          </cell>
          <cell r="B5943" t="str">
            <v>Toco de tubo FD flange/flange c/ aba de vedação PN-10/16 DN 200 comp = 5,80 m</v>
          </cell>
          <cell r="C5943" t="str">
            <v>ud</v>
          </cell>
          <cell r="D5943">
            <v>0</v>
          </cell>
          <cell r="E5943">
            <v>3822.96</v>
          </cell>
          <cell r="F5943">
            <v>3822.96</v>
          </cell>
        </row>
        <row r="5944">
          <cell r="A5944" t="str">
            <v>228258</v>
          </cell>
          <cell r="B5944" t="str">
            <v>Toco de tubo FD flange/flange c/ aba de vedação PN-10/16 DN 250 comp = 0,25 m</v>
          </cell>
          <cell r="C5944" t="str">
            <v>ud</v>
          </cell>
          <cell r="D5944">
            <v>0</v>
          </cell>
          <cell r="E5944">
            <v>1603.26</v>
          </cell>
          <cell r="F5944">
            <v>1603.26</v>
          </cell>
        </row>
        <row r="5945">
          <cell r="A5945" t="str">
            <v>228259</v>
          </cell>
          <cell r="B5945" t="str">
            <v>Toco de tubo FD flange/flange c/ aba de vedação PN-10/16 DN 250 comp = 0,50 m</v>
          </cell>
          <cell r="C5945" t="str">
            <v>ud</v>
          </cell>
          <cell r="D5945">
            <v>0</v>
          </cell>
          <cell r="E5945">
            <v>1750.09</v>
          </cell>
          <cell r="F5945">
            <v>1750.09</v>
          </cell>
        </row>
        <row r="5946">
          <cell r="A5946" t="str">
            <v>228260</v>
          </cell>
          <cell r="B5946" t="str">
            <v>Toco de tubo FD flange/flange c/ aba de vedação PN-10/16 DN 250 comp = 1,00 m</v>
          </cell>
          <cell r="C5946" t="str">
            <v>ud</v>
          </cell>
          <cell r="D5946">
            <v>0</v>
          </cell>
          <cell r="E5946">
            <v>2046.23</v>
          </cell>
          <cell r="F5946">
            <v>2046.23</v>
          </cell>
        </row>
        <row r="5947">
          <cell r="A5947" t="str">
            <v>228261</v>
          </cell>
          <cell r="B5947" t="str">
            <v>Toco de tubo FD flange/flange c/ aba de vedação PN-10/16 DN 250 comp = 1,50 m</v>
          </cell>
          <cell r="C5947" t="str">
            <v>ud</v>
          </cell>
          <cell r="D5947">
            <v>0</v>
          </cell>
          <cell r="E5947">
            <v>2672.8</v>
          </cell>
          <cell r="F5947">
            <v>2672.8</v>
          </cell>
        </row>
        <row r="5948">
          <cell r="A5948" t="str">
            <v>228262</v>
          </cell>
          <cell r="B5948" t="str">
            <v>Toco de tubo FD flange/flange c/ aba de vedação PN-10/16 DN 250 comp = 2,00 m</v>
          </cell>
          <cell r="C5948" t="str">
            <v>ud</v>
          </cell>
          <cell r="D5948">
            <v>0</v>
          </cell>
          <cell r="E5948">
            <v>2943.56</v>
          </cell>
          <cell r="F5948">
            <v>2943.56</v>
          </cell>
        </row>
        <row r="5949">
          <cell r="A5949" t="str">
            <v>228263</v>
          </cell>
          <cell r="B5949" t="str">
            <v>Toco de tubo FD flange/flange c/ aba de vedação PN-10/16 DN 250 comp = 2,50 m</v>
          </cell>
          <cell r="C5949" t="str">
            <v>ud</v>
          </cell>
          <cell r="D5949">
            <v>0</v>
          </cell>
          <cell r="E5949">
            <v>3215.85</v>
          </cell>
          <cell r="F5949">
            <v>3215.85</v>
          </cell>
        </row>
        <row r="5950">
          <cell r="A5950" t="str">
            <v>228264</v>
          </cell>
          <cell r="B5950" t="str">
            <v>Toco de tubo FD flange/flange c/ aba de vedação PN-10/16 DN 250 comp = 3,00 m</v>
          </cell>
          <cell r="C5950" t="str">
            <v>ud</v>
          </cell>
          <cell r="D5950">
            <v>0</v>
          </cell>
          <cell r="E5950">
            <v>3489.17</v>
          </cell>
          <cell r="F5950">
            <v>3489.17</v>
          </cell>
        </row>
        <row r="5951">
          <cell r="A5951" t="str">
            <v>228265</v>
          </cell>
          <cell r="B5951" t="str">
            <v>Toco de tubo FD flange/flange c/ aba de vedação PN-10/16 DN 250 comp = 3,50 m</v>
          </cell>
          <cell r="C5951" t="str">
            <v>ud</v>
          </cell>
          <cell r="D5951">
            <v>0</v>
          </cell>
          <cell r="E5951">
            <v>3763.21</v>
          </cell>
          <cell r="F5951">
            <v>3763.21</v>
          </cell>
        </row>
        <row r="5952">
          <cell r="A5952" t="str">
            <v>228266</v>
          </cell>
          <cell r="B5952" t="str">
            <v>Toco de tubo FD flange/flange c/ aba de vedação PN-10/16 DN 250 comp = 4,00 m</v>
          </cell>
          <cell r="C5952" t="str">
            <v>ud</v>
          </cell>
          <cell r="D5952">
            <v>0</v>
          </cell>
          <cell r="E5952">
            <v>4037.78</v>
          </cell>
          <cell r="F5952">
            <v>4037.78</v>
          </cell>
        </row>
        <row r="5953">
          <cell r="A5953" t="str">
            <v>228267</v>
          </cell>
          <cell r="B5953" t="str">
            <v>Toco de tubo FD flange/flange c/ aba de vedação PN-10/16 DN 250 comp = 4,50 m</v>
          </cell>
          <cell r="C5953" t="str">
            <v>ud</v>
          </cell>
          <cell r="D5953">
            <v>0</v>
          </cell>
          <cell r="E5953">
            <v>4312.75</v>
          </cell>
          <cell r="F5953">
            <v>4312.75</v>
          </cell>
        </row>
        <row r="5954">
          <cell r="A5954" t="str">
            <v>228268</v>
          </cell>
          <cell r="B5954" t="str">
            <v>Toco de tubo FD flange/flange c/ aba de vedação PN-10/16 DN 250 comp = 5,00 m</v>
          </cell>
          <cell r="C5954" t="str">
            <v>ud</v>
          </cell>
          <cell r="D5954">
            <v>0</v>
          </cell>
          <cell r="E5954">
            <v>4588.0200000000004</v>
          </cell>
          <cell r="F5954">
            <v>4588.0200000000004</v>
          </cell>
        </row>
        <row r="5955">
          <cell r="A5955" t="str">
            <v>228269</v>
          </cell>
          <cell r="B5955" t="str">
            <v>Toco de tubo FD flange/flange c/ aba de vedação PN-10/16 DN 250 comp = 5,50 m</v>
          </cell>
          <cell r="C5955" t="str">
            <v>ud</v>
          </cell>
          <cell r="D5955">
            <v>0</v>
          </cell>
          <cell r="E5955">
            <v>4863.54</v>
          </cell>
          <cell r="F5955">
            <v>4863.54</v>
          </cell>
        </row>
        <row r="5956">
          <cell r="A5956" t="str">
            <v>228270</v>
          </cell>
          <cell r="B5956" t="str">
            <v>Toco de tubo FD flange/flange c/ aba de vedação PN-10/16 DN 250 comp = 5,80 m</v>
          </cell>
          <cell r="C5956" t="str">
            <v>ud</v>
          </cell>
          <cell r="D5956">
            <v>0</v>
          </cell>
          <cell r="E5956">
            <v>5028.9399999999996</v>
          </cell>
          <cell r="F5956">
            <v>5028.9399999999996</v>
          </cell>
        </row>
        <row r="5957">
          <cell r="A5957" t="str">
            <v>228271</v>
          </cell>
          <cell r="B5957" t="str">
            <v>Toco de tubo FD flange/flange c/ aba de vedação PN-10/16 DN 300 comp = 0,25 m</v>
          </cell>
          <cell r="C5957" t="str">
            <v>ud</v>
          </cell>
          <cell r="D5957">
            <v>0</v>
          </cell>
          <cell r="E5957">
            <v>2349.14</v>
          </cell>
          <cell r="F5957">
            <v>2349.14</v>
          </cell>
        </row>
        <row r="5958">
          <cell r="A5958" t="str">
            <v>228272</v>
          </cell>
          <cell r="B5958" t="str">
            <v>Toco de tubo FD flange/flange c/ aba de vedação PN-10/16 DN 300 comp = 0,50 m</v>
          </cell>
          <cell r="C5958" t="str">
            <v>ud</v>
          </cell>
          <cell r="D5958">
            <v>0</v>
          </cell>
          <cell r="E5958">
            <v>2187.67</v>
          </cell>
          <cell r="F5958">
            <v>2187.67</v>
          </cell>
        </row>
        <row r="5959">
          <cell r="A5959" t="str">
            <v>228273</v>
          </cell>
          <cell r="B5959" t="str">
            <v>Toco de tubo FD flange/flange c/ aba de vedação PN-10/16 DN 300 comp = 1,00 m</v>
          </cell>
          <cell r="C5959" t="str">
            <v>ud</v>
          </cell>
          <cell r="D5959">
            <v>0</v>
          </cell>
          <cell r="E5959">
            <v>2814.99</v>
          </cell>
          <cell r="F5959">
            <v>2814.99</v>
          </cell>
        </row>
        <row r="5960">
          <cell r="A5960" t="str">
            <v>228274</v>
          </cell>
          <cell r="B5960" t="str">
            <v>Toco de tubo FD flange/flange c/ aba de vedação PN-10/16 DN 300 comp = 1,50 m</v>
          </cell>
          <cell r="C5960" t="str">
            <v>ud</v>
          </cell>
          <cell r="D5960">
            <v>0</v>
          </cell>
          <cell r="E5960">
            <v>3488.42</v>
          </cell>
          <cell r="F5960">
            <v>3488.42</v>
          </cell>
        </row>
        <row r="5961">
          <cell r="A5961" t="str">
            <v>228275</v>
          </cell>
          <cell r="B5961" t="str">
            <v>Toco de tubo FD flange/flange c/ aba de vedação PN-10/16 DN 300 comp = 2,00 m</v>
          </cell>
          <cell r="C5961" t="str">
            <v>ud</v>
          </cell>
          <cell r="D5961">
            <v>0</v>
          </cell>
          <cell r="E5961">
            <v>3800.04</v>
          </cell>
          <cell r="F5961">
            <v>3800.04</v>
          </cell>
        </row>
        <row r="5962">
          <cell r="A5962" t="str">
            <v>228276</v>
          </cell>
          <cell r="B5962" t="str">
            <v>Toco de tubo FD flange/flange c/ aba de vedação PN-10/16 DN 300 comp = 2,50 m</v>
          </cell>
          <cell r="C5962" t="str">
            <v>ud</v>
          </cell>
          <cell r="D5962">
            <v>0</v>
          </cell>
          <cell r="E5962">
            <v>4114.5600000000004</v>
          </cell>
          <cell r="F5962">
            <v>4114.5600000000004</v>
          </cell>
        </row>
        <row r="5963">
          <cell r="A5963" t="str">
            <v>228277</v>
          </cell>
          <cell r="B5963" t="str">
            <v>Toco de tubo FD flange/flange c/ aba de vedação PN-10/16 DN 300 comp = 3,00 m</v>
          </cell>
          <cell r="C5963" t="str">
            <v>ud</v>
          </cell>
          <cell r="D5963">
            <v>0</v>
          </cell>
          <cell r="E5963">
            <v>4431.09</v>
          </cell>
          <cell r="F5963">
            <v>4431.09</v>
          </cell>
        </row>
        <row r="5964">
          <cell r="A5964" t="str">
            <v>228278</v>
          </cell>
          <cell r="B5964" t="str">
            <v>Toco de tubo FD flange/flange c/ aba de vedação PN-10/16 DN 300 comp = 3,50 m</v>
          </cell>
          <cell r="C5964" t="str">
            <v>ud</v>
          </cell>
          <cell r="D5964">
            <v>0</v>
          </cell>
          <cell r="E5964">
            <v>4749.04</v>
          </cell>
          <cell r="F5964">
            <v>4749.04</v>
          </cell>
        </row>
        <row r="5965">
          <cell r="A5965" t="str">
            <v>228279</v>
          </cell>
          <cell r="B5965" t="str">
            <v>Toco de tubo FD flange/flange c/ aba de vedação PN-10/16 DN 300 comp = 4,00 m</v>
          </cell>
          <cell r="C5965" t="str">
            <v>ud</v>
          </cell>
          <cell r="D5965">
            <v>0</v>
          </cell>
          <cell r="E5965">
            <v>5068.04</v>
          </cell>
          <cell r="F5965">
            <v>5068.04</v>
          </cell>
        </row>
        <row r="5966">
          <cell r="A5966" t="str">
            <v>228280</v>
          </cell>
          <cell r="B5966" t="str">
            <v>Toco de tubo FD flange/flange c/ aba de vedação PN-10/16 DN 300 comp = 4,50 m</v>
          </cell>
          <cell r="C5966" t="str">
            <v>ud</v>
          </cell>
          <cell r="D5966">
            <v>0</v>
          </cell>
          <cell r="E5966">
            <v>5387.83</v>
          </cell>
          <cell r="F5966">
            <v>5387.83</v>
          </cell>
        </row>
        <row r="5967">
          <cell r="A5967" t="str">
            <v>228281</v>
          </cell>
          <cell r="B5967" t="str">
            <v>Toco de tubo FD flange/flange c/ aba de vedação PN-10/16 DN 300 comp = 5,00 m</v>
          </cell>
          <cell r="C5967" t="str">
            <v>ud</v>
          </cell>
          <cell r="D5967">
            <v>0</v>
          </cell>
          <cell r="E5967">
            <v>5708.25</v>
          </cell>
          <cell r="F5967">
            <v>5708.25</v>
          </cell>
        </row>
        <row r="5968">
          <cell r="A5968" t="str">
            <v>228282</v>
          </cell>
          <cell r="B5968" t="str">
            <v>Toco de tubo FD flange/flange c/ aba de vedação PN-10/16 DN 300 comp = 5,50 m</v>
          </cell>
          <cell r="C5968" t="str">
            <v>ud</v>
          </cell>
          <cell r="D5968">
            <v>0</v>
          </cell>
          <cell r="E5968">
            <v>6029.17</v>
          </cell>
          <cell r="F5968">
            <v>6029.17</v>
          </cell>
        </row>
        <row r="5969">
          <cell r="A5969" t="str">
            <v>228283</v>
          </cell>
          <cell r="B5969" t="str">
            <v>Toco de tubo FD flange/flange c/ aba de vedação PN-10/16 DN 300 comp = 5,80 m</v>
          </cell>
          <cell r="C5969" t="str">
            <v>ud</v>
          </cell>
          <cell r="D5969">
            <v>0</v>
          </cell>
          <cell r="E5969">
            <v>6221.9</v>
          </cell>
          <cell r="F5969">
            <v>6221.9</v>
          </cell>
        </row>
        <row r="5970">
          <cell r="A5970" t="str">
            <v>228284</v>
          </cell>
          <cell r="B5970" t="str">
            <v>Toco de tubo FD flange/flange c/ aba de vedação PN-10 DN 400 comp = 0,25 m</v>
          </cell>
          <cell r="C5970" t="str">
            <v>ud</v>
          </cell>
          <cell r="D5970">
            <v>0</v>
          </cell>
          <cell r="E5970">
            <v>3091.42</v>
          </cell>
          <cell r="F5970">
            <v>3091.42</v>
          </cell>
        </row>
        <row r="5971">
          <cell r="A5971" t="str">
            <v>228285</v>
          </cell>
          <cell r="B5971" t="str">
            <v>Toco de tubo FD flange/flange c/ aba de vedação PN-10 DN 400 comp = 0,50 m</v>
          </cell>
          <cell r="C5971" t="str">
            <v>ud</v>
          </cell>
          <cell r="D5971">
            <v>0</v>
          </cell>
          <cell r="E5971">
            <v>3526.56</v>
          </cell>
          <cell r="F5971">
            <v>3526.56</v>
          </cell>
        </row>
        <row r="5972">
          <cell r="A5972" t="str">
            <v>228286</v>
          </cell>
          <cell r="B5972" t="str">
            <v>Toco de tubo FD flange/flange c/ aba de vedação PN-10 DN 400 comp = 1,00 m</v>
          </cell>
          <cell r="C5972" t="str">
            <v>ud</v>
          </cell>
          <cell r="D5972">
            <v>0</v>
          </cell>
          <cell r="E5972">
            <v>4006.87</v>
          </cell>
          <cell r="F5972">
            <v>4006.87</v>
          </cell>
        </row>
        <row r="5973">
          <cell r="A5973" t="str">
            <v>228287</v>
          </cell>
          <cell r="B5973" t="str">
            <v>Toco de tubo FD flange/flange c/ aba de vedação PN-10 DN 400 comp = 1,50 m</v>
          </cell>
          <cell r="C5973" t="str">
            <v>ud</v>
          </cell>
          <cell r="D5973">
            <v>0</v>
          </cell>
          <cell r="E5973">
            <v>4863.37</v>
          </cell>
          <cell r="F5973">
            <v>4863.37</v>
          </cell>
        </row>
        <row r="5974">
          <cell r="A5974" t="str">
            <v>228288</v>
          </cell>
          <cell r="B5974" t="str">
            <v>Toco de tubo FD flange/flange c/ aba de vedação PN-10 DN 400 comp = 2,00 m</v>
          </cell>
          <cell r="C5974" t="str">
            <v>ud</v>
          </cell>
          <cell r="D5974">
            <v>0</v>
          </cell>
          <cell r="E5974">
            <v>5284.31</v>
          </cell>
          <cell r="F5974">
            <v>5284.31</v>
          </cell>
        </row>
        <row r="5975">
          <cell r="A5975" t="str">
            <v>228201</v>
          </cell>
          <cell r="B5975" t="str">
            <v>Toco de tubo FD flange/flange c/ aba de vedação PN-10/16/25 DN 50 comp = 0,25 m</v>
          </cell>
          <cell r="C5975" t="str">
            <v>ud</v>
          </cell>
          <cell r="D5975">
            <v>0</v>
          </cell>
          <cell r="E5975">
            <v>238.77</v>
          </cell>
          <cell r="F5975">
            <v>238.77</v>
          </cell>
        </row>
        <row r="5976">
          <cell r="A5976" t="str">
            <v>228202</v>
          </cell>
          <cell r="B5976" t="str">
            <v>Toco de tubo FD flange/flange c/ aba de vedação PN-10/16/25 DN 50 comp = 0,50 m</v>
          </cell>
          <cell r="C5976" t="str">
            <v>ud</v>
          </cell>
          <cell r="D5976">
            <v>0</v>
          </cell>
          <cell r="E5976">
            <v>310.93</v>
          </cell>
          <cell r="F5976">
            <v>310.93</v>
          </cell>
        </row>
        <row r="5977">
          <cell r="A5977" t="str">
            <v>228203</v>
          </cell>
          <cell r="B5977" t="str">
            <v>Toco de tubo FD flange/flange c/ aba de vedação PN-10/16 DN 75 comp = 0,25 m</v>
          </cell>
          <cell r="C5977" t="str">
            <v>ud</v>
          </cell>
          <cell r="D5977">
            <v>0</v>
          </cell>
          <cell r="E5977">
            <v>266.57</v>
          </cell>
          <cell r="F5977">
            <v>266.57</v>
          </cell>
        </row>
        <row r="5978">
          <cell r="A5978" t="str">
            <v>228204</v>
          </cell>
          <cell r="B5978" t="str">
            <v>Toco de tubo FD flange/flange c/ aba de vedação PN-10/16 DN 75 comp = 0,50 m</v>
          </cell>
          <cell r="C5978" t="str">
            <v>ud</v>
          </cell>
          <cell r="D5978">
            <v>0</v>
          </cell>
          <cell r="E5978">
            <v>422.03</v>
          </cell>
          <cell r="F5978">
            <v>422.03</v>
          </cell>
        </row>
        <row r="5979">
          <cell r="A5979" t="str">
            <v>228205</v>
          </cell>
          <cell r="B5979" t="str">
            <v>Toco de tubo FD flange/flange c/ aba de vedação PN-10/16 DN 75 comp = 1,00 m</v>
          </cell>
          <cell r="C5979" t="str">
            <v>ud</v>
          </cell>
          <cell r="D5979">
            <v>0</v>
          </cell>
          <cell r="E5979">
            <v>738.56</v>
          </cell>
          <cell r="F5979">
            <v>738.56</v>
          </cell>
        </row>
        <row r="5980">
          <cell r="A5980" t="str">
            <v>228206</v>
          </cell>
          <cell r="B5980" t="str">
            <v>Toco de tubo FD flange/flange c/ aba de vedação PN-10/16/25 DN 80 comp = 0,25 m</v>
          </cell>
          <cell r="C5980" t="str">
            <v>ud</v>
          </cell>
          <cell r="D5980">
            <v>0</v>
          </cell>
          <cell r="E5980">
            <v>462.79</v>
          </cell>
          <cell r="F5980">
            <v>462.79</v>
          </cell>
        </row>
        <row r="5981">
          <cell r="A5981" t="str">
            <v>228207</v>
          </cell>
          <cell r="B5981" t="str">
            <v>Toco de tubo FD flange/flange c/ aba de vedação PN-10/16/25 DN 80 comp = 0,50 m</v>
          </cell>
          <cell r="C5981" t="str">
            <v>ud</v>
          </cell>
          <cell r="D5981">
            <v>0</v>
          </cell>
          <cell r="E5981">
            <v>507.8</v>
          </cell>
          <cell r="F5981">
            <v>507.8</v>
          </cell>
        </row>
        <row r="5982">
          <cell r="A5982" t="str">
            <v>228208</v>
          </cell>
          <cell r="B5982" t="str">
            <v>Toco de tubo FD flange/flange c/ aba de vedação PN-10/16/25 DN 80 comp = 1,00 m</v>
          </cell>
          <cell r="C5982" t="str">
            <v>ud</v>
          </cell>
          <cell r="D5982">
            <v>0</v>
          </cell>
          <cell r="E5982">
            <v>665.55</v>
          </cell>
          <cell r="F5982">
            <v>665.55</v>
          </cell>
        </row>
        <row r="5983">
          <cell r="A5983" t="str">
            <v>228209</v>
          </cell>
          <cell r="B5983" t="str">
            <v>Toco de tubo FD flange/flange c/ aba de vedação PN-10/16/25 DN 80 comp = 1,50 m</v>
          </cell>
          <cell r="C5983" t="str">
            <v>ud</v>
          </cell>
          <cell r="D5983">
            <v>0</v>
          </cell>
          <cell r="E5983">
            <v>1033.7</v>
          </cell>
          <cell r="F5983">
            <v>1033.7</v>
          </cell>
        </row>
        <row r="5984">
          <cell r="A5984" t="str">
            <v>228210</v>
          </cell>
          <cell r="B5984" t="str">
            <v>Toco de tubo FD flange/flange c/ aba de vedação PN-10/16/25 DN 80 comp = 2,00 m</v>
          </cell>
          <cell r="C5984" t="str">
            <v>ud</v>
          </cell>
          <cell r="D5984">
            <v>0</v>
          </cell>
          <cell r="E5984">
            <v>1182.44</v>
          </cell>
          <cell r="F5984">
            <v>1182.44</v>
          </cell>
        </row>
        <row r="5985">
          <cell r="A5985" t="str">
            <v>228211</v>
          </cell>
          <cell r="B5985" t="str">
            <v>Toco de tubo FD flange/flange c/ aba de vedação PN-10/16/25 DN 80 comp = 2,50 m</v>
          </cell>
          <cell r="C5985" t="str">
            <v>ud</v>
          </cell>
          <cell r="D5985">
            <v>0</v>
          </cell>
          <cell r="E5985">
            <v>1331.15</v>
          </cell>
          <cell r="F5985">
            <v>1331.15</v>
          </cell>
        </row>
        <row r="5986">
          <cell r="A5986" t="str">
            <v>228212</v>
          </cell>
          <cell r="B5986" t="str">
            <v>Toco de tubo FD flange/flange c/ aba de vedação PN-10/16/25 DN 80 comp = 3,00 m</v>
          </cell>
          <cell r="C5986" t="str">
            <v>ud</v>
          </cell>
          <cell r="D5986">
            <v>0</v>
          </cell>
          <cell r="E5986">
            <v>1479.85</v>
          </cell>
          <cell r="F5986">
            <v>1479.85</v>
          </cell>
        </row>
        <row r="5987">
          <cell r="A5987" t="str">
            <v>228213</v>
          </cell>
          <cell r="B5987" t="str">
            <v>Toco de tubo FD flange/flange c/ aba de vedação PN-10/16/25 DN 80 comp = 3,50 m</v>
          </cell>
          <cell r="C5987" t="str">
            <v>ud</v>
          </cell>
          <cell r="D5987">
            <v>0</v>
          </cell>
          <cell r="E5987">
            <v>1628.54</v>
          </cell>
          <cell r="F5987">
            <v>1628.54</v>
          </cell>
        </row>
        <row r="5988">
          <cell r="A5988" t="str">
            <v>228214</v>
          </cell>
          <cell r="B5988" t="str">
            <v>Toco de tubo FD flange/flange c/ aba de vedação PN-10/16/25 DN 80 comp = 4,00 m</v>
          </cell>
          <cell r="C5988" t="str">
            <v>ud</v>
          </cell>
          <cell r="D5988">
            <v>0</v>
          </cell>
          <cell r="E5988">
            <v>1777.22</v>
          </cell>
          <cell r="F5988">
            <v>1777.22</v>
          </cell>
        </row>
        <row r="5989">
          <cell r="A5989" t="str">
            <v>228215</v>
          </cell>
          <cell r="B5989" t="str">
            <v>Toco de tubo FD flange/flange c/ aba de vedação PN-10/16/25 DN 80 comp = 4,50 m</v>
          </cell>
          <cell r="C5989" t="str">
            <v>ud</v>
          </cell>
          <cell r="D5989">
            <v>0</v>
          </cell>
          <cell r="E5989">
            <v>1925.89</v>
          </cell>
          <cell r="F5989">
            <v>1925.89</v>
          </cell>
        </row>
        <row r="5990">
          <cell r="A5990" t="str">
            <v>228216</v>
          </cell>
          <cell r="B5990" t="str">
            <v>Toco de tubo FD flange/flange c/ aba de vedação PN-10/16/25 DN 80 comp = 5,00 m</v>
          </cell>
          <cell r="C5990" t="str">
            <v>ud</v>
          </cell>
          <cell r="D5990">
            <v>0</v>
          </cell>
          <cell r="E5990">
            <v>2074.5500000000002</v>
          </cell>
          <cell r="F5990">
            <v>2074.5500000000002</v>
          </cell>
        </row>
        <row r="5991">
          <cell r="A5991" t="str">
            <v>228217</v>
          </cell>
          <cell r="B5991" t="str">
            <v>Toco de tubo FD flange/flange c/ aba de vedação PN-10/16/25 DN 80 comp = 5,50 m</v>
          </cell>
          <cell r="C5991" t="str">
            <v>ud</v>
          </cell>
          <cell r="D5991">
            <v>0</v>
          </cell>
          <cell r="E5991">
            <v>2223.2199999999998</v>
          </cell>
          <cell r="F5991">
            <v>2223.2199999999998</v>
          </cell>
        </row>
        <row r="5992">
          <cell r="A5992" t="str">
            <v>228218</v>
          </cell>
          <cell r="B5992" t="str">
            <v>Toco de tubo FD flange/flange c/ aba de vedação PN-10/16/25 DN 80 comp = 5,80 m</v>
          </cell>
          <cell r="C5992" t="str">
            <v>ud</v>
          </cell>
          <cell r="D5992">
            <v>0</v>
          </cell>
          <cell r="E5992">
            <v>2312.42</v>
          </cell>
          <cell r="F5992">
            <v>2312.42</v>
          </cell>
        </row>
        <row r="5993">
          <cell r="A5993" t="str">
            <v>228219</v>
          </cell>
          <cell r="B5993" t="str">
            <v>Toco de tubo FD flange/flange c/ aba de vedação PN-10/16 DN 100 comp = 0,25 m</v>
          </cell>
          <cell r="C5993" t="str">
            <v>ud</v>
          </cell>
          <cell r="D5993">
            <v>0</v>
          </cell>
          <cell r="E5993">
            <v>512.53</v>
          </cell>
          <cell r="F5993">
            <v>512.53</v>
          </cell>
        </row>
        <row r="5994">
          <cell r="A5994" t="str">
            <v>228220</v>
          </cell>
          <cell r="B5994" t="str">
            <v>Toco de tubo FD flange/flange c/ aba de vedação PN-10/16 DN 100 comp = 0,50 m</v>
          </cell>
          <cell r="C5994" t="str">
            <v>ud</v>
          </cell>
          <cell r="D5994">
            <v>0</v>
          </cell>
          <cell r="E5994">
            <v>633.12</v>
          </cell>
          <cell r="F5994">
            <v>633.12</v>
          </cell>
        </row>
        <row r="5995">
          <cell r="A5995" t="str">
            <v>228221</v>
          </cell>
          <cell r="B5995" t="str">
            <v>Toco de tubo FD flange/flange c/ aba de vedação PN-10/16 DN 100 comp = 1,00 m</v>
          </cell>
          <cell r="C5995" t="str">
            <v>ud</v>
          </cell>
          <cell r="D5995">
            <v>0</v>
          </cell>
          <cell r="E5995">
            <v>1009.68</v>
          </cell>
          <cell r="F5995">
            <v>1009.68</v>
          </cell>
        </row>
        <row r="5996">
          <cell r="A5996" t="str">
            <v>228222</v>
          </cell>
          <cell r="B5996" t="str">
            <v>Toco de tubo FD flange/flange c/ aba de vedação PN-10/16 DN 100 comp = 1,50 m</v>
          </cell>
          <cell r="C5996" t="str">
            <v>ud</v>
          </cell>
          <cell r="D5996">
            <v>0</v>
          </cell>
          <cell r="E5996">
            <v>1135.02</v>
          </cell>
          <cell r="F5996">
            <v>1135.02</v>
          </cell>
        </row>
        <row r="5997">
          <cell r="A5997" t="str">
            <v>228223</v>
          </cell>
          <cell r="B5997" t="str">
            <v>Toco de tubo FD flange/flange c/ aba de vedação PN-10/16 DN 100 comp = 2,00 m</v>
          </cell>
          <cell r="C5997" t="str">
            <v>ud</v>
          </cell>
          <cell r="D5997">
            <v>0</v>
          </cell>
          <cell r="E5997">
            <v>1290.28</v>
          </cell>
          <cell r="F5997">
            <v>1290.28</v>
          </cell>
        </row>
        <row r="5998">
          <cell r="A5998" t="str">
            <v>228224</v>
          </cell>
          <cell r="B5998" t="str">
            <v>Toco de tubo FD flange/flange c/ aba de vedação PN-10/16 DN 100 comp = 2,50 m</v>
          </cell>
          <cell r="C5998" t="str">
            <v>ud</v>
          </cell>
          <cell r="D5998">
            <v>0</v>
          </cell>
          <cell r="E5998">
            <v>1445.47</v>
          </cell>
          <cell r="F5998">
            <v>1445.47</v>
          </cell>
        </row>
        <row r="5999">
          <cell r="A5999" t="str">
            <v>228225</v>
          </cell>
          <cell r="B5999" t="str">
            <v>Toco de tubo FD flange/flange c/ aba de vedação PN-10/16 DN 100 comp = 3,00 m</v>
          </cell>
          <cell r="C5999" t="str">
            <v>ud</v>
          </cell>
          <cell r="D5999">
            <v>0</v>
          </cell>
          <cell r="E5999">
            <v>1600.61</v>
          </cell>
          <cell r="F5999">
            <v>1600.61</v>
          </cell>
        </row>
        <row r="6000">
          <cell r="A6000" t="str">
            <v>228226</v>
          </cell>
          <cell r="B6000" t="str">
            <v>Toco de tubo FD flange/flange c/ aba de vedação PN-10/16 DN 100 comp = 3,50 m</v>
          </cell>
          <cell r="C6000" t="str">
            <v>ud</v>
          </cell>
          <cell r="D6000">
            <v>0</v>
          </cell>
          <cell r="E6000">
            <v>1755.72</v>
          </cell>
          <cell r="F6000">
            <v>1755.72</v>
          </cell>
        </row>
        <row r="6001">
          <cell r="A6001" t="str">
            <v>228227</v>
          </cell>
          <cell r="B6001" t="str">
            <v>Toco de tubo FD flange/flange c/ aba de vedação PN-10/16 DN 100 comp = 4,00 m</v>
          </cell>
          <cell r="C6001" t="str">
            <v>ud</v>
          </cell>
          <cell r="D6001">
            <v>0</v>
          </cell>
          <cell r="E6001">
            <v>1910.81</v>
          </cell>
          <cell r="F6001">
            <v>1910.81</v>
          </cell>
        </row>
        <row r="6002">
          <cell r="A6002" t="str">
            <v>228228</v>
          </cell>
          <cell r="B6002" t="str">
            <v>Toco de tubo FD flange/flange c/ aba de vedação PN-10/16 DN 100 comp = 4,50 m</v>
          </cell>
          <cell r="C6002" t="str">
            <v>ud</v>
          </cell>
          <cell r="D6002">
            <v>0</v>
          </cell>
          <cell r="E6002">
            <v>2065.89</v>
          </cell>
          <cell r="F6002">
            <v>2065.89</v>
          </cell>
        </row>
        <row r="6003">
          <cell r="A6003" t="str">
            <v>228229</v>
          </cell>
          <cell r="B6003" t="str">
            <v>Toco de tubo FD flange/flange c/ aba de vedação PN-10/16 DN 100 comp = 5,00 m</v>
          </cell>
          <cell r="C6003" t="str">
            <v>ud</v>
          </cell>
          <cell r="D6003">
            <v>0</v>
          </cell>
          <cell r="E6003">
            <v>2220.9499999999998</v>
          </cell>
          <cell r="F6003">
            <v>2220.9499999999998</v>
          </cell>
        </row>
        <row r="6004">
          <cell r="A6004" t="str">
            <v>228230</v>
          </cell>
          <cell r="B6004" t="str">
            <v>Toco de tubo FD flange/flange c/ aba de vedação PN-10/16 DN 100 comp = 5,50 m</v>
          </cell>
          <cell r="C6004" t="str">
            <v>ud</v>
          </cell>
          <cell r="D6004">
            <v>0</v>
          </cell>
          <cell r="E6004">
            <v>2376.0100000000002</v>
          </cell>
          <cell r="F6004">
            <v>2376.0100000000002</v>
          </cell>
        </row>
        <row r="6005">
          <cell r="A6005" t="str">
            <v>228231</v>
          </cell>
          <cell r="B6005" t="str">
            <v>Toco de tubo FD flange/flange c/ aba de vedação PN-10/16 DN 100 comp = 5,80 m</v>
          </cell>
          <cell r="C6005" t="str">
            <v>ud</v>
          </cell>
          <cell r="D6005">
            <v>0</v>
          </cell>
          <cell r="E6005">
            <v>2469.04</v>
          </cell>
          <cell r="F6005">
            <v>2469.04</v>
          </cell>
        </row>
        <row r="6006">
          <cell r="A6006" t="str">
            <v>228232</v>
          </cell>
          <cell r="B6006" t="str">
            <v>Toco de tubo FD flange/flange c/ aba de vedação PN-10/16 DN 150 comp = 0,25 m</v>
          </cell>
          <cell r="C6006" t="str">
            <v>ud</v>
          </cell>
          <cell r="D6006">
            <v>0</v>
          </cell>
          <cell r="E6006">
            <v>782.45</v>
          </cell>
          <cell r="F6006">
            <v>782.45</v>
          </cell>
        </row>
        <row r="6007">
          <cell r="A6007" t="str">
            <v>228233</v>
          </cell>
          <cell r="B6007" t="str">
            <v>Toco de tubo FD flange/flange c/ aba de vedação PN-10/16 DN 150 comp = 0,50 m</v>
          </cell>
          <cell r="C6007" t="str">
            <v>ud</v>
          </cell>
          <cell r="D6007">
            <v>0</v>
          </cell>
          <cell r="E6007">
            <v>930.94</v>
          </cell>
          <cell r="F6007">
            <v>930.94</v>
          </cell>
        </row>
        <row r="6008">
          <cell r="A6008" t="str">
            <v>228234</v>
          </cell>
          <cell r="B6008" t="str">
            <v>Toco de tubo FD flange/flange c/ aba de vedação PN-10/16 DN 150 comp = 1,00 m</v>
          </cell>
          <cell r="C6008" t="str">
            <v>ud</v>
          </cell>
          <cell r="D6008">
            <v>0</v>
          </cell>
          <cell r="E6008">
            <v>1249.08</v>
          </cell>
          <cell r="F6008">
            <v>1249.08</v>
          </cell>
        </row>
        <row r="6009">
          <cell r="A6009" t="str">
            <v>228235</v>
          </cell>
          <cell r="B6009" t="str">
            <v>Toco de tubo FD flange/flange c/ aba de vedação PN-10/16 DN 150 comp = 1,50 m</v>
          </cell>
          <cell r="C6009" t="str">
            <v>ud</v>
          </cell>
          <cell r="D6009">
            <v>0</v>
          </cell>
          <cell r="E6009">
            <v>1495.08</v>
          </cell>
          <cell r="F6009">
            <v>1495.08</v>
          </cell>
        </row>
        <row r="6010">
          <cell r="A6010" t="str">
            <v>228236</v>
          </cell>
          <cell r="B6010" t="str">
            <v>Toco de tubo FD flange/flange c/ aba de vedação PN-10/16 DN 150 comp = 2,00 m</v>
          </cell>
          <cell r="C6010" t="str">
            <v>ud</v>
          </cell>
          <cell r="D6010">
            <v>0</v>
          </cell>
          <cell r="E6010">
            <v>1671.63</v>
          </cell>
          <cell r="F6010">
            <v>1671.63</v>
          </cell>
        </row>
        <row r="6011">
          <cell r="A6011" t="str">
            <v>228237</v>
          </cell>
          <cell r="B6011" t="str">
            <v>Toco de tubo FD flange/flange c/ aba de vedação PN-10/16 DN 150 comp = 2,50 m</v>
          </cell>
          <cell r="C6011" t="str">
            <v>ud</v>
          </cell>
          <cell r="D6011">
            <v>0</v>
          </cell>
          <cell r="E6011">
            <v>1848.86</v>
          </cell>
          <cell r="F6011">
            <v>1848.86</v>
          </cell>
        </row>
        <row r="6012">
          <cell r="A6012" t="str">
            <v>228238</v>
          </cell>
          <cell r="B6012" t="str">
            <v>Toco de tubo FD flange/flange c/ aba de vedação PN-10/16 DN 150 comp = 3,00 m</v>
          </cell>
          <cell r="C6012" t="str">
            <v>ud</v>
          </cell>
          <cell r="D6012">
            <v>0</v>
          </cell>
          <cell r="E6012">
            <v>2026.55</v>
          </cell>
          <cell r="F6012">
            <v>2026.55</v>
          </cell>
        </row>
        <row r="6013">
          <cell r="A6013" t="str">
            <v>228239</v>
          </cell>
          <cell r="B6013" t="str">
            <v>Toco de tubo FD flange/flange c/ aba de vedação PN-10/16 DN 150 comp = 3,50 m</v>
          </cell>
          <cell r="C6013" t="str">
            <v>ud</v>
          </cell>
          <cell r="D6013">
            <v>0</v>
          </cell>
          <cell r="E6013">
            <v>2204.5300000000002</v>
          </cell>
          <cell r="F6013">
            <v>2204.5300000000002</v>
          </cell>
        </row>
        <row r="6014">
          <cell r="A6014" t="str">
            <v>228240</v>
          </cell>
          <cell r="B6014" t="str">
            <v>Toco de tubo FD flange/flange c/ aba de vedação PN-10/16 DN 150 comp = 4,00 m</v>
          </cell>
          <cell r="C6014" t="str">
            <v>ud</v>
          </cell>
          <cell r="D6014">
            <v>0</v>
          </cell>
          <cell r="E6014">
            <v>2382.7399999999998</v>
          </cell>
          <cell r="F6014">
            <v>2382.7399999999998</v>
          </cell>
        </row>
        <row r="6015">
          <cell r="A6015" t="str">
            <v>228241</v>
          </cell>
          <cell r="B6015" t="str">
            <v>Toco de tubo FD flange/flange c/ aba de vedação PN-10/16 DN 150 comp = 4,50 m</v>
          </cell>
          <cell r="C6015" t="str">
            <v>ud</v>
          </cell>
          <cell r="D6015">
            <v>0</v>
          </cell>
          <cell r="E6015">
            <v>2561.11</v>
          </cell>
          <cell r="F6015">
            <v>2561.11</v>
          </cell>
        </row>
        <row r="6016">
          <cell r="A6016" t="str">
            <v>228242</v>
          </cell>
          <cell r="B6016" t="str">
            <v>Toco de tubo FD flange/flange c/ aba de vedação PN-10/16 DN 150 comp = 5,00 m</v>
          </cell>
          <cell r="C6016" t="str">
            <v>ud</v>
          </cell>
          <cell r="D6016">
            <v>0</v>
          </cell>
          <cell r="E6016">
            <v>2739.6</v>
          </cell>
          <cell r="F6016">
            <v>2739.6</v>
          </cell>
        </row>
        <row r="6017">
          <cell r="A6017" t="str">
            <v>228243</v>
          </cell>
          <cell r="B6017" t="str">
            <v>Toco de tubo FD flange/flange c/ aba de vedação PN-10/16 DN 150 comp = 5,50 m</v>
          </cell>
          <cell r="C6017" t="str">
            <v>ud</v>
          </cell>
          <cell r="D6017">
            <v>0</v>
          </cell>
          <cell r="E6017">
            <v>2918.19</v>
          </cell>
          <cell r="F6017">
            <v>2918.19</v>
          </cell>
        </row>
        <row r="6018">
          <cell r="A6018" t="str">
            <v>228244</v>
          </cell>
          <cell r="B6018" t="str">
            <v>Toco de tubo FD flange/flange c/ aba de vedação PN-10/16 DN 150 comp = 5,80 m</v>
          </cell>
          <cell r="C6018" t="str">
            <v>ud</v>
          </cell>
          <cell r="D6018">
            <v>0</v>
          </cell>
          <cell r="E6018">
            <v>3025.38</v>
          </cell>
          <cell r="F6018">
            <v>3025.38</v>
          </cell>
        </row>
        <row r="6019">
          <cell r="A6019" t="str">
            <v>228245</v>
          </cell>
          <cell r="B6019" t="str">
            <v>Toco de tubo FD flange/flange c/ aba de vedação PN-10/16 DN 200 comp = 0,25 m</v>
          </cell>
          <cell r="C6019" t="str">
            <v>ud</v>
          </cell>
          <cell r="D6019">
            <v>0</v>
          </cell>
          <cell r="E6019">
            <v>1087.72</v>
          </cell>
          <cell r="F6019">
            <v>1087.72</v>
          </cell>
        </row>
        <row r="6020">
          <cell r="A6020" t="str">
            <v>228246</v>
          </cell>
          <cell r="B6020" t="str">
            <v>Toco de tubo FD flange/flange c/ aba de vedação PN-10/16 DN 200 comp = 0,50 m</v>
          </cell>
          <cell r="C6020" t="str">
            <v>ud</v>
          </cell>
          <cell r="D6020">
            <v>0</v>
          </cell>
          <cell r="E6020">
            <v>1184.51</v>
          </cell>
          <cell r="F6020">
            <v>1184.51</v>
          </cell>
        </row>
        <row r="6021">
          <cell r="A6021" t="str">
            <v>228247</v>
          </cell>
          <cell r="B6021" t="str">
            <v>Toco de tubo FD flange/flange c/ aba de vedação PN-10/16 DN 200 comp = 1,00 m</v>
          </cell>
          <cell r="C6021" t="str">
            <v>ud</v>
          </cell>
          <cell r="D6021">
            <v>0</v>
          </cell>
          <cell r="E6021">
            <v>1618.98</v>
          </cell>
          <cell r="F6021">
            <v>1618.98</v>
          </cell>
        </row>
        <row r="6022">
          <cell r="A6022" t="str">
            <v>228248</v>
          </cell>
          <cell r="B6022" t="str">
            <v>Toco de tubo FD flange/flange c/ aba de vedação PN-10/16 DN 200 comp = 1,50 m</v>
          </cell>
          <cell r="C6022" t="str">
            <v>ud</v>
          </cell>
          <cell r="D6022">
            <v>0</v>
          </cell>
          <cell r="E6022">
            <v>1909.19</v>
          </cell>
          <cell r="F6022">
            <v>1909.19</v>
          </cell>
        </row>
        <row r="6023">
          <cell r="A6023" t="str">
            <v>228249</v>
          </cell>
          <cell r="B6023" t="str">
            <v>Toco de tubo FD flange/flange c/ aba de vedação PN-10/16 DN 200 comp = 2,00 m</v>
          </cell>
          <cell r="C6023" t="str">
            <v>ud</v>
          </cell>
          <cell r="D6023">
            <v>0</v>
          </cell>
          <cell r="E6023">
            <v>2129.7399999999998</v>
          </cell>
          <cell r="F6023">
            <v>2129.7399999999998</v>
          </cell>
        </row>
        <row r="6024">
          <cell r="A6024" t="str">
            <v>228250</v>
          </cell>
          <cell r="B6024" t="str">
            <v>Toco de tubo FD flange/flange c/ aba de vedação PN-10/16 DN 200 comp = 2,50 m</v>
          </cell>
          <cell r="C6024" t="str">
            <v>ud</v>
          </cell>
          <cell r="D6024">
            <v>0</v>
          </cell>
          <cell r="E6024">
            <v>2351.2800000000002</v>
          </cell>
          <cell r="F6024">
            <v>2351.2800000000002</v>
          </cell>
        </row>
        <row r="6025">
          <cell r="A6025" t="str">
            <v>228289</v>
          </cell>
          <cell r="B6025" t="str">
            <v>Toco de tubo FD flange/flange c/ aba de vedação PN-10 DN 400 comp = 2,50 m</v>
          </cell>
          <cell r="C6025" t="str">
            <v>ud</v>
          </cell>
          <cell r="D6025">
            <v>0</v>
          </cell>
          <cell r="E6025">
            <v>5708.98</v>
          </cell>
          <cell r="F6025">
            <v>5708.98</v>
          </cell>
        </row>
        <row r="6026">
          <cell r="A6026" t="str">
            <v>228290</v>
          </cell>
          <cell r="B6026" t="str">
            <v>Toco de tubo FD flange/flange c/ aba de vedação PN-10 DN 400 comp = 3,00 m</v>
          </cell>
          <cell r="C6026" t="str">
            <v>ud</v>
          </cell>
          <cell r="D6026">
            <v>0</v>
          </cell>
          <cell r="E6026">
            <v>6136.22</v>
          </cell>
          <cell r="F6026">
            <v>6136.22</v>
          </cell>
        </row>
        <row r="6027">
          <cell r="A6027" t="str">
            <v>228291</v>
          </cell>
          <cell r="B6027" t="str">
            <v>Toco de tubo FD flange/flange c/ aba de vedação PN-10 DN 400 comp = 3,50 m</v>
          </cell>
          <cell r="C6027" t="str">
            <v>ud</v>
          </cell>
          <cell r="D6027">
            <v>0</v>
          </cell>
          <cell r="E6027">
            <v>6565.28</v>
          </cell>
          <cell r="F6027">
            <v>6565.28</v>
          </cell>
        </row>
        <row r="6028">
          <cell r="A6028" t="str">
            <v>228292</v>
          </cell>
          <cell r="B6028" t="str">
            <v>Toco de tubo FD flange/flange c/ aba de vedação PN-10 DN 400 comp = 4,00 m</v>
          </cell>
          <cell r="C6028" t="str">
            <v>ud</v>
          </cell>
          <cell r="D6028">
            <v>0</v>
          </cell>
          <cell r="E6028">
            <v>6995.72</v>
          </cell>
          <cell r="F6028">
            <v>6995.72</v>
          </cell>
        </row>
        <row r="6029">
          <cell r="A6029" t="str">
            <v>228293</v>
          </cell>
          <cell r="B6029" t="str">
            <v>Toco de tubo FD flange/flange c/ aba de vedação PN-10 DN 400 comp = 4,50 m</v>
          </cell>
          <cell r="C6029" t="str">
            <v>ud</v>
          </cell>
          <cell r="D6029">
            <v>0</v>
          </cell>
          <cell r="E6029">
            <v>7427.2</v>
          </cell>
          <cell r="F6029">
            <v>7427.2</v>
          </cell>
        </row>
        <row r="6030">
          <cell r="A6030" t="str">
            <v>228294</v>
          </cell>
          <cell r="B6030" t="str">
            <v>Toco de tubo FD flange/flange c/ aba de vedação PN-10 DN 400 comp = 5,00 m</v>
          </cell>
          <cell r="C6030" t="str">
            <v>ud</v>
          </cell>
          <cell r="D6030">
            <v>0</v>
          </cell>
          <cell r="E6030">
            <v>7859.5</v>
          </cell>
          <cell r="F6030">
            <v>7859.5</v>
          </cell>
        </row>
        <row r="6031">
          <cell r="A6031" t="str">
            <v>228295</v>
          </cell>
          <cell r="B6031" t="str">
            <v>Toco de tubo FD flange/flange c/ aba de vedação PN-10 DN 400 comp = 5,50 m</v>
          </cell>
          <cell r="C6031" t="str">
            <v>ud</v>
          </cell>
          <cell r="D6031">
            <v>0</v>
          </cell>
          <cell r="E6031">
            <v>8292.4500000000007</v>
          </cell>
          <cell r="F6031">
            <v>8292.4500000000007</v>
          </cell>
        </row>
        <row r="6032">
          <cell r="A6032" t="str">
            <v>228296</v>
          </cell>
          <cell r="B6032" t="str">
            <v>Toco de tubo FD flange/flange c/ aba de vedação PN-10 DN 400 comp = 5,80 m</v>
          </cell>
          <cell r="C6032" t="str">
            <v>ud</v>
          </cell>
          <cell r="D6032">
            <v>0</v>
          </cell>
          <cell r="E6032">
            <v>8552.48</v>
          </cell>
          <cell r="F6032">
            <v>8552.48</v>
          </cell>
        </row>
        <row r="6033">
          <cell r="A6033" t="str">
            <v>2283</v>
          </cell>
          <cell r="B6033" t="str">
            <v>TOCO DE TUBO FD PONTA/FLANGE C/ ABA DE VEDAÇÃO</v>
          </cell>
        </row>
        <row r="6034">
          <cell r="A6034" t="str">
            <v>228301</v>
          </cell>
          <cell r="B6034" t="str">
            <v>Toco de tubo FD ponta/flange c/ aba de vedação PN-10/16/25 DN 50 comp = 0,25 m</v>
          </cell>
          <cell r="C6034" t="str">
            <v>ud</v>
          </cell>
          <cell r="D6034">
            <v>0</v>
          </cell>
          <cell r="E6034">
            <v>149.44999999999999</v>
          </cell>
          <cell r="F6034">
            <v>149.44999999999999</v>
          </cell>
        </row>
        <row r="6035">
          <cell r="A6035" t="str">
            <v>228302</v>
          </cell>
          <cell r="B6035" t="str">
            <v>Toco de tubo FD ponta/flange c/ aba de vedação PN-10/16/25 DN 50 comp = 0,50 m</v>
          </cell>
          <cell r="C6035" t="str">
            <v>ud</v>
          </cell>
          <cell r="D6035">
            <v>0</v>
          </cell>
          <cell r="E6035">
            <v>247.52</v>
          </cell>
          <cell r="F6035">
            <v>247.52</v>
          </cell>
        </row>
        <row r="6036">
          <cell r="A6036" t="str">
            <v>228303</v>
          </cell>
          <cell r="B6036" t="str">
            <v>Toco de tubo FD ponta/flange c/ aba de vedação PN-10/16 DN 75 comp = 0,25 m</v>
          </cell>
          <cell r="C6036" t="str">
            <v>ud</v>
          </cell>
          <cell r="D6036">
            <v>0</v>
          </cell>
          <cell r="E6036">
            <v>177.48</v>
          </cell>
          <cell r="F6036">
            <v>177.48</v>
          </cell>
        </row>
        <row r="6037">
          <cell r="A6037" t="str">
            <v>228304</v>
          </cell>
          <cell r="B6037" t="str">
            <v>Toco de tubo FD ponta/flange c/ aba de vedação PN-10/16 DN 75 comp = 0,50 m</v>
          </cell>
          <cell r="C6037" t="str">
            <v>ud</v>
          </cell>
          <cell r="D6037">
            <v>0</v>
          </cell>
          <cell r="E6037">
            <v>294.25</v>
          </cell>
          <cell r="F6037">
            <v>294.25</v>
          </cell>
        </row>
        <row r="6038">
          <cell r="A6038" t="str">
            <v>228305</v>
          </cell>
          <cell r="B6038" t="str">
            <v>Toco de tubo FD ponta/flange c/ aba de vedação PN-10/16 DN 75 comp = 1,00 m</v>
          </cell>
          <cell r="C6038" t="str">
            <v>ud</v>
          </cell>
          <cell r="D6038">
            <v>0</v>
          </cell>
          <cell r="E6038">
            <v>403.23</v>
          </cell>
          <cell r="F6038">
            <v>403.23</v>
          </cell>
        </row>
        <row r="6039">
          <cell r="A6039" t="str">
            <v>228306</v>
          </cell>
          <cell r="B6039" t="str">
            <v>Toco de tubo FD ponta/flange c/ aba de vedação PN-10/16/25 DN 80 comp = 0,25 m</v>
          </cell>
          <cell r="C6039" t="str">
            <v>ud</v>
          </cell>
          <cell r="D6039">
            <v>0</v>
          </cell>
          <cell r="E6039">
            <v>312.02999999999997</v>
          </cell>
          <cell r="F6039">
            <v>312.02999999999997</v>
          </cell>
        </row>
        <row r="6040">
          <cell r="A6040" t="str">
            <v>228307</v>
          </cell>
          <cell r="B6040" t="str">
            <v>Toco de tubo FD ponta/flange c/ aba de vedação PN-10/16/25 DN 80 comp = 0,50 m</v>
          </cell>
          <cell r="C6040" t="str">
            <v>ud</v>
          </cell>
          <cell r="D6040">
            <v>0</v>
          </cell>
          <cell r="E6040">
            <v>397.85</v>
          </cell>
          <cell r="F6040">
            <v>397.85</v>
          </cell>
        </row>
        <row r="6041">
          <cell r="A6041" t="str">
            <v>228308</v>
          </cell>
          <cell r="B6041" t="str">
            <v>Toco de tubo FD ponta/flange c/ aba de vedação PN-10/16/25 DN 80 comp = 1,00 m</v>
          </cell>
          <cell r="C6041" t="str">
            <v>ud</v>
          </cell>
          <cell r="D6041">
            <v>0</v>
          </cell>
          <cell r="E6041">
            <v>360.5</v>
          </cell>
          <cell r="F6041">
            <v>360.5</v>
          </cell>
        </row>
        <row r="6042">
          <cell r="A6042" t="str">
            <v>228309</v>
          </cell>
          <cell r="B6042" t="str">
            <v>Toco de tubo FD ponta/flange c/ aba de vedação PN-10/16/25 DN 80 comp = 1,50 m</v>
          </cell>
          <cell r="C6042" t="str">
            <v>ud</v>
          </cell>
          <cell r="D6042">
            <v>0</v>
          </cell>
          <cell r="E6042">
            <v>739.92</v>
          </cell>
          <cell r="F6042">
            <v>739.92</v>
          </cell>
        </row>
        <row r="6043">
          <cell r="A6043" t="str">
            <v>228310</v>
          </cell>
          <cell r="B6043" t="str">
            <v>Toco de tubo FD ponta/flange c/ aba de vedação PN-10/16/25 DN 80 comp = 2,00 m</v>
          </cell>
          <cell r="C6043" t="str">
            <v>ud</v>
          </cell>
          <cell r="D6043">
            <v>0</v>
          </cell>
          <cell r="E6043">
            <v>888.6</v>
          </cell>
          <cell r="F6043">
            <v>888.6</v>
          </cell>
        </row>
        <row r="6044">
          <cell r="A6044" t="str">
            <v>228311</v>
          </cell>
          <cell r="B6044" t="str">
            <v>Toco de tubo FD ponta/flange c/ aba de vedação PN-10/16/25 DN 80 comp = 2,50 m</v>
          </cell>
          <cell r="C6044" t="str">
            <v>ud</v>
          </cell>
          <cell r="D6044">
            <v>0</v>
          </cell>
          <cell r="E6044">
            <v>1037.27</v>
          </cell>
          <cell r="F6044">
            <v>1037.27</v>
          </cell>
        </row>
        <row r="6045">
          <cell r="A6045" t="str">
            <v>228312</v>
          </cell>
          <cell r="B6045" t="str">
            <v>Toco de tubo FD ponta/flange c/ aba de vedação PN-10/16/25 DN 80 comp = 3,00 m</v>
          </cell>
          <cell r="C6045" t="str">
            <v>ud</v>
          </cell>
          <cell r="D6045">
            <v>0</v>
          </cell>
          <cell r="E6045">
            <v>1185.94</v>
          </cell>
          <cell r="F6045">
            <v>1185.94</v>
          </cell>
        </row>
        <row r="6046">
          <cell r="A6046" t="str">
            <v>228313</v>
          </cell>
          <cell r="B6046" t="str">
            <v>Toco de tubo FD ponta/flange c/ aba de vedação PN-10/16/25 DN 80 comp = 3,50 m</v>
          </cell>
          <cell r="C6046" t="str">
            <v>ud</v>
          </cell>
          <cell r="D6046">
            <v>0</v>
          </cell>
          <cell r="E6046">
            <v>1334.6</v>
          </cell>
          <cell r="F6046">
            <v>1334.6</v>
          </cell>
        </row>
        <row r="6047">
          <cell r="A6047" t="str">
            <v>228314</v>
          </cell>
          <cell r="B6047" t="str">
            <v>Toco de tubo FD ponta/flange c/ aba de vedação PN-10/16/25 DN 80 comp = 4,00 m</v>
          </cell>
          <cell r="C6047" t="str">
            <v>ud</v>
          </cell>
          <cell r="D6047">
            <v>0</v>
          </cell>
          <cell r="E6047">
            <v>1483.26</v>
          </cell>
          <cell r="F6047">
            <v>1483.26</v>
          </cell>
        </row>
        <row r="6048">
          <cell r="A6048" t="str">
            <v>228315</v>
          </cell>
          <cell r="B6048" t="str">
            <v>Toco de tubo FD ponta/flange c/ aba de vedação PN-10/16/25 DN 80 comp = 4,50 m</v>
          </cell>
          <cell r="C6048" t="str">
            <v>ud</v>
          </cell>
          <cell r="D6048">
            <v>0</v>
          </cell>
          <cell r="E6048">
            <v>1631.92</v>
          </cell>
          <cell r="F6048">
            <v>1631.92</v>
          </cell>
        </row>
        <row r="6049">
          <cell r="A6049" t="str">
            <v>228316</v>
          </cell>
          <cell r="B6049" t="str">
            <v>Toco de tubo FD ponta/flange c/ aba de vedação PN-10/16/25 DN 80 comp = 5,00 m</v>
          </cell>
          <cell r="C6049" t="str">
            <v>ud</v>
          </cell>
          <cell r="D6049">
            <v>0</v>
          </cell>
          <cell r="E6049">
            <v>1780.54</v>
          </cell>
          <cell r="F6049">
            <v>1780.54</v>
          </cell>
        </row>
        <row r="6050">
          <cell r="A6050" t="str">
            <v>228317</v>
          </cell>
          <cell r="B6050" t="str">
            <v>Toco de tubo FD ponta/flange c/ aba de vedação PN-10/16/25 DN 80 comp = 5,50 m</v>
          </cell>
          <cell r="C6050" t="str">
            <v>ud</v>
          </cell>
          <cell r="D6050">
            <v>0</v>
          </cell>
          <cell r="E6050">
            <v>1929.22</v>
          </cell>
          <cell r="F6050">
            <v>1929.22</v>
          </cell>
        </row>
        <row r="6051">
          <cell r="A6051" t="str">
            <v>228318</v>
          </cell>
          <cell r="B6051" t="str">
            <v>Toco de tubo FD ponta/flange c/ aba de vedação PN-10/16/25 DN 80 comp = 5,80 m</v>
          </cell>
          <cell r="C6051" t="str">
            <v>ud</v>
          </cell>
          <cell r="D6051">
            <v>0</v>
          </cell>
          <cell r="E6051">
            <v>2018.41</v>
          </cell>
          <cell r="F6051">
            <v>2018.41</v>
          </cell>
        </row>
        <row r="6052">
          <cell r="A6052" t="str">
            <v>228319</v>
          </cell>
          <cell r="B6052" t="str">
            <v>Toco de tubo FD ponta/flange c/ aba de vedação PN-10/16 DN 100 comp = 0,25 m</v>
          </cell>
          <cell r="C6052" t="str">
            <v>ud</v>
          </cell>
          <cell r="D6052">
            <v>0</v>
          </cell>
          <cell r="E6052">
            <v>333.45</v>
          </cell>
          <cell r="F6052">
            <v>333.45</v>
          </cell>
        </row>
        <row r="6053">
          <cell r="A6053" t="str">
            <v>228320</v>
          </cell>
          <cell r="B6053" t="str">
            <v>Toco de tubo FD ponta/flange c/ aba de vedação PN-10/16 DN 100 comp = 0,50 m</v>
          </cell>
          <cell r="C6053" t="str">
            <v>ud</v>
          </cell>
          <cell r="D6053">
            <v>0</v>
          </cell>
          <cell r="E6053">
            <v>463.63</v>
          </cell>
          <cell r="F6053">
            <v>463.63</v>
          </cell>
        </row>
        <row r="6054">
          <cell r="A6054" t="str">
            <v>228321</v>
          </cell>
          <cell r="B6054" t="str">
            <v>Toco de tubo FD ponta/flange c/ aba de vedação PN-10/16 DN 100 comp = 1,00 m</v>
          </cell>
          <cell r="C6054" t="str">
            <v>ud</v>
          </cell>
          <cell r="D6054">
            <v>0</v>
          </cell>
          <cell r="E6054">
            <v>641.30999999999995</v>
          </cell>
          <cell r="F6054">
            <v>641.30999999999995</v>
          </cell>
        </row>
        <row r="6055">
          <cell r="A6055" t="str">
            <v>228322</v>
          </cell>
          <cell r="B6055" t="str">
            <v>Toco de tubo FD ponta/flange c/ aba de vedação PN-10/16 DN 100 comp = 1,50 m</v>
          </cell>
          <cell r="C6055" t="str">
            <v>ud</v>
          </cell>
          <cell r="D6055">
            <v>0</v>
          </cell>
          <cell r="E6055">
            <v>800.31</v>
          </cell>
          <cell r="F6055">
            <v>800.31</v>
          </cell>
        </row>
        <row r="6056">
          <cell r="A6056" t="str">
            <v>228323</v>
          </cell>
          <cell r="B6056" t="str">
            <v>Toco de tubo FD ponta/flange c/ aba de vedação PN-10/16 DN 100 comp = 2,00 m</v>
          </cell>
          <cell r="C6056" t="str">
            <v>ud</v>
          </cell>
          <cell r="D6056">
            <v>0</v>
          </cell>
          <cell r="E6056">
            <v>955.41</v>
          </cell>
          <cell r="F6056">
            <v>955.41</v>
          </cell>
        </row>
        <row r="6057">
          <cell r="A6057" t="str">
            <v>228324</v>
          </cell>
          <cell r="B6057" t="str">
            <v>Toco de tubo FD ponta/flange c/ aba de vedação PN-10/16 DN 100 comp = 2,50 m</v>
          </cell>
          <cell r="C6057" t="str">
            <v>ud</v>
          </cell>
          <cell r="D6057">
            <v>0</v>
          </cell>
          <cell r="E6057">
            <v>1110.48</v>
          </cell>
          <cell r="F6057">
            <v>1110.48</v>
          </cell>
        </row>
        <row r="6058">
          <cell r="A6058" t="str">
            <v>228325</v>
          </cell>
          <cell r="B6058" t="str">
            <v>Toco de tubo FD ponta/flange c/ aba de vedação PN-10/16 DN 100 comp = 3,00 m</v>
          </cell>
          <cell r="C6058" t="str">
            <v>ud</v>
          </cell>
          <cell r="D6058">
            <v>0</v>
          </cell>
          <cell r="E6058">
            <v>1265.52</v>
          </cell>
          <cell r="F6058">
            <v>1265.52</v>
          </cell>
        </row>
        <row r="6059">
          <cell r="A6059" t="str">
            <v>228326</v>
          </cell>
          <cell r="B6059" t="str">
            <v>Toco de tubo FD ponta/flange c/ aba de vedação PN-10/16 DN 100 comp = 3,50 m</v>
          </cell>
          <cell r="C6059" t="str">
            <v>ud</v>
          </cell>
          <cell r="D6059">
            <v>0</v>
          </cell>
          <cell r="E6059">
            <v>1420.56</v>
          </cell>
          <cell r="F6059">
            <v>1420.56</v>
          </cell>
        </row>
        <row r="6060">
          <cell r="A6060" t="str">
            <v>228327</v>
          </cell>
          <cell r="B6060" t="str">
            <v>Toco de tubo FD ponta/flange c/ aba de vedação PN-10/16 DN 100 comp = 4,00 m</v>
          </cell>
          <cell r="C6060" t="str">
            <v>ud</v>
          </cell>
          <cell r="D6060">
            <v>0</v>
          </cell>
          <cell r="E6060">
            <v>1575.59</v>
          </cell>
          <cell r="F6060">
            <v>1575.59</v>
          </cell>
        </row>
        <row r="6061">
          <cell r="A6061" t="str">
            <v>228328</v>
          </cell>
          <cell r="B6061" t="str">
            <v>Toco de tubo FD ponta/flange c/ aba de vedação PN-10/16 DN 100 comp = 4,50 m</v>
          </cell>
          <cell r="C6061" t="str">
            <v>ud</v>
          </cell>
          <cell r="D6061">
            <v>0</v>
          </cell>
          <cell r="E6061">
            <v>1730.61</v>
          </cell>
          <cell r="F6061">
            <v>1730.61</v>
          </cell>
        </row>
        <row r="6062">
          <cell r="A6062" t="str">
            <v>228329</v>
          </cell>
          <cell r="B6062" t="str">
            <v>Toco de tubo FD ponta/flange c/ aba de vedação PN-10/16 DN 100 comp = 5,00 m</v>
          </cell>
          <cell r="C6062" t="str">
            <v>ud</v>
          </cell>
          <cell r="D6062">
            <v>0</v>
          </cell>
          <cell r="E6062">
            <v>1885.63</v>
          </cell>
          <cell r="F6062">
            <v>1885.63</v>
          </cell>
        </row>
        <row r="6063">
          <cell r="A6063" t="str">
            <v>228330</v>
          </cell>
          <cell r="B6063" t="str">
            <v>Toco de tubo FD ponta/flange c/ aba de vedação PN-10/16 DN 100 comp = 5,50 m</v>
          </cell>
          <cell r="C6063" t="str">
            <v>ud</v>
          </cell>
          <cell r="D6063">
            <v>0</v>
          </cell>
          <cell r="E6063">
            <v>2040.65</v>
          </cell>
          <cell r="F6063">
            <v>2040.65</v>
          </cell>
        </row>
        <row r="6064">
          <cell r="A6064" t="str">
            <v>228331</v>
          </cell>
          <cell r="B6064" t="str">
            <v>Toco de tubo FD ponta/flange c/ aba de vedação PN-10/16 DN 100 comp = 5,80 m</v>
          </cell>
          <cell r="C6064" t="str">
            <v>ud</v>
          </cell>
          <cell r="D6064">
            <v>0</v>
          </cell>
          <cell r="E6064">
            <v>2133.65</v>
          </cell>
          <cell r="F6064">
            <v>2133.65</v>
          </cell>
        </row>
        <row r="6065">
          <cell r="A6065" t="str">
            <v>228332</v>
          </cell>
          <cell r="B6065" t="str">
            <v>Toco de tubo FD ponta/flange c/ aba de vedação PN-10/16 DN 150 comp = 0,25 m</v>
          </cell>
          <cell r="C6065" t="str">
            <v>ud</v>
          </cell>
          <cell r="D6065">
            <v>0</v>
          </cell>
          <cell r="E6065">
            <v>493.77</v>
          </cell>
          <cell r="F6065">
            <v>493.77</v>
          </cell>
        </row>
        <row r="6066">
          <cell r="A6066" t="str">
            <v>228333</v>
          </cell>
          <cell r="B6066" t="str">
            <v>Toco de tubo FD ponta/flange c/ aba de vedação PN-10/16 DN 150 comp = 0,50 m</v>
          </cell>
          <cell r="C6066" t="str">
            <v>ud</v>
          </cell>
          <cell r="D6066">
            <v>0</v>
          </cell>
          <cell r="E6066">
            <v>595.58000000000004</v>
          </cell>
          <cell r="F6066">
            <v>595.58000000000004</v>
          </cell>
        </row>
        <row r="6067">
          <cell r="A6067" t="str">
            <v>228334</v>
          </cell>
          <cell r="B6067" t="str">
            <v>Toco de tubo FD ponta/flange c/ aba de vedação PN-10/16 DN 150 comp = 1,00 m</v>
          </cell>
          <cell r="C6067" t="str">
            <v>ud</v>
          </cell>
          <cell r="D6067">
            <v>0</v>
          </cell>
          <cell r="E6067">
            <v>903.95</v>
          </cell>
          <cell r="F6067">
            <v>903.95</v>
          </cell>
        </row>
        <row r="6068">
          <cell r="A6068" t="str">
            <v>228335</v>
          </cell>
          <cell r="B6068" t="str">
            <v>Toco de tubo FD ponta/flange c/ aba de vedação PN-10/16 DN 150 comp = 1,50 m</v>
          </cell>
          <cell r="C6068" t="str">
            <v>ud</v>
          </cell>
          <cell r="D6068">
            <v>0</v>
          </cell>
          <cell r="E6068">
            <v>1013.27</v>
          </cell>
          <cell r="F6068">
            <v>1013.27</v>
          </cell>
        </row>
        <row r="6069">
          <cell r="A6069" t="str">
            <v>228336</v>
          </cell>
          <cell r="B6069" t="str">
            <v>Toco de tubo FD ponta/flange c/ aba de vedação PN-10/16 DN 150 comp = 2,00 m</v>
          </cell>
          <cell r="C6069" t="str">
            <v>ud</v>
          </cell>
          <cell r="D6069">
            <v>0</v>
          </cell>
          <cell r="E6069">
            <v>1191.3699999999999</v>
          </cell>
          <cell r="F6069">
            <v>1191.3699999999999</v>
          </cell>
        </row>
        <row r="6070">
          <cell r="A6070" t="str">
            <v>228337</v>
          </cell>
          <cell r="B6070" t="str">
            <v>Toco de tubo FD ponta/flange c/ aba de vedação PN-10/16 DN 150 comp = 2,50 m</v>
          </cell>
          <cell r="C6070" t="str">
            <v>ud</v>
          </cell>
          <cell r="D6070">
            <v>0</v>
          </cell>
          <cell r="E6070">
            <v>1369.8</v>
          </cell>
          <cell r="F6070">
            <v>1369.8</v>
          </cell>
        </row>
        <row r="6071">
          <cell r="A6071" t="str">
            <v>228338</v>
          </cell>
          <cell r="B6071" t="str">
            <v>Toco de tubo FD ponta/flange c/ aba de vedação PN-10/16 DN 150 comp = 3,00 m</v>
          </cell>
          <cell r="C6071" t="str">
            <v>ud</v>
          </cell>
          <cell r="D6071">
            <v>0</v>
          </cell>
          <cell r="E6071">
            <v>1548.42</v>
          </cell>
          <cell r="F6071">
            <v>1548.42</v>
          </cell>
        </row>
        <row r="6072">
          <cell r="A6072" t="str">
            <v>228339</v>
          </cell>
          <cell r="B6072" t="str">
            <v>Toco de tubo FD ponta/flange c/ aba de vedação PN-10/16 DN 150 comp = 3,50 m</v>
          </cell>
          <cell r="C6072" t="str">
            <v>ud</v>
          </cell>
          <cell r="D6072">
            <v>0</v>
          </cell>
          <cell r="E6072">
            <v>1727.18</v>
          </cell>
          <cell r="F6072">
            <v>1727.18</v>
          </cell>
        </row>
        <row r="6073">
          <cell r="A6073" t="str">
            <v>228340</v>
          </cell>
          <cell r="B6073" t="str">
            <v>Toco de tubo FD ponta/flange c/ aba de vedação PN-10/16 DN 150 comp = 4,00 m</v>
          </cell>
          <cell r="C6073" t="str">
            <v>ud</v>
          </cell>
          <cell r="D6073">
            <v>0</v>
          </cell>
          <cell r="E6073">
            <v>1906.01</v>
          </cell>
          <cell r="F6073">
            <v>1906.01</v>
          </cell>
        </row>
        <row r="6074">
          <cell r="A6074" t="str">
            <v>228341</v>
          </cell>
          <cell r="B6074" t="str">
            <v>Toco de tubo FD ponta/flange c/ aba de vedação PN-10/16 DN 150 comp = 4,50 m</v>
          </cell>
          <cell r="C6074" t="str">
            <v>ud</v>
          </cell>
          <cell r="D6074">
            <v>0</v>
          </cell>
          <cell r="E6074">
            <v>2084.9</v>
          </cell>
          <cell r="F6074">
            <v>2084.9</v>
          </cell>
        </row>
        <row r="6075">
          <cell r="A6075" t="str">
            <v>228342</v>
          </cell>
          <cell r="B6075" t="str">
            <v>Toco de tubo FD ponta/flange c/ aba de vedação PN-10/16 DN 150 comp = 5,00 m</v>
          </cell>
          <cell r="C6075" t="str">
            <v>ud</v>
          </cell>
          <cell r="D6075">
            <v>0</v>
          </cell>
          <cell r="E6075">
            <v>2263.84</v>
          </cell>
          <cell r="F6075">
            <v>2263.84</v>
          </cell>
        </row>
        <row r="6076">
          <cell r="A6076" t="str">
            <v>228343</v>
          </cell>
          <cell r="B6076" t="str">
            <v>Toco de tubo FD ponta/flange c/ aba de vedação PN-10/16 DN 150 comp = 5,50 m</v>
          </cell>
          <cell r="C6076" t="str">
            <v>ud</v>
          </cell>
          <cell r="D6076">
            <v>0</v>
          </cell>
          <cell r="E6076">
            <v>2442.81</v>
          </cell>
          <cell r="F6076">
            <v>2442.81</v>
          </cell>
        </row>
        <row r="6077">
          <cell r="A6077" t="str">
            <v>228344</v>
          </cell>
          <cell r="B6077" t="str">
            <v>Toco de tubo FD ponta/flange c/ aba de vedação PN-10/16 DN 150 comp = 5,80 m</v>
          </cell>
          <cell r="C6077" t="str">
            <v>ud</v>
          </cell>
          <cell r="D6077">
            <v>0</v>
          </cell>
          <cell r="E6077">
            <v>2550.21</v>
          </cell>
          <cell r="F6077">
            <v>2550.21</v>
          </cell>
        </row>
        <row r="6078">
          <cell r="A6078" t="str">
            <v>228345</v>
          </cell>
          <cell r="B6078" t="str">
            <v>Toco de tubo FD ponta/flange c/ aba de vedação PN-10/16 DN 200 comp = 0,25 m</v>
          </cell>
          <cell r="C6078" t="str">
            <v>ud</v>
          </cell>
          <cell r="D6078">
            <v>0</v>
          </cell>
          <cell r="E6078">
            <v>618.32000000000005</v>
          </cell>
          <cell r="F6078">
            <v>618.32000000000005</v>
          </cell>
        </row>
        <row r="6079">
          <cell r="A6079" t="str">
            <v>228346</v>
          </cell>
          <cell r="B6079" t="str">
            <v>Toco de tubo FD ponta/flange c/ aba de vedação PN-10/16 DN 200 comp = 0,50 m</v>
          </cell>
          <cell r="C6079" t="str">
            <v>ud</v>
          </cell>
          <cell r="D6079">
            <v>0</v>
          </cell>
          <cell r="E6079">
            <v>773.98</v>
          </cell>
          <cell r="F6079">
            <v>773.98</v>
          </cell>
        </row>
        <row r="6080">
          <cell r="A6080" t="str">
            <v>228347</v>
          </cell>
          <cell r="B6080" t="str">
            <v>Toco de tubo FD ponta/flange c/ aba de vedação PN-10/16 DN 200 comp = 1,00 m</v>
          </cell>
          <cell r="C6080" t="str">
            <v>ud</v>
          </cell>
          <cell r="D6080">
            <v>0</v>
          </cell>
          <cell r="E6080">
            <v>1249.3699999999999</v>
          </cell>
          <cell r="F6080">
            <v>1249.3699999999999</v>
          </cell>
        </row>
        <row r="6081">
          <cell r="A6081" t="str">
            <v>228348</v>
          </cell>
          <cell r="B6081" t="str">
            <v>Toco de tubo FD ponta/flange c/ aba de vedação PN-10/16 DN 200 comp = 1,50 m</v>
          </cell>
          <cell r="C6081" t="str">
            <v>ud</v>
          </cell>
          <cell r="D6081">
            <v>0</v>
          </cell>
          <cell r="E6081">
            <v>1286.72</v>
          </cell>
          <cell r="F6081">
            <v>1286.72</v>
          </cell>
        </row>
        <row r="6082">
          <cell r="A6082" t="str">
            <v>228349</v>
          </cell>
          <cell r="B6082" t="str">
            <v>Toco de tubo FD ponta/flange c/ aba de vedação PN-10/16 DN 200 comp = 2,00 m</v>
          </cell>
          <cell r="C6082" t="str">
            <v>ud</v>
          </cell>
          <cell r="D6082">
            <v>0</v>
          </cell>
          <cell r="E6082">
            <v>1509.46</v>
          </cell>
          <cell r="F6082">
            <v>1509.46</v>
          </cell>
        </row>
        <row r="6083">
          <cell r="A6083" t="str">
            <v>228350</v>
          </cell>
          <cell r="B6083" t="str">
            <v>Toco de tubo FD ponta/flange c/ aba de vedação PN-10/16 DN 200 comp = 2,50 m</v>
          </cell>
          <cell r="C6083" t="str">
            <v>ud</v>
          </cell>
          <cell r="D6083">
            <v>0</v>
          </cell>
          <cell r="E6083">
            <v>1732.7</v>
          </cell>
          <cell r="F6083">
            <v>1732.7</v>
          </cell>
        </row>
        <row r="6084">
          <cell r="A6084" t="str">
            <v>228351</v>
          </cell>
          <cell r="B6084" t="str">
            <v>Toco de tubo FD ponta/flange c/ aba de vedação PN-10/16 DN 200 comp = 3,00 m</v>
          </cell>
          <cell r="C6084" t="str">
            <v>ud</v>
          </cell>
          <cell r="D6084">
            <v>0</v>
          </cell>
          <cell r="E6084">
            <v>1956.2</v>
          </cell>
          <cell r="F6084">
            <v>1956.2</v>
          </cell>
        </row>
        <row r="6085">
          <cell r="A6085" t="str">
            <v>228352</v>
          </cell>
          <cell r="B6085" t="str">
            <v>Toco de tubo FD ponta/flange c/ aba de vedação PN-10/16 DN 200 comp = 3,50 m</v>
          </cell>
          <cell r="C6085" t="str">
            <v>ud</v>
          </cell>
          <cell r="D6085">
            <v>0</v>
          </cell>
          <cell r="E6085">
            <v>2179.87</v>
          </cell>
          <cell r="F6085">
            <v>2179.87</v>
          </cell>
        </row>
        <row r="6086">
          <cell r="A6086" t="str">
            <v>228353</v>
          </cell>
          <cell r="B6086" t="str">
            <v>Toco de tubo FD ponta/flange c/ aba de vedação PN-10/16 DN 200 comp = 4,00 m</v>
          </cell>
          <cell r="C6086" t="str">
            <v>ud</v>
          </cell>
          <cell r="D6086">
            <v>0</v>
          </cell>
          <cell r="E6086">
            <v>2403.69</v>
          </cell>
          <cell r="F6086">
            <v>2403.69</v>
          </cell>
        </row>
        <row r="6087">
          <cell r="A6087" t="str">
            <v>228354</v>
          </cell>
          <cell r="B6087" t="str">
            <v>Toco de tubo FD ponta/flange c/ aba de vedação PN-10/16 DN 200 comp = 4,50 m</v>
          </cell>
          <cell r="C6087" t="str">
            <v>ud</v>
          </cell>
          <cell r="D6087">
            <v>0</v>
          </cell>
          <cell r="E6087">
            <v>2627.57</v>
          </cell>
          <cell r="F6087">
            <v>2627.57</v>
          </cell>
        </row>
        <row r="6088">
          <cell r="A6088" t="str">
            <v>228355</v>
          </cell>
          <cell r="B6088" t="str">
            <v>Toco de tubo FD ponta/flange c/ aba de vedação PN-10/16 DN 200 comp = 5,00 m</v>
          </cell>
          <cell r="C6088" t="str">
            <v>ud</v>
          </cell>
          <cell r="D6088">
            <v>0</v>
          </cell>
          <cell r="E6088">
            <v>2851.52</v>
          </cell>
          <cell r="F6088">
            <v>2851.52</v>
          </cell>
        </row>
        <row r="6089">
          <cell r="A6089" t="str">
            <v>228356</v>
          </cell>
          <cell r="B6089" t="str">
            <v>Toco de tubo FD ponta/flange c/ aba de vedação PN-10/16 DN 200 comp = 5,50 m</v>
          </cell>
          <cell r="C6089" t="str">
            <v>ud</v>
          </cell>
          <cell r="D6089">
            <v>0</v>
          </cell>
          <cell r="E6089">
            <v>3075.52</v>
          </cell>
          <cell r="F6089">
            <v>3075.52</v>
          </cell>
        </row>
        <row r="6090">
          <cell r="A6090" t="str">
            <v>228357</v>
          </cell>
          <cell r="B6090" t="str">
            <v>Toco de tubo FD ponta/flange c/ aba de vedação PN-10/16 DN 200 comp = 5,80 m</v>
          </cell>
          <cell r="C6090" t="str">
            <v>ud</v>
          </cell>
          <cell r="D6090">
            <v>0</v>
          </cell>
          <cell r="E6090">
            <v>3209.94</v>
          </cell>
          <cell r="F6090">
            <v>3209.94</v>
          </cell>
        </row>
        <row r="6091">
          <cell r="A6091" t="str">
            <v>228358</v>
          </cell>
          <cell r="B6091" t="str">
            <v>Toco de tubo FD ponta/flange c/ aba de vedação PN-10/16 DN 250 comp = 0,25 m</v>
          </cell>
          <cell r="C6091" t="str">
            <v>ud</v>
          </cell>
          <cell r="D6091">
            <v>0</v>
          </cell>
          <cell r="E6091">
            <v>936.64</v>
          </cell>
          <cell r="F6091">
            <v>936.64</v>
          </cell>
        </row>
        <row r="6092">
          <cell r="A6092" t="str">
            <v>228359</v>
          </cell>
          <cell r="B6092" t="str">
            <v>Toco de tubo FD ponta/flange c/ aba de vedação PN-10/16 DN 250 comp = 0,50 m</v>
          </cell>
          <cell r="C6092" t="str">
            <v>ud</v>
          </cell>
          <cell r="D6092">
            <v>0</v>
          </cell>
          <cell r="E6092">
            <v>1127.58</v>
          </cell>
          <cell r="F6092">
            <v>1127.58</v>
          </cell>
        </row>
        <row r="6093">
          <cell r="A6093" t="str">
            <v>228360</v>
          </cell>
          <cell r="B6093" t="str">
            <v>Toco de tubo FD ponta/flange c/ aba de vedação PN-10/16 DN 250 comp = 1,00 m</v>
          </cell>
          <cell r="C6093" t="str">
            <v>ud</v>
          </cell>
          <cell r="D6093">
            <v>0</v>
          </cell>
          <cell r="E6093">
            <v>1439.81</v>
          </cell>
          <cell r="F6093">
            <v>1439.81</v>
          </cell>
        </row>
        <row r="6094">
          <cell r="A6094" t="str">
            <v>228361</v>
          </cell>
          <cell r="B6094" t="str">
            <v>Toco de tubo FD ponta/flange c/ aba de vedação PN-10/16 DN 250 comp = 1,50 m</v>
          </cell>
          <cell r="C6094" t="str">
            <v>ud</v>
          </cell>
          <cell r="D6094">
            <v>0</v>
          </cell>
          <cell r="E6094">
            <v>1744.59</v>
          </cell>
          <cell r="F6094">
            <v>1744.59</v>
          </cell>
        </row>
        <row r="6095">
          <cell r="A6095" t="str">
            <v>228362</v>
          </cell>
          <cell r="B6095" t="str">
            <v>Toco de tubo FD ponta/flange c/ aba de vedação PN-10/16 DN 250 comp = 2,00 m</v>
          </cell>
          <cell r="C6095" t="str">
            <v>ud</v>
          </cell>
          <cell r="D6095">
            <v>0</v>
          </cell>
          <cell r="E6095">
            <v>2018.88</v>
          </cell>
          <cell r="F6095">
            <v>2018.88</v>
          </cell>
        </row>
        <row r="6096">
          <cell r="A6096" t="str">
            <v>228363</v>
          </cell>
          <cell r="B6096" t="str">
            <v>Toco de tubo FD ponta/flange c/ aba de vedação PN-10/16 DN 250 comp = 2,50 m</v>
          </cell>
          <cell r="C6096" t="str">
            <v>ud</v>
          </cell>
          <cell r="D6096">
            <v>0</v>
          </cell>
          <cell r="E6096">
            <v>2294</v>
          </cell>
          <cell r="F6096">
            <v>2294</v>
          </cell>
        </row>
        <row r="6097">
          <cell r="A6097" t="str">
            <v>228364</v>
          </cell>
          <cell r="B6097" t="str">
            <v>Toco de tubo FD ponta/flange c/ aba de vedação PN-10/16 DN 250 comp = 3,00 m</v>
          </cell>
          <cell r="C6097" t="str">
            <v>ud</v>
          </cell>
          <cell r="D6097">
            <v>0</v>
          </cell>
          <cell r="E6097">
            <v>2569.62</v>
          </cell>
          <cell r="F6097">
            <v>2569.62</v>
          </cell>
        </row>
        <row r="6098">
          <cell r="A6098" t="str">
            <v>228365</v>
          </cell>
          <cell r="B6098" t="str">
            <v>Toco de tubo FD ponta/flange c/ aba de vedação PN-10/16 DN 250 comp = 3,50 m</v>
          </cell>
          <cell r="C6098" t="str">
            <v>ud</v>
          </cell>
          <cell r="D6098">
            <v>0</v>
          </cell>
          <cell r="E6098">
            <v>2845.54</v>
          </cell>
          <cell r="F6098">
            <v>2845.54</v>
          </cell>
        </row>
        <row r="6099">
          <cell r="A6099" t="str">
            <v>228366</v>
          </cell>
          <cell r="B6099" t="str">
            <v>Toco de tubo FD ponta/flange c/ aba de vedação PN-10/16 DN 250 comp = 4,00 m</v>
          </cell>
          <cell r="C6099" t="str">
            <v>ud</v>
          </cell>
          <cell r="D6099">
            <v>0</v>
          </cell>
          <cell r="E6099">
            <v>3121.69</v>
          </cell>
          <cell r="F6099">
            <v>3121.69</v>
          </cell>
        </row>
        <row r="6100">
          <cell r="A6100" t="str">
            <v>228367</v>
          </cell>
          <cell r="B6100" t="str">
            <v>Toco de tubo FD ponta/flange c/ aba de vedação PN-10/16 DN 250 comp = 4,50 m</v>
          </cell>
          <cell r="C6100" t="str">
            <v>ud</v>
          </cell>
          <cell r="D6100">
            <v>0</v>
          </cell>
          <cell r="E6100">
            <v>3398</v>
          </cell>
          <cell r="F6100">
            <v>3398</v>
          </cell>
        </row>
        <row r="6101">
          <cell r="A6101" t="str">
            <v>228368</v>
          </cell>
          <cell r="B6101" t="str">
            <v>Toco de tubo FD ponta/flange c/ aba de vedação PN-10/16 DN 250 comp = 5,00 m</v>
          </cell>
          <cell r="C6101" t="str">
            <v>ud</v>
          </cell>
          <cell r="D6101">
            <v>0</v>
          </cell>
          <cell r="E6101">
            <v>3674.41</v>
          </cell>
          <cell r="F6101">
            <v>3674.41</v>
          </cell>
        </row>
        <row r="6102">
          <cell r="A6102" t="str">
            <v>228369</v>
          </cell>
          <cell r="B6102" t="str">
            <v>Toco de tubo FD ponta/flange c/ aba de vedação PN-10/16 DN 250 comp = 5,50 m</v>
          </cell>
          <cell r="C6102" t="str">
            <v>ud</v>
          </cell>
          <cell r="D6102">
            <v>0</v>
          </cell>
          <cell r="E6102">
            <v>3950.92</v>
          </cell>
          <cell r="F6102">
            <v>3950.92</v>
          </cell>
        </row>
        <row r="6103">
          <cell r="A6103" t="str">
            <v>228370</v>
          </cell>
          <cell r="B6103" t="str">
            <v>Toco de tubo FD ponta/flange c/ aba de vedação PN-10/16 DN 250 comp = 5,80 m</v>
          </cell>
          <cell r="C6103" t="str">
            <v>ud</v>
          </cell>
          <cell r="D6103">
            <v>0</v>
          </cell>
          <cell r="E6103">
            <v>4116.8599999999997</v>
          </cell>
          <cell r="F6103">
            <v>4116.8599999999997</v>
          </cell>
        </row>
        <row r="6104">
          <cell r="A6104" t="str">
            <v>228371</v>
          </cell>
          <cell r="B6104" t="str">
            <v>Toco de tubo FD ponta/flange c/ aba de vedação PN-10/16 DN 300 comp = 0,25 m</v>
          </cell>
          <cell r="C6104" t="str">
            <v>ud</v>
          </cell>
          <cell r="D6104">
            <v>0</v>
          </cell>
          <cell r="E6104">
            <v>1331.87</v>
          </cell>
          <cell r="F6104">
            <v>1331.87</v>
          </cell>
        </row>
        <row r="6105">
          <cell r="A6105" t="str">
            <v>228372</v>
          </cell>
          <cell r="B6105" t="str">
            <v>Toco de tubo FD ponta/flange c/ aba de vedação PN-10/16 DN 300 comp = 0,50 m</v>
          </cell>
          <cell r="C6105" t="str">
            <v>ud</v>
          </cell>
          <cell r="D6105">
            <v>0</v>
          </cell>
          <cell r="E6105">
            <v>1539.02</v>
          </cell>
          <cell r="F6105">
            <v>1539.02</v>
          </cell>
        </row>
        <row r="6106">
          <cell r="A6106" t="str">
            <v>228373</v>
          </cell>
          <cell r="B6106" t="str">
            <v>Toco de tubo FD ponta/flange c/ aba de vedação PN-10/16 DN 300 comp = 1,00 m</v>
          </cell>
          <cell r="C6106" t="str">
            <v>ud</v>
          </cell>
          <cell r="D6106">
            <v>0</v>
          </cell>
          <cell r="E6106">
            <v>2097.67</v>
          </cell>
          <cell r="F6106">
            <v>2097.67</v>
          </cell>
        </row>
        <row r="6107">
          <cell r="A6107" t="str">
            <v>228374</v>
          </cell>
          <cell r="B6107" t="str">
            <v>Toco de tubo FD ponta/flange c/ aba de vedação PN-10/16 DN 300 comp = 1,50 m</v>
          </cell>
          <cell r="C6107" t="str">
            <v>ud</v>
          </cell>
          <cell r="D6107">
            <v>0</v>
          </cell>
          <cell r="E6107">
            <v>2215.5500000000002</v>
          </cell>
          <cell r="F6107">
            <v>2215.5500000000002</v>
          </cell>
        </row>
        <row r="6108">
          <cell r="A6108" t="str">
            <v>228375</v>
          </cell>
          <cell r="B6108" t="str">
            <v>Toco de tubo FD ponta/flange c/ aba de vedação PN-10/16 DN 300 comp = 2,00 m</v>
          </cell>
          <cell r="C6108" t="str">
            <v>ud</v>
          </cell>
          <cell r="D6108">
            <v>0</v>
          </cell>
          <cell r="E6108">
            <v>2534.0100000000002</v>
          </cell>
          <cell r="F6108">
            <v>2534.0100000000002</v>
          </cell>
        </row>
        <row r="6109">
          <cell r="A6109" t="str">
            <v>228376</v>
          </cell>
          <cell r="B6109" t="str">
            <v>Toco de tubo FD ponta/flange c/ aba de vedação PN-10/16 DN 300 comp = 2,50 m</v>
          </cell>
          <cell r="C6109" t="str">
            <v>ud</v>
          </cell>
          <cell r="D6109">
            <v>0</v>
          </cell>
          <cell r="E6109">
            <v>2854.12</v>
          </cell>
          <cell r="F6109">
            <v>2854.12</v>
          </cell>
        </row>
        <row r="6110">
          <cell r="A6110" t="str">
            <v>228377</v>
          </cell>
          <cell r="B6110" t="str">
            <v>Toco de tubo FD ponta/flange c/ aba de vedação PN-10/16 DN 300 comp = 3,00 m</v>
          </cell>
          <cell r="C6110" t="str">
            <v>ud</v>
          </cell>
          <cell r="D6110">
            <v>0</v>
          </cell>
          <cell r="E6110">
            <v>3175.24</v>
          </cell>
          <cell r="F6110">
            <v>3175.24</v>
          </cell>
        </row>
        <row r="6111">
          <cell r="A6111" t="str">
            <v>228378</v>
          </cell>
          <cell r="B6111" t="str">
            <v>Toco de tubo FD ponta/flange c/ aba de vedação PN-10/16 DN 300 comp = 3,50 m</v>
          </cell>
          <cell r="C6111" t="str">
            <v>ud</v>
          </cell>
          <cell r="D6111">
            <v>0</v>
          </cell>
          <cell r="E6111">
            <v>3497</v>
          </cell>
          <cell r="F6111">
            <v>3497</v>
          </cell>
        </row>
        <row r="6112">
          <cell r="A6112" t="str">
            <v>228379</v>
          </cell>
          <cell r="B6112" t="str">
            <v>Toco de tubo FD ponta/flange c/ aba de vedação PN-10/16 DN 300 comp = 4,00 m</v>
          </cell>
          <cell r="C6112" t="str">
            <v>ud</v>
          </cell>
          <cell r="D6112">
            <v>0</v>
          </cell>
          <cell r="E6112">
            <v>3819.21</v>
          </cell>
          <cell r="F6112">
            <v>3819.21</v>
          </cell>
        </row>
        <row r="6113">
          <cell r="A6113" t="str">
            <v>228380</v>
          </cell>
          <cell r="B6113" t="str">
            <v>Toco de tubo FD ponta/flange c/ aba de vedação PN-10/16 DN 300 comp = 4,50 m</v>
          </cell>
          <cell r="C6113" t="str">
            <v>ud</v>
          </cell>
          <cell r="D6113">
            <v>0</v>
          </cell>
          <cell r="E6113">
            <v>4141.76</v>
          </cell>
          <cell r="F6113">
            <v>4141.76</v>
          </cell>
        </row>
        <row r="6114">
          <cell r="A6114" t="str">
            <v>228381</v>
          </cell>
          <cell r="B6114" t="str">
            <v>Toco de tubo FD ponta/flange c/ aba de vedação PN-10/16 DN 300 comp = 5,00 m</v>
          </cell>
          <cell r="C6114" t="str">
            <v>ud</v>
          </cell>
          <cell r="D6114">
            <v>0</v>
          </cell>
          <cell r="E6114">
            <v>4464.5600000000004</v>
          </cell>
          <cell r="F6114">
            <v>4464.5600000000004</v>
          </cell>
        </row>
        <row r="6115">
          <cell r="A6115" t="str">
            <v>228382</v>
          </cell>
          <cell r="B6115" t="str">
            <v>Toco de tubo FD ponta/flange c/ aba de vedação PN-10/16 DN 300 comp = 5,50 m</v>
          </cell>
          <cell r="C6115" t="str">
            <v>ud</v>
          </cell>
          <cell r="D6115">
            <v>0</v>
          </cell>
          <cell r="E6115">
            <v>4787.54</v>
          </cell>
          <cell r="F6115">
            <v>4787.54</v>
          </cell>
        </row>
        <row r="6116">
          <cell r="A6116" t="str">
            <v>228383</v>
          </cell>
          <cell r="B6116" t="str">
            <v>Toco de tubo FD ponta/flange c/ aba de vedação PN-10/16 DN 300 comp = 5,80 m</v>
          </cell>
          <cell r="C6116" t="str">
            <v>ud</v>
          </cell>
          <cell r="D6116">
            <v>0</v>
          </cell>
          <cell r="E6116">
            <v>4981.3900000000003</v>
          </cell>
          <cell r="F6116">
            <v>4981.3900000000003</v>
          </cell>
        </row>
        <row r="6117">
          <cell r="A6117" t="str">
            <v>228384</v>
          </cell>
          <cell r="B6117" t="str">
            <v>Toco de tubo FD ponta/flange c/ aba de vedação PN-10 DN 400 comp = 0,25 m</v>
          </cell>
          <cell r="C6117" t="str">
            <v>ud</v>
          </cell>
          <cell r="D6117">
            <v>0</v>
          </cell>
          <cell r="E6117">
            <v>1807.37</v>
          </cell>
          <cell r="F6117">
            <v>1807.37</v>
          </cell>
        </row>
        <row r="6118">
          <cell r="A6118" t="str">
            <v>228385</v>
          </cell>
          <cell r="B6118" t="str">
            <v>Toco de tubo FD ponta/flange c/ aba de vedação PN-10 DN 400 comp = 0,50 m</v>
          </cell>
          <cell r="C6118" t="str">
            <v>ud</v>
          </cell>
          <cell r="D6118">
            <v>0</v>
          </cell>
          <cell r="E6118">
            <v>2188.33</v>
          </cell>
          <cell r="F6118">
            <v>2188.33</v>
          </cell>
        </row>
        <row r="6119">
          <cell r="A6119" t="str">
            <v>228386</v>
          </cell>
          <cell r="B6119" t="str">
            <v>Toco de tubo FD ponta/flange c/ aba de vedação PN-10 DN 400 comp = 1,00 m</v>
          </cell>
          <cell r="C6119" t="str">
            <v>ud</v>
          </cell>
          <cell r="D6119">
            <v>0</v>
          </cell>
          <cell r="E6119">
            <v>2995.98</v>
          </cell>
          <cell r="F6119">
            <v>2995.98</v>
          </cell>
        </row>
        <row r="6120">
          <cell r="A6120" t="str">
            <v>228387</v>
          </cell>
          <cell r="B6120" t="str">
            <v>Toco de tubo FD ponta/flange c/ aba de vedação PN-10 DN 400 comp = 1,50 m</v>
          </cell>
          <cell r="C6120" t="str">
            <v>ud</v>
          </cell>
          <cell r="D6120">
            <v>0</v>
          </cell>
          <cell r="E6120">
            <v>3068.1</v>
          </cell>
          <cell r="F6120">
            <v>3068.1</v>
          </cell>
        </row>
        <row r="6121">
          <cell r="A6121" t="str">
            <v>228388</v>
          </cell>
          <cell r="B6121" t="str">
            <v>Toco de tubo FD ponta/flange c/ aba de vedação PN-10 DN 400 comp = 2,00 m</v>
          </cell>
          <cell r="C6121" t="str">
            <v>ud</v>
          </cell>
          <cell r="D6121">
            <v>0</v>
          </cell>
          <cell r="E6121">
            <v>3497.86</v>
          </cell>
          <cell r="F6121">
            <v>3497.86</v>
          </cell>
        </row>
        <row r="6122">
          <cell r="A6122" t="str">
            <v>228389</v>
          </cell>
          <cell r="B6122" t="str">
            <v>Toco de tubo FD ponta/flange c/ aba de vedação PN-10 DN 400 comp = 2,50 m</v>
          </cell>
          <cell r="C6122" t="str">
            <v>ud</v>
          </cell>
          <cell r="D6122">
            <v>0</v>
          </cell>
          <cell r="E6122">
            <v>3929.75</v>
          </cell>
          <cell r="F6122">
            <v>3929.75</v>
          </cell>
        </row>
        <row r="6123">
          <cell r="A6123" t="str">
            <v>228390</v>
          </cell>
          <cell r="B6123" t="str">
            <v>Toco de tubo FD ponta/flange c/ aba de vedação PN-10 DN 400 comp = 3,00 m</v>
          </cell>
          <cell r="C6123" t="str">
            <v>ud</v>
          </cell>
          <cell r="D6123">
            <v>0</v>
          </cell>
          <cell r="E6123">
            <v>4362.96</v>
          </cell>
          <cell r="F6123">
            <v>4362.96</v>
          </cell>
        </row>
        <row r="6124">
          <cell r="A6124" t="str">
            <v>228391</v>
          </cell>
          <cell r="B6124" t="str">
            <v>Toco de tubo FD ponta/flange c/ aba de vedação PN-10 DN 400 comp = 3,50 m</v>
          </cell>
          <cell r="C6124" t="str">
            <v>ud</v>
          </cell>
          <cell r="D6124">
            <v>0</v>
          </cell>
          <cell r="E6124">
            <v>4797.04</v>
          </cell>
          <cell r="F6124">
            <v>4797.04</v>
          </cell>
        </row>
        <row r="6125">
          <cell r="A6125" t="str">
            <v>228392</v>
          </cell>
          <cell r="B6125" t="str">
            <v>Toco de tubo FD ponta/flange c/ aba de vedação PN-10 DN 400 comp = 4,00 m</v>
          </cell>
          <cell r="C6125" t="str">
            <v>ud</v>
          </cell>
          <cell r="D6125">
            <v>0</v>
          </cell>
          <cell r="E6125">
            <v>5231.72</v>
          </cell>
          <cell r="F6125">
            <v>5231.72</v>
          </cell>
        </row>
        <row r="6126">
          <cell r="A6126" t="str">
            <v>228393</v>
          </cell>
          <cell r="B6126" t="str">
            <v>Toco de tubo FD ponta/flange c/ aba de vedação PN-10 DN 400 comp = 4,50 m</v>
          </cell>
          <cell r="C6126" t="str">
            <v>ud</v>
          </cell>
          <cell r="D6126">
            <v>0</v>
          </cell>
          <cell r="E6126">
            <v>5666.85</v>
          </cell>
          <cell r="F6126">
            <v>5666.85</v>
          </cell>
        </row>
        <row r="6127">
          <cell r="A6127" t="str">
            <v>228394</v>
          </cell>
          <cell r="B6127" t="str">
            <v>Toco de tubo FD ponta/flange c/ aba de vedação PN-10 DN 400 comp = 5,00 m</v>
          </cell>
          <cell r="C6127" t="str">
            <v>ud</v>
          </cell>
          <cell r="D6127">
            <v>0</v>
          </cell>
          <cell r="E6127">
            <v>6102.29</v>
          </cell>
          <cell r="F6127">
            <v>6102.29</v>
          </cell>
        </row>
        <row r="6128">
          <cell r="A6128" t="str">
            <v>228395</v>
          </cell>
          <cell r="B6128" t="str">
            <v>Toco de tubo FD ponta/flange c/ aba de vedação PN-10 DN 400 comp = 5,50 m</v>
          </cell>
          <cell r="C6128" t="str">
            <v>ud</v>
          </cell>
          <cell r="D6128">
            <v>0</v>
          </cell>
          <cell r="E6128">
            <v>6537.99</v>
          </cell>
          <cell r="F6128">
            <v>6537.99</v>
          </cell>
        </row>
        <row r="6129">
          <cell r="A6129" t="str">
            <v>228396</v>
          </cell>
          <cell r="B6129" t="str">
            <v>Toco de tubo FD ponta/flange c/ aba de vedação PN-10 DN 400 comp = 5,80 m</v>
          </cell>
          <cell r="C6129" t="str">
            <v>ud</v>
          </cell>
          <cell r="D6129">
            <v>0</v>
          </cell>
          <cell r="E6129">
            <v>6799.5</v>
          </cell>
          <cell r="F6129">
            <v>6799.5</v>
          </cell>
        </row>
        <row r="6130">
          <cell r="A6130" t="str">
            <v>2290</v>
          </cell>
          <cell r="B6130" t="str">
            <v>TUBO FD JE2GS</v>
          </cell>
        </row>
        <row r="6131">
          <cell r="A6131" t="str">
            <v>229001</v>
          </cell>
          <cell r="B6131" t="str">
            <v>Tubo FD PB JE2GS ESGOTO classe K9 DN80 linha esgoto NBR 15420 - Barra de 6,00m (294131)</v>
          </cell>
          <cell r="C6131" t="str">
            <v>m</v>
          </cell>
          <cell r="D6131">
            <v>0</v>
          </cell>
        </row>
        <row r="6132">
          <cell r="A6132" t="str">
            <v>229002</v>
          </cell>
          <cell r="B6132" t="str">
            <v>Tubo FD PB JE2GS ESGOTO classe K9 DN100 linha esgoto NBR 15420 - Barra de 6,00m (281476)</v>
          </cell>
          <cell r="C6132" t="str">
            <v>m</v>
          </cell>
          <cell r="D6132">
            <v>0</v>
          </cell>
        </row>
        <row r="6133">
          <cell r="A6133" t="str">
            <v>229003</v>
          </cell>
          <cell r="B6133" t="str">
            <v>Tubo FD PB JE2GS ESGOTO classe K7 DN150 linha esgoto NBR 15420 - Barra de 6,00m (281484)</v>
          </cell>
          <cell r="C6133" t="str">
            <v>m</v>
          </cell>
          <cell r="D6133">
            <v>0</v>
          </cell>
        </row>
        <row r="6134">
          <cell r="A6134" t="str">
            <v>229004</v>
          </cell>
          <cell r="B6134" t="str">
            <v>Tubo FD PB JE2GS ESGOTO classe K7 DN200 linha esgoto NBR 15420 - Barra de 6,00m (281492)</v>
          </cell>
          <cell r="C6134" t="str">
            <v>m</v>
          </cell>
          <cell r="D6134">
            <v>0</v>
          </cell>
        </row>
        <row r="6135">
          <cell r="A6135" t="str">
            <v>229005</v>
          </cell>
          <cell r="B6135" t="str">
            <v>Tubo FD PB JE2GS ESGOTO classe K7 DN250 linha esgoto NBR 15420 - Barra de 6,00m (281506)</v>
          </cell>
          <cell r="C6135" t="str">
            <v>m</v>
          </cell>
          <cell r="D6135">
            <v>0</v>
          </cell>
        </row>
        <row r="6136">
          <cell r="A6136" t="str">
            <v>229006</v>
          </cell>
          <cell r="B6136" t="str">
            <v>Tubo FD PB JE2GS ESGOTO classe K7 DN300 linha esgoto NBR 15420 - Barra de 6,00m (281514)</v>
          </cell>
          <cell r="C6136" t="str">
            <v>m</v>
          </cell>
          <cell r="D6136">
            <v>0</v>
          </cell>
        </row>
        <row r="6137">
          <cell r="A6137" t="str">
            <v>229007</v>
          </cell>
          <cell r="B6137" t="str">
            <v>Tubo FD PB JE2GS ESGOTO classe K7 DN350 linha esgoto NBR 15420 - Barra de 6,00m</v>
          </cell>
          <cell r="C6137" t="str">
            <v>m</v>
          </cell>
          <cell r="D6137">
            <v>0</v>
          </cell>
        </row>
        <row r="6138">
          <cell r="A6138" t="str">
            <v>229008</v>
          </cell>
          <cell r="B6138" t="str">
            <v>Tubo FD PB JE2GS ESGOTO classe K7 DN400 linha esgoto NBR 15420 - Barra de 6,00m (281522)</v>
          </cell>
          <cell r="C6138" t="str">
            <v>m</v>
          </cell>
          <cell r="D6138">
            <v>0</v>
          </cell>
        </row>
        <row r="6139">
          <cell r="A6139" t="str">
            <v>229009</v>
          </cell>
          <cell r="B6139" t="str">
            <v>Tubo FD PB JE2GS ESGOTO classe K7 DN450 linha esgoto NBR 15420 - Barra de 6,00m</v>
          </cell>
          <cell r="C6139" t="str">
            <v>m</v>
          </cell>
          <cell r="D6139">
            <v>0</v>
          </cell>
        </row>
        <row r="6140">
          <cell r="A6140" t="str">
            <v>229010</v>
          </cell>
          <cell r="B6140" t="str">
            <v>Tubo FD PB JE2GS ESGOTO classe K7 DN500 linha esgoto NBR 15420 - Barra de 6,00m (283734)</v>
          </cell>
          <cell r="C6140" t="str">
            <v>m</v>
          </cell>
          <cell r="D6140">
            <v>0</v>
          </cell>
        </row>
        <row r="6141">
          <cell r="A6141" t="str">
            <v>229011</v>
          </cell>
          <cell r="B6141" t="str">
            <v>Tubo FD PB JE2GS ESGOTO classe K7 DN600 linha esgoto NBR 15420 - Barra de 6,00m (140449)</v>
          </cell>
          <cell r="C6141" t="str">
            <v>m</v>
          </cell>
          <cell r="D6141">
            <v>0</v>
          </cell>
        </row>
        <row r="6142">
          <cell r="A6142" t="str">
            <v>229012</v>
          </cell>
          <cell r="B6142" t="str">
            <v>Tubo FD PB JE2GS ESGOTO classe K7 DN700 linha esgoto NBR 15420 - Barra de 7,00m (284222)</v>
          </cell>
          <cell r="C6142" t="str">
            <v>m</v>
          </cell>
          <cell r="D6142">
            <v>0</v>
          </cell>
        </row>
        <row r="6143">
          <cell r="A6143" t="str">
            <v>229013</v>
          </cell>
          <cell r="B6143" t="str">
            <v>Tubo FD PB JE2GS ESGOTO classe K7 DN800 linha esgoto NBR 15420 - Barra de 7,00m (281387)</v>
          </cell>
          <cell r="C6143" t="str">
            <v>m</v>
          </cell>
          <cell r="D6143">
            <v>0</v>
          </cell>
        </row>
        <row r="6144">
          <cell r="A6144" t="str">
            <v>229014</v>
          </cell>
          <cell r="B6144" t="str">
            <v>Tubo FD PB JE2GS ESGOTO classe K7 DN900 linha esgoto NBR 15420 - Barra de 7,00m</v>
          </cell>
          <cell r="C6144" t="str">
            <v>m</v>
          </cell>
          <cell r="D6144">
            <v>0</v>
          </cell>
        </row>
        <row r="6145">
          <cell r="A6145" t="str">
            <v>229015</v>
          </cell>
          <cell r="B6145" t="str">
            <v>Tubo FD PB JE2GS ESGOTO classe K7 DN1000 linha esgoto NBR 15420 - Barra de 7,00m</v>
          </cell>
          <cell r="C6145" t="str">
            <v>m</v>
          </cell>
          <cell r="D6145">
            <v>0</v>
          </cell>
        </row>
        <row r="6146">
          <cell r="A6146" t="str">
            <v>229017</v>
          </cell>
          <cell r="B6146" t="str">
            <v>Tubo FD PB JE2GS ESGOTO classe K7 DN1200 linha esgoto NBR 15420 - Barra de 7,00m</v>
          </cell>
          <cell r="C6146" t="str">
            <v>m</v>
          </cell>
          <cell r="D6146">
            <v>0</v>
          </cell>
        </row>
        <row r="6147">
          <cell r="A6147" t="str">
            <v>23</v>
          </cell>
          <cell r="B6147" t="str">
            <v>MATERIAL DE FERRO GALVANIZADO</v>
          </cell>
        </row>
        <row r="6148">
          <cell r="A6148" t="str">
            <v>2301</v>
          </cell>
          <cell r="B6148" t="str">
            <v>BUCHA DE REDUÇÃO FG</v>
          </cell>
        </row>
        <row r="6149">
          <cell r="A6149" t="str">
            <v>230101</v>
          </cell>
          <cell r="B6149" t="str">
            <v>Bucha red  FG   3/8"    1/4" (29173)</v>
          </cell>
          <cell r="C6149" t="str">
            <v>ud</v>
          </cell>
          <cell r="D6149">
            <v>0</v>
          </cell>
          <cell r="E6149">
            <v>0</v>
          </cell>
          <cell r="F6149">
            <v>0</v>
          </cell>
          <cell r="G6149">
            <v>0</v>
          </cell>
        </row>
        <row r="6150">
          <cell r="A6150" t="str">
            <v>230102</v>
          </cell>
          <cell r="B6150" t="str">
            <v>Bucha red  FG   1/2"    1/4" (29181)</v>
          </cell>
          <cell r="C6150" t="str">
            <v>ud</v>
          </cell>
          <cell r="D6150">
            <v>0</v>
          </cell>
          <cell r="E6150">
            <v>3.17</v>
          </cell>
          <cell r="F6150">
            <v>3.17</v>
          </cell>
          <cell r="G6150">
            <v>770</v>
          </cell>
        </row>
        <row r="6151">
          <cell r="A6151" t="str">
            <v>230103</v>
          </cell>
          <cell r="B6151" t="str">
            <v>Bucha red  FG   1/2"    3/8" (60518)</v>
          </cell>
          <cell r="C6151" t="str">
            <v>ud</v>
          </cell>
          <cell r="D6151">
            <v>0</v>
          </cell>
          <cell r="E6151">
            <v>3.17</v>
          </cell>
          <cell r="F6151">
            <v>3.17</v>
          </cell>
          <cell r="G6151">
            <v>12394</v>
          </cell>
        </row>
        <row r="6152">
          <cell r="A6152" t="str">
            <v>230104</v>
          </cell>
          <cell r="B6152" t="str">
            <v>Bucha red  FG   3/4"    1/4" (139386)</v>
          </cell>
          <cell r="C6152" t="str">
            <v>ud</v>
          </cell>
          <cell r="D6152">
            <v>0</v>
          </cell>
        </row>
        <row r="6153">
          <cell r="A6153" t="str">
            <v>230105</v>
          </cell>
          <cell r="B6153" t="str">
            <v>Bucha red  FG   3/4"    3/8" (29203)</v>
          </cell>
          <cell r="C6153" t="str">
            <v>ud</v>
          </cell>
          <cell r="D6153">
            <v>0</v>
          </cell>
          <cell r="E6153">
            <v>0</v>
          </cell>
          <cell r="F6153">
            <v>0</v>
          </cell>
          <cell r="G6153">
            <v>0</v>
          </cell>
        </row>
        <row r="6154">
          <cell r="A6154" t="str">
            <v>230106</v>
          </cell>
          <cell r="B6154" t="str">
            <v>Bucha red  FG   3/4"    1/2" (29211)</v>
          </cell>
          <cell r="C6154" t="str">
            <v>ud</v>
          </cell>
          <cell r="D6154">
            <v>0</v>
          </cell>
          <cell r="E6154">
            <v>3.81</v>
          </cell>
          <cell r="F6154">
            <v>3.81</v>
          </cell>
          <cell r="G6154">
            <v>779</v>
          </cell>
        </row>
        <row r="6155">
          <cell r="A6155" t="str">
            <v>230107</v>
          </cell>
          <cell r="B6155" t="str">
            <v>Bucha red  FG    1"      3/8" (255785)</v>
          </cell>
          <cell r="C6155" t="str">
            <v>ud</v>
          </cell>
          <cell r="D6155">
            <v>0</v>
          </cell>
          <cell r="E6155">
            <v>0</v>
          </cell>
          <cell r="F6155">
            <v>0</v>
          </cell>
          <cell r="G6155">
            <v>0</v>
          </cell>
        </row>
        <row r="6156">
          <cell r="A6156" t="str">
            <v>230108</v>
          </cell>
          <cell r="B6156" t="str">
            <v>Bucha red  FG    1"      1/2" (29220)</v>
          </cell>
          <cell r="C6156" t="str">
            <v>ud</v>
          </cell>
          <cell r="D6156">
            <v>0</v>
          </cell>
          <cell r="E6156">
            <v>5.53</v>
          </cell>
          <cell r="F6156">
            <v>5.53</v>
          </cell>
          <cell r="G6156">
            <v>764</v>
          </cell>
        </row>
        <row r="6157">
          <cell r="A6157" t="str">
            <v>230109</v>
          </cell>
          <cell r="B6157" t="str">
            <v>Bucha red  FG    1"      3/4" (29238)</v>
          </cell>
          <cell r="C6157" t="str">
            <v>ud</v>
          </cell>
          <cell r="D6157">
            <v>0</v>
          </cell>
          <cell r="E6157">
            <v>5.53</v>
          </cell>
          <cell r="F6157">
            <v>5.53</v>
          </cell>
          <cell r="G6157">
            <v>765</v>
          </cell>
        </row>
        <row r="6158">
          <cell r="A6158" t="str">
            <v>230110</v>
          </cell>
          <cell r="B6158" t="str">
            <v>Bucha red  FG 1.1/4"   1/2" (29246)</v>
          </cell>
          <cell r="C6158" t="str">
            <v>ud</v>
          </cell>
          <cell r="D6158">
            <v>0</v>
          </cell>
          <cell r="E6158">
            <v>8.98</v>
          </cell>
          <cell r="F6158">
            <v>8.98</v>
          </cell>
          <cell r="G6158">
            <v>768</v>
          </cell>
        </row>
        <row r="6159">
          <cell r="A6159" t="str">
            <v>230111</v>
          </cell>
          <cell r="B6159" t="str">
            <v>Bucha red  FG 1.1/4"   3/4" (29254)</v>
          </cell>
          <cell r="C6159" t="str">
            <v>ud</v>
          </cell>
          <cell r="D6159">
            <v>0</v>
          </cell>
          <cell r="E6159">
            <v>8.98</v>
          </cell>
          <cell r="F6159">
            <v>8.98</v>
          </cell>
          <cell r="G6159">
            <v>769</v>
          </cell>
        </row>
        <row r="6160">
          <cell r="A6160" t="str">
            <v>230112</v>
          </cell>
          <cell r="B6160" t="str">
            <v>Bucha red  FG 1.1/4"   1" (29262)</v>
          </cell>
          <cell r="C6160" t="str">
            <v>ud</v>
          </cell>
          <cell r="D6160">
            <v>0</v>
          </cell>
          <cell r="E6160">
            <v>8.7899999999999991</v>
          </cell>
          <cell r="F6160">
            <v>8.7899999999999991</v>
          </cell>
          <cell r="G6160">
            <v>789</v>
          </cell>
        </row>
        <row r="6161">
          <cell r="A6161" t="str">
            <v>230113</v>
          </cell>
          <cell r="B6161" t="str">
            <v>Bucha red  FG 1.1/2"   1/2" (29270)</v>
          </cell>
          <cell r="C6161" t="str">
            <v>ud</v>
          </cell>
          <cell r="D6161">
            <v>0</v>
          </cell>
          <cell r="E6161">
            <v>11.44</v>
          </cell>
          <cell r="F6161">
            <v>11.44</v>
          </cell>
          <cell r="G6161">
            <v>766</v>
          </cell>
        </row>
        <row r="6162">
          <cell r="A6162" t="str">
            <v>230114</v>
          </cell>
          <cell r="B6162" t="str">
            <v>Bucha red  FG 1.1/2"   3/4" (29289)</v>
          </cell>
          <cell r="C6162" t="str">
            <v>ud</v>
          </cell>
          <cell r="D6162">
            <v>0</v>
          </cell>
          <cell r="E6162">
            <v>11.44</v>
          </cell>
          <cell r="F6162">
            <v>11.44</v>
          </cell>
          <cell r="G6162">
            <v>767</v>
          </cell>
        </row>
        <row r="6163">
          <cell r="A6163" t="str">
            <v>230115</v>
          </cell>
          <cell r="B6163" t="str">
            <v>Bucha red  FG 1.1/2"   1" (29297)</v>
          </cell>
          <cell r="C6163" t="str">
            <v>ud</v>
          </cell>
          <cell r="D6163">
            <v>0</v>
          </cell>
          <cell r="E6163">
            <v>11.44</v>
          </cell>
          <cell r="F6163">
            <v>11.44</v>
          </cell>
          <cell r="G6163">
            <v>791</v>
          </cell>
        </row>
        <row r="6164">
          <cell r="A6164" t="str">
            <v>230116</v>
          </cell>
          <cell r="B6164" t="str">
            <v>Bucha red  FG 1.1/2"   1.1/4" (29300)</v>
          </cell>
          <cell r="C6164" t="str">
            <v>ud</v>
          </cell>
          <cell r="D6164">
            <v>0</v>
          </cell>
          <cell r="E6164">
            <v>11.44</v>
          </cell>
          <cell r="F6164">
            <v>11.44</v>
          </cell>
          <cell r="G6164">
            <v>790</v>
          </cell>
        </row>
        <row r="6165">
          <cell r="A6165" t="str">
            <v>230117</v>
          </cell>
          <cell r="B6165" t="str">
            <v>Bucha red  FG    2"      1" (29335)</v>
          </cell>
          <cell r="C6165" t="str">
            <v>ud</v>
          </cell>
          <cell r="D6165">
            <v>0</v>
          </cell>
          <cell r="E6165">
            <v>15.35</v>
          </cell>
          <cell r="F6165">
            <v>15.35</v>
          </cell>
          <cell r="G6165">
            <v>771</v>
          </cell>
        </row>
        <row r="6166">
          <cell r="A6166" t="str">
            <v>230118</v>
          </cell>
          <cell r="B6166" t="str">
            <v>Bucha red  FG    2"      1.1/4" (29343)</v>
          </cell>
          <cell r="C6166" t="str">
            <v>ud</v>
          </cell>
          <cell r="D6166">
            <v>0</v>
          </cell>
          <cell r="E6166">
            <v>15.35</v>
          </cell>
          <cell r="F6166">
            <v>15.35</v>
          </cell>
          <cell r="G6166">
            <v>772</v>
          </cell>
        </row>
        <row r="6167">
          <cell r="A6167" t="str">
            <v>230119</v>
          </cell>
          <cell r="B6167" t="str">
            <v>Bucha red  FG    2"      1.1/2" (29351)</v>
          </cell>
          <cell r="C6167" t="str">
            <v>ud</v>
          </cell>
          <cell r="D6167">
            <v>0</v>
          </cell>
          <cell r="E6167">
            <v>15.35</v>
          </cell>
          <cell r="F6167">
            <v>15.35</v>
          </cell>
          <cell r="G6167">
            <v>788</v>
          </cell>
        </row>
        <row r="6168">
          <cell r="A6168" t="str">
            <v>230120</v>
          </cell>
          <cell r="B6168" t="str">
            <v>Bucha red  FG 2.1/2"   1" (29378)</v>
          </cell>
          <cell r="C6168" t="str">
            <v>ud</v>
          </cell>
          <cell r="D6168">
            <v>0</v>
          </cell>
          <cell r="E6168">
            <v>24.7</v>
          </cell>
          <cell r="F6168">
            <v>24.7</v>
          </cell>
          <cell r="G6168">
            <v>773</v>
          </cell>
        </row>
        <row r="6169">
          <cell r="A6169" t="str">
            <v>230121</v>
          </cell>
          <cell r="B6169" t="str">
            <v>Bucha red  FG 2.1/2"   1.1/4" (29386)</v>
          </cell>
          <cell r="C6169" t="str">
            <v>ud</v>
          </cell>
          <cell r="D6169">
            <v>0</v>
          </cell>
          <cell r="E6169">
            <v>24.7</v>
          </cell>
          <cell r="F6169">
            <v>24.7</v>
          </cell>
          <cell r="G6169">
            <v>774</v>
          </cell>
        </row>
        <row r="6170">
          <cell r="A6170" t="str">
            <v>230122</v>
          </cell>
          <cell r="B6170" t="str">
            <v>Bucha red  FG 2.1/2"   1.1/2" (29394)</v>
          </cell>
          <cell r="C6170" t="str">
            <v>ud</v>
          </cell>
          <cell r="D6170">
            <v>0</v>
          </cell>
          <cell r="E6170">
            <v>24.7</v>
          </cell>
          <cell r="F6170">
            <v>24.7</v>
          </cell>
          <cell r="G6170">
            <v>787</v>
          </cell>
        </row>
        <row r="6171">
          <cell r="A6171" t="str">
            <v>230123</v>
          </cell>
          <cell r="B6171" t="str">
            <v>Bucha red  FG 2.1/2"   2" (29408)</v>
          </cell>
          <cell r="C6171" t="str">
            <v>ud</v>
          </cell>
          <cell r="D6171">
            <v>0</v>
          </cell>
          <cell r="E6171">
            <v>24.7</v>
          </cell>
          <cell r="F6171">
            <v>24.7</v>
          </cell>
          <cell r="G6171">
            <v>775</v>
          </cell>
        </row>
        <row r="6172">
          <cell r="A6172" t="str">
            <v>230124</v>
          </cell>
          <cell r="B6172" t="str">
            <v>Bucha red  FG    3"      1.1/2" (29432)</v>
          </cell>
          <cell r="C6172" t="str">
            <v>ud</v>
          </cell>
          <cell r="D6172">
            <v>0</v>
          </cell>
          <cell r="E6172">
            <v>36.409999999999997</v>
          </cell>
          <cell r="F6172">
            <v>36.409999999999997</v>
          </cell>
          <cell r="G6172">
            <v>776</v>
          </cell>
        </row>
        <row r="6173">
          <cell r="A6173" t="str">
            <v>230125</v>
          </cell>
          <cell r="B6173" t="str">
            <v>Bucha red  FG    3"      2" (29440)</v>
          </cell>
          <cell r="C6173" t="str">
            <v>ud</v>
          </cell>
          <cell r="D6173">
            <v>0</v>
          </cell>
          <cell r="E6173">
            <v>36.409999999999997</v>
          </cell>
          <cell r="F6173">
            <v>36.409999999999997</v>
          </cell>
          <cell r="G6173">
            <v>778</v>
          </cell>
        </row>
        <row r="6174">
          <cell r="A6174" t="str">
            <v>230126</v>
          </cell>
          <cell r="B6174" t="str">
            <v>Bucha red  FG    3"      2" .1/2" (29459)</v>
          </cell>
          <cell r="C6174" t="str">
            <v>ud</v>
          </cell>
          <cell r="D6174">
            <v>0</v>
          </cell>
          <cell r="E6174">
            <v>35.57</v>
          </cell>
          <cell r="F6174">
            <v>35.57</v>
          </cell>
          <cell r="G6174">
            <v>780</v>
          </cell>
        </row>
        <row r="6175">
          <cell r="A6175" t="str">
            <v>230127</v>
          </cell>
          <cell r="B6175" t="str">
            <v>Bucha red  FG    4"      2" (29475)</v>
          </cell>
          <cell r="C6175" t="str">
            <v>ud</v>
          </cell>
          <cell r="D6175">
            <v>0</v>
          </cell>
          <cell r="E6175">
            <v>67.28</v>
          </cell>
          <cell r="F6175">
            <v>67.28</v>
          </cell>
          <cell r="G6175">
            <v>786</v>
          </cell>
        </row>
        <row r="6176">
          <cell r="A6176" t="str">
            <v>230128</v>
          </cell>
          <cell r="B6176" t="str">
            <v>Bucha red  FG    4"      2" .1/2" (62634)</v>
          </cell>
          <cell r="C6176" t="str">
            <v>ud</v>
          </cell>
          <cell r="D6176">
            <v>0</v>
          </cell>
          <cell r="E6176">
            <v>67.28</v>
          </cell>
          <cell r="F6176">
            <v>67.28</v>
          </cell>
          <cell r="G6176">
            <v>781</v>
          </cell>
        </row>
        <row r="6177">
          <cell r="A6177" t="str">
            <v>230129</v>
          </cell>
          <cell r="B6177" t="str">
            <v>Bucha red  FG    4"      3" (29491)</v>
          </cell>
          <cell r="C6177" t="str">
            <v>ud</v>
          </cell>
          <cell r="D6177">
            <v>0</v>
          </cell>
          <cell r="E6177">
            <v>67.28</v>
          </cell>
          <cell r="F6177">
            <v>67.28</v>
          </cell>
          <cell r="G6177">
            <v>782</v>
          </cell>
        </row>
        <row r="6178">
          <cell r="A6178" t="str">
            <v>230130</v>
          </cell>
          <cell r="B6178" t="str">
            <v>Bucha red  FG    5"      4" (62782)</v>
          </cell>
          <cell r="C6178" t="str">
            <v>ud</v>
          </cell>
          <cell r="D6178">
            <v>0</v>
          </cell>
          <cell r="E6178">
            <v>184.14</v>
          </cell>
          <cell r="F6178">
            <v>184.14</v>
          </cell>
          <cell r="G6178">
            <v>783</v>
          </cell>
        </row>
        <row r="6179">
          <cell r="A6179" t="str">
            <v>230131</v>
          </cell>
          <cell r="B6179" t="str">
            <v>Bucha red  FG    6"      4" (29505)</v>
          </cell>
          <cell r="C6179" t="str">
            <v>ud</v>
          </cell>
          <cell r="D6179">
            <v>0</v>
          </cell>
          <cell r="E6179">
            <v>194.56</v>
          </cell>
          <cell r="F6179">
            <v>194.56</v>
          </cell>
          <cell r="G6179">
            <v>785</v>
          </cell>
        </row>
        <row r="6180">
          <cell r="A6180" t="str">
            <v>230132</v>
          </cell>
          <cell r="B6180" t="str">
            <v>Bucha red  FG    6"      5" (95010)</v>
          </cell>
          <cell r="C6180" t="str">
            <v>ud</v>
          </cell>
          <cell r="D6180">
            <v>0</v>
          </cell>
          <cell r="E6180">
            <v>208.72</v>
          </cell>
          <cell r="F6180">
            <v>208.72</v>
          </cell>
          <cell r="G6180">
            <v>784</v>
          </cell>
        </row>
        <row r="6181">
          <cell r="A6181" t="str">
            <v>2302</v>
          </cell>
          <cell r="B6181" t="str">
            <v>BUJÃO FG</v>
          </cell>
        </row>
        <row r="6182">
          <cell r="A6182" t="str">
            <v>230212</v>
          </cell>
          <cell r="B6182" t="str">
            <v>Bujão c/ rebordo FG  1/4"</v>
          </cell>
          <cell r="C6182" t="str">
            <v>ud</v>
          </cell>
          <cell r="D6182">
            <v>0</v>
          </cell>
        </row>
        <row r="6183">
          <cell r="A6183" t="str">
            <v>230213</v>
          </cell>
          <cell r="B6183" t="str">
            <v>Bujão c/ rebordo FG  3/8"</v>
          </cell>
          <cell r="C6183" t="str">
            <v>ud</v>
          </cell>
          <cell r="D6183">
            <v>0</v>
          </cell>
        </row>
        <row r="6184">
          <cell r="A6184" t="str">
            <v>230214</v>
          </cell>
          <cell r="B6184" t="str">
            <v>Bujão c/ rebordo FG  1/2"</v>
          </cell>
          <cell r="C6184" t="str">
            <v>ud</v>
          </cell>
          <cell r="D6184">
            <v>0</v>
          </cell>
          <cell r="E6184">
            <v>0</v>
          </cell>
          <cell r="F6184">
            <v>0</v>
          </cell>
          <cell r="G6184">
            <v>0</v>
          </cell>
        </row>
        <row r="6185">
          <cell r="A6185" t="str">
            <v>230215</v>
          </cell>
          <cell r="B6185" t="str">
            <v>Bujão c/ rebordo FG  3/4"</v>
          </cell>
          <cell r="C6185" t="str">
            <v>ud</v>
          </cell>
          <cell r="D6185">
            <v>0</v>
          </cell>
          <cell r="E6185">
            <v>0</v>
          </cell>
          <cell r="F6185">
            <v>0</v>
          </cell>
          <cell r="G6185">
            <v>0</v>
          </cell>
        </row>
        <row r="6186">
          <cell r="A6186" t="str">
            <v>230216</v>
          </cell>
          <cell r="B6186" t="str">
            <v>Bujão c/ rebordo FG  1"</v>
          </cell>
          <cell r="C6186" t="str">
            <v>ud</v>
          </cell>
          <cell r="D6186">
            <v>0</v>
          </cell>
          <cell r="E6186">
            <v>0</v>
          </cell>
          <cell r="F6186">
            <v>0</v>
          </cell>
          <cell r="G6186">
            <v>0</v>
          </cell>
        </row>
        <row r="6187">
          <cell r="A6187" t="str">
            <v>230217</v>
          </cell>
          <cell r="B6187" t="str">
            <v>Bujão c/ rebordo FG  1.1/4"</v>
          </cell>
          <cell r="C6187" t="str">
            <v>ud</v>
          </cell>
          <cell r="D6187">
            <v>0</v>
          </cell>
          <cell r="E6187">
            <v>0</v>
          </cell>
          <cell r="F6187">
            <v>0</v>
          </cell>
          <cell r="G6187">
            <v>0</v>
          </cell>
        </row>
        <row r="6188">
          <cell r="A6188" t="str">
            <v>230218</v>
          </cell>
          <cell r="B6188" t="str">
            <v>Bujão c/ rebordo FG  1.1/2"</v>
          </cell>
          <cell r="C6188" t="str">
            <v>ud</v>
          </cell>
          <cell r="D6188">
            <v>0</v>
          </cell>
          <cell r="E6188">
            <v>0</v>
          </cell>
          <cell r="F6188">
            <v>0</v>
          </cell>
          <cell r="G6188">
            <v>0</v>
          </cell>
        </row>
        <row r="6189">
          <cell r="A6189" t="str">
            <v>230219</v>
          </cell>
          <cell r="B6189" t="str">
            <v>Bujão c/ rebordo FG  2"</v>
          </cell>
          <cell r="C6189" t="str">
            <v>ud</v>
          </cell>
          <cell r="D6189">
            <v>0</v>
          </cell>
          <cell r="E6189">
            <v>0</v>
          </cell>
          <cell r="F6189">
            <v>0</v>
          </cell>
          <cell r="G6189">
            <v>0</v>
          </cell>
        </row>
        <row r="6190">
          <cell r="A6190" t="str">
            <v>230220</v>
          </cell>
          <cell r="B6190" t="str">
            <v>Bujão c/ rebordo FG  2.1/2"</v>
          </cell>
          <cell r="C6190" t="str">
            <v>ud</v>
          </cell>
          <cell r="D6190">
            <v>0</v>
          </cell>
          <cell r="E6190">
            <v>0</v>
          </cell>
          <cell r="F6190">
            <v>0</v>
          </cell>
          <cell r="G6190">
            <v>0</v>
          </cell>
        </row>
        <row r="6191">
          <cell r="A6191" t="str">
            <v>230221</v>
          </cell>
          <cell r="B6191" t="str">
            <v>Bujão c/ rebordo FG  3"</v>
          </cell>
          <cell r="C6191" t="str">
            <v>ud</v>
          </cell>
          <cell r="D6191">
            <v>0</v>
          </cell>
          <cell r="E6191">
            <v>0</v>
          </cell>
          <cell r="F6191">
            <v>0</v>
          </cell>
          <cell r="G6191">
            <v>0</v>
          </cell>
        </row>
        <row r="6192">
          <cell r="A6192" t="str">
            <v>230201</v>
          </cell>
          <cell r="B6192" t="str">
            <v>Bujão FG  1/4" (79324)</v>
          </cell>
          <cell r="C6192" t="str">
            <v>ud</v>
          </cell>
          <cell r="D6192">
            <v>0</v>
          </cell>
          <cell r="E6192">
            <v>0</v>
          </cell>
          <cell r="F6192">
            <v>0</v>
          </cell>
          <cell r="G6192">
            <v>0</v>
          </cell>
        </row>
        <row r="6193">
          <cell r="A6193" t="str">
            <v>230202</v>
          </cell>
          <cell r="B6193" t="str">
            <v>Bujão FG  3/8" (100056)</v>
          </cell>
          <cell r="C6193" t="str">
            <v>ud</v>
          </cell>
          <cell r="D6193">
            <v>0</v>
          </cell>
        </row>
        <row r="6194">
          <cell r="A6194" t="str">
            <v>230203</v>
          </cell>
          <cell r="B6194" t="str">
            <v>Bujão FG  1/2" (30996)</v>
          </cell>
          <cell r="C6194" t="str">
            <v>ud</v>
          </cell>
          <cell r="D6194">
            <v>0</v>
          </cell>
          <cell r="E6194">
            <v>2.27</v>
          </cell>
          <cell r="F6194">
            <v>2.27</v>
          </cell>
          <cell r="G6194">
            <v>4888</v>
          </cell>
        </row>
        <row r="6195">
          <cell r="A6195" t="str">
            <v>230204</v>
          </cell>
          <cell r="B6195" t="str">
            <v>Bujão FG  3/4" (31003)</v>
          </cell>
          <cell r="C6195" t="str">
            <v>ud</v>
          </cell>
          <cell r="D6195">
            <v>0</v>
          </cell>
          <cell r="E6195">
            <v>3.08</v>
          </cell>
          <cell r="F6195">
            <v>3.08</v>
          </cell>
          <cell r="G6195">
            <v>4889</v>
          </cell>
        </row>
        <row r="6196">
          <cell r="A6196" t="str">
            <v>230205</v>
          </cell>
          <cell r="B6196" t="str">
            <v>Bujão FG  1" (31011)</v>
          </cell>
          <cell r="C6196" t="str">
            <v>ud</v>
          </cell>
          <cell r="D6196">
            <v>0</v>
          </cell>
          <cell r="E6196">
            <v>4.28</v>
          </cell>
          <cell r="F6196">
            <v>4.28</v>
          </cell>
          <cell r="G6196">
            <v>4890</v>
          </cell>
        </row>
        <row r="6197">
          <cell r="A6197" t="str">
            <v>230206</v>
          </cell>
          <cell r="B6197" t="str">
            <v>Bujão FG  1.1/4" (31020)</v>
          </cell>
          <cell r="C6197" t="str">
            <v>ud</v>
          </cell>
          <cell r="D6197">
            <v>0</v>
          </cell>
          <cell r="E6197">
            <v>6.68</v>
          </cell>
          <cell r="F6197">
            <v>6.68</v>
          </cell>
          <cell r="G6197">
            <v>4894</v>
          </cell>
        </row>
        <row r="6198">
          <cell r="A6198" t="str">
            <v>230207</v>
          </cell>
          <cell r="B6198" t="str">
            <v>Bujão FG  1.1/2" (31038)</v>
          </cell>
          <cell r="C6198" t="str">
            <v>ud</v>
          </cell>
          <cell r="D6198">
            <v>0</v>
          </cell>
          <cell r="E6198">
            <v>7.79</v>
          </cell>
          <cell r="F6198">
            <v>7.79</v>
          </cell>
          <cell r="G6198">
            <v>4893</v>
          </cell>
        </row>
        <row r="6199">
          <cell r="A6199" t="str">
            <v>230208</v>
          </cell>
          <cell r="B6199" t="str">
            <v>Bujão FG  2" (31046)</v>
          </cell>
          <cell r="C6199" t="str">
            <v>ud</v>
          </cell>
          <cell r="D6199">
            <v>0</v>
          </cell>
          <cell r="E6199">
            <v>11.52</v>
          </cell>
          <cell r="F6199">
            <v>11.52</v>
          </cell>
          <cell r="G6199">
            <v>4891</v>
          </cell>
        </row>
        <row r="6200">
          <cell r="A6200" t="str">
            <v>230209</v>
          </cell>
          <cell r="B6200" t="str">
            <v>Bujão FG  2.1/2" (31054)</v>
          </cell>
          <cell r="C6200" t="str">
            <v>ud</v>
          </cell>
          <cell r="D6200">
            <v>0</v>
          </cell>
          <cell r="E6200">
            <v>23.04</v>
          </cell>
          <cell r="F6200">
            <v>23.04</v>
          </cell>
          <cell r="G6200">
            <v>12411</v>
          </cell>
        </row>
        <row r="6201">
          <cell r="A6201" t="str">
            <v>230210</v>
          </cell>
          <cell r="B6201" t="str">
            <v>Bujão FG  3" (31062)</v>
          </cell>
          <cell r="C6201" t="str">
            <v>ud</v>
          </cell>
          <cell r="D6201">
            <v>0</v>
          </cell>
          <cell r="E6201">
            <v>32.26</v>
          </cell>
          <cell r="F6201">
            <v>32.26</v>
          </cell>
          <cell r="G6201">
            <v>4892</v>
          </cell>
        </row>
        <row r="6202">
          <cell r="A6202" t="str">
            <v>230211</v>
          </cell>
          <cell r="B6202" t="str">
            <v>Bujão FG  4" (31070)</v>
          </cell>
          <cell r="C6202" t="str">
            <v>ud</v>
          </cell>
          <cell r="D6202">
            <v>0</v>
          </cell>
          <cell r="E6202">
            <v>59.96</v>
          </cell>
          <cell r="F6202">
            <v>59.96</v>
          </cell>
          <cell r="G6202">
            <v>12412</v>
          </cell>
        </row>
        <row r="6203">
          <cell r="A6203" t="str">
            <v>2303</v>
          </cell>
          <cell r="B6203" t="str">
            <v>CONTRAPORCA FG</v>
          </cell>
        </row>
        <row r="6204">
          <cell r="A6204" t="str">
            <v>230301</v>
          </cell>
          <cell r="B6204" t="str">
            <v>Contraporca FG  1/4"</v>
          </cell>
          <cell r="C6204" t="str">
            <v>ud</v>
          </cell>
          <cell r="D6204">
            <v>0</v>
          </cell>
        </row>
        <row r="6205">
          <cell r="A6205" t="str">
            <v>230302</v>
          </cell>
          <cell r="B6205" t="str">
            <v>Contraporca FG  3/8"</v>
          </cell>
          <cell r="C6205" t="str">
            <v>ud</v>
          </cell>
          <cell r="D6205">
            <v>0</v>
          </cell>
        </row>
        <row r="6206">
          <cell r="A6206" t="str">
            <v>230303</v>
          </cell>
          <cell r="B6206" t="str">
            <v>Contraporca FG  1/2"</v>
          </cell>
          <cell r="C6206" t="str">
            <v>ud</v>
          </cell>
          <cell r="D6206">
            <v>0</v>
          </cell>
        </row>
        <row r="6207">
          <cell r="A6207" t="str">
            <v>230304</v>
          </cell>
          <cell r="B6207" t="str">
            <v>Contraporca FG  3/4"</v>
          </cell>
          <cell r="C6207" t="str">
            <v>ud</v>
          </cell>
          <cell r="D6207">
            <v>0</v>
          </cell>
        </row>
        <row r="6208">
          <cell r="A6208" t="str">
            <v>230305</v>
          </cell>
          <cell r="B6208" t="str">
            <v>Contraporca FG  1"</v>
          </cell>
          <cell r="C6208" t="str">
            <v>ud</v>
          </cell>
          <cell r="D6208">
            <v>0</v>
          </cell>
        </row>
        <row r="6209">
          <cell r="A6209" t="str">
            <v>230306</v>
          </cell>
          <cell r="B6209" t="str">
            <v>Contraporca FG  1.1/4"</v>
          </cell>
          <cell r="C6209" t="str">
            <v>ud</v>
          </cell>
          <cell r="D6209">
            <v>0</v>
          </cell>
        </row>
        <row r="6210">
          <cell r="A6210" t="str">
            <v>230307</v>
          </cell>
          <cell r="B6210" t="str">
            <v>Contraporca FG  1.1/2"</v>
          </cell>
          <cell r="C6210" t="str">
            <v>ud</v>
          </cell>
          <cell r="D6210">
            <v>0</v>
          </cell>
        </row>
        <row r="6211">
          <cell r="A6211" t="str">
            <v>230308</v>
          </cell>
          <cell r="B6211" t="str">
            <v>Contraporca FG  2"</v>
          </cell>
          <cell r="C6211" t="str">
            <v>ud</v>
          </cell>
          <cell r="D6211">
            <v>0</v>
          </cell>
        </row>
        <row r="6212">
          <cell r="A6212" t="str">
            <v>230309</v>
          </cell>
          <cell r="B6212" t="str">
            <v>Contraporca FG  2.1/2"</v>
          </cell>
          <cell r="C6212" t="str">
            <v>ud</v>
          </cell>
          <cell r="D6212">
            <v>0</v>
          </cell>
        </row>
        <row r="6213">
          <cell r="A6213" t="str">
            <v>230310</v>
          </cell>
          <cell r="B6213" t="str">
            <v>Contraporca FG  3"</v>
          </cell>
          <cell r="C6213" t="str">
            <v>ud</v>
          </cell>
          <cell r="D6213">
            <v>0</v>
          </cell>
        </row>
        <row r="6214">
          <cell r="A6214" t="str">
            <v>2304</v>
          </cell>
          <cell r="B6214" t="str">
            <v>COTOVELO FG</v>
          </cell>
        </row>
        <row r="6215">
          <cell r="A6215" t="str">
            <v>230401</v>
          </cell>
          <cell r="B6215" t="str">
            <v>Cotovelo FG  1/4" (29661)</v>
          </cell>
          <cell r="C6215" t="str">
            <v>ud</v>
          </cell>
          <cell r="D6215">
            <v>0</v>
          </cell>
        </row>
        <row r="6216">
          <cell r="A6216" t="str">
            <v>230402</v>
          </cell>
          <cell r="B6216" t="str">
            <v>Cotovelo FG  3/8" (29670)</v>
          </cell>
          <cell r="C6216" t="str">
            <v>ud</v>
          </cell>
          <cell r="D6216">
            <v>0</v>
          </cell>
        </row>
        <row r="6217">
          <cell r="A6217" t="str">
            <v>230403</v>
          </cell>
          <cell r="B6217" t="str">
            <v>Cotovelo FG  1/2" (29688)</v>
          </cell>
          <cell r="C6217" t="str">
            <v>ud</v>
          </cell>
          <cell r="D6217">
            <v>0</v>
          </cell>
          <cell r="E6217">
            <v>3.83</v>
          </cell>
          <cell r="F6217">
            <v>3.83</v>
          </cell>
          <cell r="G6217">
            <v>3455</v>
          </cell>
        </row>
        <row r="6218">
          <cell r="A6218" t="str">
            <v>230404</v>
          </cell>
          <cell r="B6218" t="str">
            <v>Cotovelo FG  3/4" (29696)</v>
          </cell>
          <cell r="C6218" t="str">
            <v>ud</v>
          </cell>
          <cell r="D6218">
            <v>0</v>
          </cell>
          <cell r="E6218">
            <v>5.73</v>
          </cell>
          <cell r="F6218">
            <v>5.73</v>
          </cell>
          <cell r="G6218">
            <v>3456</v>
          </cell>
        </row>
        <row r="6219">
          <cell r="A6219" t="str">
            <v>230405</v>
          </cell>
          <cell r="B6219" t="str">
            <v>Cotovelo FG  1" (29700)</v>
          </cell>
          <cell r="C6219" t="str">
            <v>ud</v>
          </cell>
          <cell r="D6219">
            <v>0</v>
          </cell>
          <cell r="E6219">
            <v>8.61</v>
          </cell>
          <cell r="F6219">
            <v>8.61</v>
          </cell>
          <cell r="G6219">
            <v>3472</v>
          </cell>
        </row>
        <row r="6220">
          <cell r="A6220" t="str">
            <v>230406</v>
          </cell>
          <cell r="B6220" t="str">
            <v>Cotovelo FG  1.1/4" (29718)</v>
          </cell>
          <cell r="C6220" t="str">
            <v>ud</v>
          </cell>
          <cell r="D6220">
            <v>0</v>
          </cell>
          <cell r="E6220">
            <v>13.49</v>
          </cell>
          <cell r="F6220">
            <v>13.49</v>
          </cell>
          <cell r="G6220">
            <v>3457</v>
          </cell>
        </row>
        <row r="6221">
          <cell r="A6221" t="str">
            <v>230407</v>
          </cell>
          <cell r="B6221" t="str">
            <v>Cotovelo FG  1.1/2" (29726)</v>
          </cell>
          <cell r="C6221" t="str">
            <v>ud</v>
          </cell>
          <cell r="D6221">
            <v>0</v>
          </cell>
          <cell r="E6221">
            <v>17.97</v>
          </cell>
          <cell r="F6221">
            <v>17.97</v>
          </cell>
          <cell r="G6221">
            <v>3458</v>
          </cell>
        </row>
        <row r="6222">
          <cell r="A6222" t="str">
            <v>230408</v>
          </cell>
          <cell r="B6222" t="str">
            <v>Cotovelo FG  2" (29734)</v>
          </cell>
          <cell r="C6222" t="str">
            <v>ud</v>
          </cell>
          <cell r="D6222">
            <v>0</v>
          </cell>
          <cell r="E6222">
            <v>27.57</v>
          </cell>
          <cell r="F6222">
            <v>27.57</v>
          </cell>
          <cell r="G6222">
            <v>3471</v>
          </cell>
        </row>
        <row r="6223">
          <cell r="A6223" t="str">
            <v>230409</v>
          </cell>
          <cell r="B6223" t="str">
            <v>Cotovelo FG  2.1/2" (29742)</v>
          </cell>
          <cell r="C6223" t="str">
            <v>ud</v>
          </cell>
          <cell r="D6223">
            <v>0</v>
          </cell>
          <cell r="E6223">
            <v>50.18</v>
          </cell>
          <cell r="F6223">
            <v>50.18</v>
          </cell>
          <cell r="G6223">
            <v>3470</v>
          </cell>
        </row>
        <row r="6224">
          <cell r="A6224" t="str">
            <v>230410</v>
          </cell>
          <cell r="B6224" t="str">
            <v>Cotovelo FG  3" (29750)</v>
          </cell>
          <cell r="C6224" t="str">
            <v>ud</v>
          </cell>
          <cell r="D6224">
            <v>0</v>
          </cell>
          <cell r="E6224">
            <v>70.78</v>
          </cell>
          <cell r="F6224">
            <v>70.78</v>
          </cell>
          <cell r="G6224">
            <v>3459</v>
          </cell>
        </row>
        <row r="6225">
          <cell r="A6225" t="str">
            <v>230411</v>
          </cell>
          <cell r="B6225" t="str">
            <v>Cotovelo FG  4" (29769)</v>
          </cell>
          <cell r="C6225" t="str">
            <v>ud</v>
          </cell>
          <cell r="D6225">
            <v>0</v>
          </cell>
          <cell r="E6225">
            <v>134.62</v>
          </cell>
          <cell r="F6225">
            <v>134.62</v>
          </cell>
          <cell r="G6225">
            <v>3469</v>
          </cell>
        </row>
        <row r="6226">
          <cell r="A6226" t="str">
            <v>230412</v>
          </cell>
          <cell r="B6226" t="str">
            <v>Cotovelo FG  5"</v>
          </cell>
          <cell r="C6226" t="str">
            <v>ud</v>
          </cell>
          <cell r="D6226">
            <v>0</v>
          </cell>
          <cell r="E6226">
            <v>196.43</v>
          </cell>
          <cell r="F6226">
            <v>196.43</v>
          </cell>
          <cell r="G6226">
            <v>3460</v>
          </cell>
        </row>
        <row r="6227">
          <cell r="A6227" t="str">
            <v>230413</v>
          </cell>
          <cell r="B6227" t="str">
            <v>Cotovelo FG  6" (29785)</v>
          </cell>
          <cell r="C6227" t="str">
            <v>ud</v>
          </cell>
          <cell r="D6227">
            <v>0</v>
          </cell>
          <cell r="E6227">
            <v>502.06</v>
          </cell>
          <cell r="F6227">
            <v>502.06</v>
          </cell>
          <cell r="G6227">
            <v>3461</v>
          </cell>
        </row>
        <row r="6228">
          <cell r="A6228" t="str">
            <v>230414</v>
          </cell>
          <cell r="B6228" t="str">
            <v>Cotovelo FG 45º   3/8"</v>
          </cell>
          <cell r="C6228" t="str">
            <v>ud</v>
          </cell>
          <cell r="D6228">
            <v>0</v>
          </cell>
        </row>
        <row r="6229">
          <cell r="A6229" t="str">
            <v>230415</v>
          </cell>
          <cell r="B6229" t="str">
            <v>Cotovelo FG 45º   1/2" (29793)</v>
          </cell>
          <cell r="C6229" t="str">
            <v>ud</v>
          </cell>
          <cell r="D6229">
            <v>0</v>
          </cell>
          <cell r="E6229">
            <v>4.57</v>
          </cell>
          <cell r="F6229">
            <v>4.57</v>
          </cell>
          <cell r="G6229">
            <v>3441</v>
          </cell>
        </row>
        <row r="6230">
          <cell r="A6230" t="str">
            <v>230416</v>
          </cell>
          <cell r="B6230" t="str">
            <v>Cotovelo FG 45º   3/4" (29807)</v>
          </cell>
          <cell r="C6230" t="str">
            <v>ud</v>
          </cell>
          <cell r="D6230">
            <v>0</v>
          </cell>
          <cell r="E6230">
            <v>6.83</v>
          </cell>
          <cell r="F6230">
            <v>6.83</v>
          </cell>
          <cell r="G6230">
            <v>3442</v>
          </cell>
        </row>
        <row r="6231">
          <cell r="A6231" t="str">
            <v>230417</v>
          </cell>
          <cell r="B6231" t="str">
            <v>Cotovelo FG 45º   1" (29815)</v>
          </cell>
          <cell r="C6231" t="str">
            <v>ud</v>
          </cell>
          <cell r="D6231">
            <v>0</v>
          </cell>
          <cell r="E6231">
            <v>9.9600000000000009</v>
          </cell>
          <cell r="F6231">
            <v>9.9600000000000009</v>
          </cell>
          <cell r="G6231">
            <v>3444</v>
          </cell>
        </row>
        <row r="6232">
          <cell r="A6232" t="str">
            <v>230418</v>
          </cell>
          <cell r="B6232" t="str">
            <v>Cotovelo FG 45º   1.1/4" (29823)</v>
          </cell>
          <cell r="C6232" t="str">
            <v>ud</v>
          </cell>
          <cell r="D6232">
            <v>0</v>
          </cell>
          <cell r="E6232">
            <v>16.190000000000001</v>
          </cell>
          <cell r="F6232">
            <v>16.190000000000001</v>
          </cell>
          <cell r="G6232">
            <v>3445</v>
          </cell>
        </row>
        <row r="6233">
          <cell r="A6233" t="str">
            <v>230419</v>
          </cell>
          <cell r="B6233" t="str">
            <v>Cotovelo FG 45º   1.1/2" (29831)</v>
          </cell>
          <cell r="C6233" t="str">
            <v>ud</v>
          </cell>
          <cell r="D6233">
            <v>0</v>
          </cell>
          <cell r="E6233">
            <v>19.829999999999998</v>
          </cell>
          <cell r="F6233">
            <v>19.829999999999998</v>
          </cell>
          <cell r="G6233">
            <v>3446</v>
          </cell>
        </row>
        <row r="6234">
          <cell r="A6234" t="str">
            <v>230420</v>
          </cell>
          <cell r="B6234" t="str">
            <v>Cotovelo FG 45º   2" (29840)</v>
          </cell>
          <cell r="C6234" t="str">
            <v>ud</v>
          </cell>
          <cell r="D6234">
            <v>0</v>
          </cell>
          <cell r="E6234">
            <v>28.84</v>
          </cell>
          <cell r="F6234">
            <v>28.84</v>
          </cell>
          <cell r="G6234">
            <v>3447</v>
          </cell>
        </row>
        <row r="6235">
          <cell r="A6235" t="str">
            <v>230421</v>
          </cell>
          <cell r="B6235" t="str">
            <v>Cotovelo FG 45º   2.1/2" (29858)</v>
          </cell>
          <cell r="C6235" t="str">
            <v>ud</v>
          </cell>
          <cell r="D6235">
            <v>0</v>
          </cell>
          <cell r="E6235">
            <v>55.74</v>
          </cell>
          <cell r="F6235">
            <v>55.74</v>
          </cell>
          <cell r="G6235">
            <v>12402</v>
          </cell>
        </row>
        <row r="6236">
          <cell r="A6236" t="str">
            <v>230422</v>
          </cell>
          <cell r="B6236" t="str">
            <v>Cotovelo FG 45º   3" (29866)</v>
          </cell>
          <cell r="C6236" t="str">
            <v>ud</v>
          </cell>
          <cell r="D6236">
            <v>0</v>
          </cell>
          <cell r="E6236">
            <v>81.5</v>
          </cell>
          <cell r="F6236">
            <v>81.5</v>
          </cell>
          <cell r="G6236">
            <v>3448</v>
          </cell>
        </row>
        <row r="6237">
          <cell r="A6237" t="str">
            <v>230423</v>
          </cell>
          <cell r="B6237" t="str">
            <v>Cotovelo FG 45º   4" (29874)</v>
          </cell>
          <cell r="C6237" t="str">
            <v>ud</v>
          </cell>
          <cell r="D6237">
            <v>0</v>
          </cell>
          <cell r="E6237">
            <v>142.80000000000001</v>
          </cell>
          <cell r="F6237">
            <v>142.80000000000001</v>
          </cell>
          <cell r="G6237">
            <v>3449</v>
          </cell>
        </row>
        <row r="6238">
          <cell r="A6238" t="str">
            <v>230424</v>
          </cell>
          <cell r="B6238" t="str">
            <v>Cotovelo FG 45º   5" (29882)</v>
          </cell>
          <cell r="C6238" t="str">
            <v>ud</v>
          </cell>
          <cell r="D6238">
            <v>0</v>
          </cell>
        </row>
        <row r="6239">
          <cell r="A6239" t="str">
            <v>230425</v>
          </cell>
          <cell r="B6239" t="str">
            <v>Cotovelo FG 45º   6" (29890)</v>
          </cell>
          <cell r="C6239" t="str">
            <v>ud</v>
          </cell>
          <cell r="D6239">
            <v>0</v>
          </cell>
        </row>
        <row r="6240">
          <cell r="A6240" t="str">
            <v>230426</v>
          </cell>
          <cell r="B6240" t="str">
            <v>Cotovelo FG macho / fêmea  1/4"</v>
          </cell>
          <cell r="C6240" t="str">
            <v>ud</v>
          </cell>
          <cell r="D6240">
            <v>0</v>
          </cell>
        </row>
        <row r="6241">
          <cell r="A6241" t="str">
            <v>230427</v>
          </cell>
          <cell r="B6241" t="str">
            <v>Cotovelo FG macho / fêmea  3/8"</v>
          </cell>
          <cell r="C6241" t="str">
            <v>ud</v>
          </cell>
          <cell r="D6241">
            <v>0</v>
          </cell>
        </row>
        <row r="6242">
          <cell r="A6242" t="str">
            <v>230428</v>
          </cell>
          <cell r="B6242" t="str">
            <v>Cotovelo FG macho / fêmea  1/2" (77755)</v>
          </cell>
          <cell r="C6242" t="str">
            <v>ud</v>
          </cell>
          <cell r="D6242">
            <v>0</v>
          </cell>
          <cell r="E6242">
            <v>5.35</v>
          </cell>
          <cell r="F6242">
            <v>5.35</v>
          </cell>
          <cell r="G6242">
            <v>3450</v>
          </cell>
        </row>
        <row r="6243">
          <cell r="A6243" t="str">
            <v>230429</v>
          </cell>
          <cell r="B6243" t="str">
            <v>Cotovelo FG macho / fêmea  3/4" (158976)</v>
          </cell>
          <cell r="C6243" t="str">
            <v>ud</v>
          </cell>
          <cell r="D6243">
            <v>0</v>
          </cell>
          <cell r="E6243">
            <v>6.41</v>
          </cell>
          <cell r="F6243">
            <v>6.41</v>
          </cell>
          <cell r="G6243">
            <v>3451</v>
          </cell>
        </row>
        <row r="6244">
          <cell r="A6244" t="str">
            <v>230430</v>
          </cell>
          <cell r="B6244" t="str">
            <v>Cotovelo FG macho / fêmea  1" (157775)</v>
          </cell>
          <cell r="C6244" t="str">
            <v>ud</v>
          </cell>
          <cell r="D6244">
            <v>0</v>
          </cell>
          <cell r="E6244">
            <v>11.5</v>
          </cell>
          <cell r="F6244">
            <v>11.5</v>
          </cell>
          <cell r="G6244">
            <v>3443</v>
          </cell>
        </row>
        <row r="6245">
          <cell r="A6245" t="str">
            <v>230431</v>
          </cell>
          <cell r="B6245" t="str">
            <v>Cotovelo FG macho / fêmea  1.1/4" (166030)</v>
          </cell>
          <cell r="C6245" t="str">
            <v>ud</v>
          </cell>
          <cell r="D6245">
            <v>0</v>
          </cell>
          <cell r="E6245">
            <v>18.48</v>
          </cell>
          <cell r="F6245">
            <v>18.48</v>
          </cell>
          <cell r="G6245">
            <v>3474</v>
          </cell>
        </row>
        <row r="6246">
          <cell r="A6246" t="str">
            <v>230432</v>
          </cell>
          <cell r="B6246" t="str">
            <v>Cotovelo FG macho / fêmea  1.1/2" (151602)</v>
          </cell>
          <cell r="C6246" t="str">
            <v>ud</v>
          </cell>
          <cell r="D6246">
            <v>0</v>
          </cell>
          <cell r="E6246">
            <v>22.42</v>
          </cell>
          <cell r="F6246">
            <v>22.42</v>
          </cell>
          <cell r="G6246">
            <v>3473</v>
          </cell>
        </row>
        <row r="6247">
          <cell r="A6247" t="str">
            <v>230433</v>
          </cell>
          <cell r="B6247" t="str">
            <v>Cotovelo FG macho / fêmea  2" (157538)</v>
          </cell>
          <cell r="C6247" t="str">
            <v>ud</v>
          </cell>
          <cell r="D6247">
            <v>0</v>
          </cell>
          <cell r="E6247">
            <v>32.299999999999997</v>
          </cell>
          <cell r="F6247">
            <v>32.299999999999997</v>
          </cell>
          <cell r="G6247">
            <v>3452</v>
          </cell>
        </row>
        <row r="6248">
          <cell r="A6248" t="str">
            <v>230434</v>
          </cell>
          <cell r="B6248" t="str">
            <v>Cotovelo FG macho / fêmea  2.1/2"</v>
          </cell>
          <cell r="C6248" t="str">
            <v>ud</v>
          </cell>
          <cell r="D6248">
            <v>0</v>
          </cell>
          <cell r="E6248">
            <v>65.45</v>
          </cell>
          <cell r="F6248">
            <v>65.45</v>
          </cell>
          <cell r="G6248">
            <v>3453</v>
          </cell>
        </row>
        <row r="6249">
          <cell r="A6249" t="str">
            <v>230435</v>
          </cell>
          <cell r="B6249" t="str">
            <v>Cotovelo FG macho / fêmea  3"</v>
          </cell>
          <cell r="C6249" t="str">
            <v>ud</v>
          </cell>
          <cell r="D6249">
            <v>0</v>
          </cell>
          <cell r="E6249">
            <v>99.54</v>
          </cell>
          <cell r="F6249">
            <v>99.54</v>
          </cell>
          <cell r="G6249">
            <v>3454</v>
          </cell>
        </row>
        <row r="6250">
          <cell r="A6250" t="str">
            <v>230436</v>
          </cell>
          <cell r="B6250" t="str">
            <v>Cotovelo c/ saída lateral FG  3/8"</v>
          </cell>
          <cell r="C6250" t="str">
            <v>ud</v>
          </cell>
          <cell r="D6250">
            <v>0</v>
          </cell>
        </row>
        <row r="6251">
          <cell r="A6251" t="str">
            <v>230437</v>
          </cell>
          <cell r="B6251" t="str">
            <v>Cotovelo c/ saída lateral FG  1/2"</v>
          </cell>
          <cell r="C6251" t="str">
            <v>ud</v>
          </cell>
          <cell r="D6251">
            <v>0</v>
          </cell>
        </row>
        <row r="6252">
          <cell r="A6252" t="str">
            <v>230438</v>
          </cell>
          <cell r="B6252" t="str">
            <v>Cotovelo c/ saída lateral FG  3/4"</v>
          </cell>
          <cell r="C6252" t="str">
            <v>ud</v>
          </cell>
          <cell r="D6252">
            <v>0</v>
          </cell>
        </row>
        <row r="6253">
          <cell r="A6253" t="str">
            <v>230439</v>
          </cell>
          <cell r="B6253" t="str">
            <v>Cotovelo c/ saída lateral FG  1"</v>
          </cell>
          <cell r="C6253" t="str">
            <v>ud</v>
          </cell>
          <cell r="D6253">
            <v>0</v>
          </cell>
        </row>
        <row r="6254">
          <cell r="A6254" t="str">
            <v>230440</v>
          </cell>
          <cell r="B6254" t="str">
            <v>Cotovelo c/ saída lateral FG  1.1/4"</v>
          </cell>
          <cell r="C6254" t="str">
            <v>ud</v>
          </cell>
          <cell r="D6254">
            <v>0</v>
          </cell>
        </row>
        <row r="6255">
          <cell r="A6255" t="str">
            <v>230441</v>
          </cell>
          <cell r="B6255" t="str">
            <v>Cotovelo c/ saída lateral FG  1.1/2"</v>
          </cell>
          <cell r="C6255" t="str">
            <v>ud</v>
          </cell>
          <cell r="D6255">
            <v>0</v>
          </cell>
        </row>
        <row r="6256">
          <cell r="A6256" t="str">
            <v>230442</v>
          </cell>
          <cell r="B6256" t="str">
            <v>Cotovelo c/ saída lateral FG  2"</v>
          </cell>
          <cell r="C6256" t="str">
            <v>ud</v>
          </cell>
          <cell r="D6256">
            <v>0</v>
          </cell>
        </row>
        <row r="6257">
          <cell r="A6257" t="str">
            <v>230443</v>
          </cell>
          <cell r="B6257" t="str">
            <v>Cotovelo red FG   3/8"     1/4"</v>
          </cell>
          <cell r="C6257" t="str">
            <v>ud</v>
          </cell>
          <cell r="D6257">
            <v>0</v>
          </cell>
        </row>
        <row r="6258">
          <cell r="A6258" t="str">
            <v>230444</v>
          </cell>
          <cell r="B6258" t="str">
            <v>Cotovelo red FG   1/2"     3/8"</v>
          </cell>
          <cell r="C6258" t="str">
            <v>ud</v>
          </cell>
          <cell r="D6258">
            <v>0</v>
          </cell>
        </row>
        <row r="6259">
          <cell r="A6259" t="str">
            <v>230445</v>
          </cell>
          <cell r="B6259" t="str">
            <v>Cotovelo red FG   3/4"     3/8" (90271)</v>
          </cell>
          <cell r="C6259" t="str">
            <v>ud</v>
          </cell>
          <cell r="D6259">
            <v>0</v>
          </cell>
        </row>
        <row r="6260">
          <cell r="A6260" t="str">
            <v>230446</v>
          </cell>
          <cell r="B6260" t="str">
            <v>Cotovelo red FG   3/4"     1/2" (29912)</v>
          </cell>
          <cell r="C6260" t="str">
            <v>ud</v>
          </cell>
          <cell r="D6260">
            <v>0</v>
          </cell>
          <cell r="E6260">
            <v>6.44</v>
          </cell>
          <cell r="F6260">
            <v>6.44</v>
          </cell>
          <cell r="G6260">
            <v>3462</v>
          </cell>
        </row>
        <row r="6261">
          <cell r="A6261" t="str">
            <v>230447</v>
          </cell>
          <cell r="B6261" t="str">
            <v>Cotovelo red FG    1"       1/2" (29920)</v>
          </cell>
          <cell r="C6261" t="str">
            <v>ud</v>
          </cell>
          <cell r="D6261">
            <v>0</v>
          </cell>
          <cell r="E6261">
            <v>9.76</v>
          </cell>
          <cell r="F6261">
            <v>9.76</v>
          </cell>
          <cell r="G6261">
            <v>3463</v>
          </cell>
        </row>
        <row r="6262">
          <cell r="A6262" t="str">
            <v>230448</v>
          </cell>
          <cell r="B6262" t="str">
            <v>Cotovelo red FG    1"       3/4" (29939)</v>
          </cell>
          <cell r="C6262" t="str">
            <v>ud</v>
          </cell>
          <cell r="D6262">
            <v>0</v>
          </cell>
          <cell r="E6262">
            <v>9.76</v>
          </cell>
          <cell r="F6262">
            <v>9.76</v>
          </cell>
          <cell r="G6262">
            <v>3464</v>
          </cell>
        </row>
        <row r="6263">
          <cell r="A6263" t="str">
            <v>230449</v>
          </cell>
          <cell r="B6263" t="str">
            <v>Cotovelo red FG  1.1/4"   3/4" (29955)</v>
          </cell>
          <cell r="C6263" t="str">
            <v>ud</v>
          </cell>
          <cell r="D6263">
            <v>0</v>
          </cell>
        </row>
        <row r="6264">
          <cell r="A6264" t="str">
            <v>230450</v>
          </cell>
          <cell r="B6264" t="str">
            <v>Cotovelo red FG  1.1/4"   1 (29963)</v>
          </cell>
          <cell r="C6264" t="str">
            <v>ud</v>
          </cell>
          <cell r="D6264">
            <v>0</v>
          </cell>
          <cell r="E6264">
            <v>16.71</v>
          </cell>
          <cell r="F6264">
            <v>16.71</v>
          </cell>
          <cell r="G6264">
            <v>12403</v>
          </cell>
        </row>
        <row r="6265">
          <cell r="A6265" t="str">
            <v>230451</v>
          </cell>
          <cell r="B6265" t="str">
            <v>Cotovelo red FG  1.1/2"   3/4" (29980)</v>
          </cell>
          <cell r="C6265" t="str">
            <v>ud</v>
          </cell>
          <cell r="D6265">
            <v>0</v>
          </cell>
          <cell r="E6265">
            <v>23.45</v>
          </cell>
          <cell r="F6265">
            <v>23.45</v>
          </cell>
          <cell r="G6265">
            <v>3465</v>
          </cell>
        </row>
        <row r="6266">
          <cell r="A6266" t="str">
            <v>230452</v>
          </cell>
          <cell r="B6266" t="str">
            <v>Cotovelo red FG  1.1/2"   1" (29998)</v>
          </cell>
          <cell r="C6266" t="str">
            <v>ud</v>
          </cell>
          <cell r="D6266">
            <v>0</v>
          </cell>
          <cell r="E6266">
            <v>23.46</v>
          </cell>
          <cell r="F6266">
            <v>23.46</v>
          </cell>
          <cell r="G6266">
            <v>3468</v>
          </cell>
        </row>
        <row r="6267">
          <cell r="A6267" t="str">
            <v>230453</v>
          </cell>
          <cell r="B6267" t="str">
            <v>Cotovelo red FG  1.1/2"   1.1/4" (30007)</v>
          </cell>
          <cell r="C6267" t="str">
            <v>ud</v>
          </cell>
          <cell r="D6267">
            <v>0</v>
          </cell>
        </row>
        <row r="6268">
          <cell r="A6268" t="str">
            <v>230454</v>
          </cell>
          <cell r="B6268" t="str">
            <v>Cotovelo red FG    2"       1.1/2" (30058)</v>
          </cell>
          <cell r="C6268" t="str">
            <v>ud</v>
          </cell>
          <cell r="D6268">
            <v>0</v>
          </cell>
          <cell r="E6268">
            <v>33.64</v>
          </cell>
          <cell r="F6268">
            <v>33.64</v>
          </cell>
          <cell r="G6268">
            <v>3467</v>
          </cell>
        </row>
        <row r="6269">
          <cell r="A6269" t="str">
            <v>230455</v>
          </cell>
          <cell r="B6269" t="str">
            <v>Cotovelo red FG  2.1/2"   2" (30104)</v>
          </cell>
          <cell r="C6269" t="str">
            <v>ud</v>
          </cell>
          <cell r="D6269">
            <v>0</v>
          </cell>
          <cell r="E6269">
            <v>59.56</v>
          </cell>
          <cell r="F6269">
            <v>59.56</v>
          </cell>
          <cell r="G6269">
            <v>3466</v>
          </cell>
        </row>
        <row r="6270">
          <cell r="A6270" t="str">
            <v>2305</v>
          </cell>
          <cell r="B6270" t="str">
            <v>CRUZETA FG</v>
          </cell>
        </row>
        <row r="6271">
          <cell r="A6271" t="str">
            <v>230501</v>
          </cell>
          <cell r="B6271" t="str">
            <v>Cruzeta FG  1/4"</v>
          </cell>
          <cell r="C6271" t="str">
            <v>ud</v>
          </cell>
          <cell r="D6271">
            <v>0</v>
          </cell>
        </row>
        <row r="6272">
          <cell r="A6272" t="str">
            <v>230502</v>
          </cell>
          <cell r="B6272" t="str">
            <v>Cruzeta FG  3/8"</v>
          </cell>
          <cell r="C6272" t="str">
            <v>ud</v>
          </cell>
          <cell r="D6272">
            <v>0</v>
          </cell>
        </row>
        <row r="6273">
          <cell r="A6273" t="str">
            <v>230503</v>
          </cell>
          <cell r="B6273" t="str">
            <v>Cruzeta FG  1/2" (30198)</v>
          </cell>
          <cell r="C6273" t="str">
            <v>ud</v>
          </cell>
          <cell r="D6273">
            <v>0</v>
          </cell>
          <cell r="E6273">
            <v>11.89</v>
          </cell>
          <cell r="F6273">
            <v>11.89</v>
          </cell>
          <cell r="G6273">
            <v>1647</v>
          </cell>
        </row>
        <row r="6274">
          <cell r="A6274" t="str">
            <v>230504</v>
          </cell>
          <cell r="B6274" t="str">
            <v>Cruzeta FG  3/4" (30201)</v>
          </cell>
          <cell r="C6274" t="str">
            <v>ud</v>
          </cell>
          <cell r="D6274">
            <v>0</v>
          </cell>
          <cell r="E6274">
            <v>16.32</v>
          </cell>
          <cell r="F6274">
            <v>16.32</v>
          </cell>
          <cell r="G6274">
            <v>1654</v>
          </cell>
        </row>
        <row r="6275">
          <cell r="A6275" t="str">
            <v>230505</v>
          </cell>
          <cell r="B6275" t="str">
            <v>Cruzeta FG  1" (30210)</v>
          </cell>
          <cell r="C6275" t="str">
            <v>ud</v>
          </cell>
          <cell r="D6275">
            <v>0</v>
          </cell>
          <cell r="E6275">
            <v>22.82</v>
          </cell>
          <cell r="F6275">
            <v>22.82</v>
          </cell>
          <cell r="G6275">
            <v>1648</v>
          </cell>
        </row>
        <row r="6276">
          <cell r="A6276" t="str">
            <v>230506</v>
          </cell>
          <cell r="B6276" t="str">
            <v>Cruzeta FG  1.1/4" (30228)</v>
          </cell>
          <cell r="C6276" t="str">
            <v>ud</v>
          </cell>
          <cell r="D6276">
            <v>0</v>
          </cell>
          <cell r="E6276">
            <v>33.200000000000003</v>
          </cell>
          <cell r="F6276">
            <v>33.200000000000003</v>
          </cell>
          <cell r="G6276">
            <v>1653</v>
          </cell>
        </row>
        <row r="6277">
          <cell r="A6277" t="str">
            <v>230507</v>
          </cell>
          <cell r="B6277" t="str">
            <v>Cruzeta FG  1.1/2" (30236)</v>
          </cell>
          <cell r="C6277" t="str">
            <v>ud</v>
          </cell>
          <cell r="D6277">
            <v>0</v>
          </cell>
          <cell r="E6277">
            <v>42.38</v>
          </cell>
          <cell r="F6277">
            <v>42.38</v>
          </cell>
          <cell r="G6277">
            <v>1649</v>
          </cell>
        </row>
        <row r="6278">
          <cell r="A6278" t="str">
            <v>230508</v>
          </cell>
          <cell r="B6278" t="str">
            <v>Cruzeta FG  2" (30244)</v>
          </cell>
          <cell r="C6278" t="str">
            <v>ud</v>
          </cell>
          <cell r="D6278">
            <v>0</v>
          </cell>
          <cell r="E6278">
            <v>58.53</v>
          </cell>
          <cell r="F6278">
            <v>58.53</v>
          </cell>
          <cell r="G6278">
            <v>1650</v>
          </cell>
        </row>
        <row r="6279">
          <cell r="A6279" t="str">
            <v>230509</v>
          </cell>
          <cell r="B6279" t="str">
            <v>Cruzeta FG  2.1/2" (30252)</v>
          </cell>
          <cell r="C6279" t="str">
            <v>ud</v>
          </cell>
          <cell r="D6279">
            <v>0</v>
          </cell>
          <cell r="E6279">
            <v>105.9</v>
          </cell>
          <cell r="F6279">
            <v>105.9</v>
          </cell>
          <cell r="G6279">
            <v>1651</v>
          </cell>
        </row>
        <row r="6280">
          <cell r="A6280" t="str">
            <v>230510</v>
          </cell>
          <cell r="B6280" t="str">
            <v>Cruzeta FG  3" (168726)</v>
          </cell>
          <cell r="C6280" t="str">
            <v>ud</v>
          </cell>
          <cell r="D6280">
            <v>0</v>
          </cell>
          <cell r="E6280">
            <v>151.99</v>
          </cell>
          <cell r="F6280">
            <v>151.99</v>
          </cell>
          <cell r="G6280">
            <v>1652</v>
          </cell>
        </row>
        <row r="6281">
          <cell r="A6281" t="str">
            <v>2306</v>
          </cell>
          <cell r="B6281" t="str">
            <v>CURVA FG</v>
          </cell>
        </row>
        <row r="6282">
          <cell r="A6282" t="str">
            <v>230601</v>
          </cell>
          <cell r="B6282" t="str">
            <v>Curva FG 45º fêmea  1/4"</v>
          </cell>
          <cell r="C6282" t="str">
            <v>ud</v>
          </cell>
          <cell r="D6282">
            <v>0</v>
          </cell>
        </row>
        <row r="6283">
          <cell r="A6283" t="str">
            <v>230602</v>
          </cell>
          <cell r="B6283" t="str">
            <v>Curva FG 45º fêmea  3/8"</v>
          </cell>
          <cell r="C6283" t="str">
            <v>ud</v>
          </cell>
          <cell r="D6283">
            <v>0</v>
          </cell>
        </row>
        <row r="6284">
          <cell r="A6284" t="str">
            <v>230603</v>
          </cell>
          <cell r="B6284" t="str">
            <v>Curva FG 45º fêmea  1/2"</v>
          </cell>
          <cell r="C6284" t="str">
            <v>ud</v>
          </cell>
          <cell r="D6284">
            <v>0</v>
          </cell>
          <cell r="E6284">
            <v>9.94</v>
          </cell>
          <cell r="F6284">
            <v>9.94</v>
          </cell>
          <cell r="G6284">
            <v>1775</v>
          </cell>
        </row>
        <row r="6285">
          <cell r="A6285" t="str">
            <v>230604</v>
          </cell>
          <cell r="B6285" t="str">
            <v>Curva FG 45º fêmea  3/4"</v>
          </cell>
          <cell r="C6285" t="str">
            <v>ud</v>
          </cell>
          <cell r="D6285">
            <v>0</v>
          </cell>
          <cell r="E6285">
            <v>14.36</v>
          </cell>
          <cell r="F6285">
            <v>14.36</v>
          </cell>
          <cell r="G6285">
            <v>1820</v>
          </cell>
        </row>
        <row r="6286">
          <cell r="A6286" t="str">
            <v>230605</v>
          </cell>
          <cell r="B6286" t="str">
            <v>Curva FG 45º fêmea  1" (29467)</v>
          </cell>
          <cell r="C6286" t="str">
            <v>ud</v>
          </cell>
          <cell r="D6286">
            <v>0</v>
          </cell>
          <cell r="E6286">
            <v>27.05</v>
          </cell>
          <cell r="F6286">
            <v>27.05</v>
          </cell>
          <cell r="G6286">
            <v>1776</v>
          </cell>
        </row>
        <row r="6287">
          <cell r="A6287" t="str">
            <v>230606</v>
          </cell>
          <cell r="B6287" t="str">
            <v>Curva FG 45º fêmea  1.1/4" (168432)</v>
          </cell>
          <cell r="C6287" t="str">
            <v>ud</v>
          </cell>
          <cell r="D6287">
            <v>0</v>
          </cell>
          <cell r="E6287">
            <v>33.25</v>
          </cell>
          <cell r="F6287">
            <v>33.25</v>
          </cell>
          <cell r="G6287">
            <v>1819</v>
          </cell>
        </row>
        <row r="6288">
          <cell r="A6288" t="str">
            <v>230607</v>
          </cell>
          <cell r="B6288" t="str">
            <v>Curva FG 45º fêmea  1.1/2" (166022)</v>
          </cell>
          <cell r="C6288" t="str">
            <v>ud</v>
          </cell>
          <cell r="D6288">
            <v>0</v>
          </cell>
          <cell r="E6288">
            <v>45.7</v>
          </cell>
          <cell r="F6288">
            <v>45.7</v>
          </cell>
          <cell r="G6288">
            <v>1777</v>
          </cell>
        </row>
        <row r="6289">
          <cell r="A6289" t="str">
            <v>230608</v>
          </cell>
          <cell r="B6289" t="str">
            <v>Curva FG 45º fêmea  2" (166014)</v>
          </cell>
          <cell r="C6289" t="str">
            <v>ud</v>
          </cell>
          <cell r="D6289">
            <v>0</v>
          </cell>
          <cell r="E6289">
            <v>73.430000000000007</v>
          </cell>
          <cell r="F6289">
            <v>73.430000000000007</v>
          </cell>
          <cell r="G6289">
            <v>1818</v>
          </cell>
        </row>
        <row r="6290">
          <cell r="A6290" t="str">
            <v>230609</v>
          </cell>
          <cell r="B6290" t="str">
            <v>Curva FG 90º fêmea  1/2" (134120)</v>
          </cell>
          <cell r="C6290" t="str">
            <v>ud</v>
          </cell>
          <cell r="D6290">
            <v>0</v>
          </cell>
          <cell r="E6290">
            <v>8.73</v>
          </cell>
          <cell r="F6290">
            <v>8.73</v>
          </cell>
          <cell r="G6290">
            <v>1786</v>
          </cell>
        </row>
        <row r="6291">
          <cell r="A6291" t="str">
            <v>230610</v>
          </cell>
          <cell r="B6291" t="str">
            <v>Curva FG 90º fêmea  3/4" (134147)</v>
          </cell>
          <cell r="C6291" t="str">
            <v>ud</v>
          </cell>
          <cell r="D6291">
            <v>0</v>
          </cell>
          <cell r="E6291">
            <v>13.85</v>
          </cell>
          <cell r="F6291">
            <v>13.85</v>
          </cell>
          <cell r="G6291">
            <v>1813</v>
          </cell>
        </row>
        <row r="6292">
          <cell r="A6292" t="str">
            <v>230611</v>
          </cell>
          <cell r="B6292" t="str">
            <v>Curva FG 90º fêmea  1" (134066)</v>
          </cell>
          <cell r="C6292" t="str">
            <v>ud</v>
          </cell>
          <cell r="D6292">
            <v>0</v>
          </cell>
          <cell r="E6292">
            <v>20.9</v>
          </cell>
          <cell r="F6292">
            <v>20.9</v>
          </cell>
          <cell r="G6292">
            <v>1787</v>
          </cell>
        </row>
        <row r="6293">
          <cell r="A6293" t="str">
            <v>230612</v>
          </cell>
          <cell r="B6293" t="str">
            <v>Curva FG 90º fêmea  1.1/4" (134104)</v>
          </cell>
          <cell r="C6293" t="str">
            <v>ud</v>
          </cell>
          <cell r="D6293">
            <v>0</v>
          </cell>
          <cell r="E6293">
            <v>35.159999999999997</v>
          </cell>
          <cell r="F6293">
            <v>35.159999999999997</v>
          </cell>
          <cell r="G6293">
            <v>1788</v>
          </cell>
        </row>
        <row r="6294">
          <cell r="A6294" t="str">
            <v>230613</v>
          </cell>
          <cell r="B6294" t="str">
            <v>Curva FG 90º fêmea  1.1/2' (134082)</v>
          </cell>
          <cell r="C6294" t="str">
            <v>ud</v>
          </cell>
          <cell r="D6294">
            <v>0</v>
          </cell>
          <cell r="E6294">
            <v>43.86</v>
          </cell>
          <cell r="F6294">
            <v>43.86</v>
          </cell>
          <cell r="G6294">
            <v>1789</v>
          </cell>
        </row>
        <row r="6295">
          <cell r="A6295" t="str">
            <v>230614</v>
          </cell>
          <cell r="B6295" t="str">
            <v>Curva FG 90º fêmea  2' (134163)</v>
          </cell>
          <cell r="C6295" t="str">
            <v>ud</v>
          </cell>
          <cell r="D6295">
            <v>0</v>
          </cell>
          <cell r="E6295">
            <v>73.040000000000006</v>
          </cell>
          <cell r="F6295">
            <v>73.040000000000006</v>
          </cell>
          <cell r="G6295">
            <v>1790</v>
          </cell>
        </row>
        <row r="6296">
          <cell r="A6296" t="str">
            <v>230615</v>
          </cell>
          <cell r="B6296" t="str">
            <v>Curva FG 90º fêmea  2.1/2" (134180)</v>
          </cell>
          <cell r="C6296" t="str">
            <v>ud</v>
          </cell>
          <cell r="D6296">
            <v>0</v>
          </cell>
          <cell r="E6296">
            <v>126.76</v>
          </cell>
          <cell r="F6296">
            <v>126.76</v>
          </cell>
          <cell r="G6296">
            <v>1791</v>
          </cell>
        </row>
        <row r="6297">
          <cell r="A6297" t="str">
            <v>230616</v>
          </cell>
          <cell r="B6297" t="str">
            <v>Curva FG 90º fêmea  3" (134201)</v>
          </cell>
          <cell r="C6297" t="str">
            <v>ud</v>
          </cell>
          <cell r="D6297">
            <v>0</v>
          </cell>
          <cell r="E6297">
            <v>171.11</v>
          </cell>
          <cell r="F6297">
            <v>171.11</v>
          </cell>
          <cell r="G6297">
            <v>1792</v>
          </cell>
        </row>
        <row r="6298">
          <cell r="A6298" t="str">
            <v>230617</v>
          </cell>
          <cell r="B6298" t="str">
            <v>Curva FG 90º fêmea  4" (134210)</v>
          </cell>
          <cell r="C6298" t="str">
            <v>ud</v>
          </cell>
          <cell r="D6298">
            <v>0</v>
          </cell>
          <cell r="E6298">
            <v>345.75</v>
          </cell>
          <cell r="F6298">
            <v>345.75</v>
          </cell>
          <cell r="G6298">
            <v>1793</v>
          </cell>
        </row>
        <row r="6299">
          <cell r="A6299" t="str">
            <v>230618</v>
          </cell>
          <cell r="B6299" t="str">
            <v>Curva FG 90º fêmea raio curto  1/4"</v>
          </cell>
          <cell r="C6299" t="str">
            <v>ud</v>
          </cell>
          <cell r="D6299">
            <v>0</v>
          </cell>
        </row>
        <row r="6300">
          <cell r="A6300" t="str">
            <v>230619</v>
          </cell>
          <cell r="B6300" t="str">
            <v>Curva FG 90º fêmea raio curto  3/8"</v>
          </cell>
          <cell r="C6300" t="str">
            <v>ud</v>
          </cell>
          <cell r="D6300">
            <v>0</v>
          </cell>
        </row>
        <row r="6301">
          <cell r="A6301" t="str">
            <v>230620</v>
          </cell>
          <cell r="B6301" t="str">
            <v>Curva FG 90º fêmea raio curto  1/2"</v>
          </cell>
          <cell r="C6301" t="str">
            <v>ud</v>
          </cell>
          <cell r="D6301">
            <v>0</v>
          </cell>
        </row>
        <row r="6302">
          <cell r="A6302" t="str">
            <v>230621</v>
          </cell>
          <cell r="B6302" t="str">
            <v>Curva FG 90º fêmea raio curto  3/4"</v>
          </cell>
          <cell r="C6302" t="str">
            <v>ud</v>
          </cell>
          <cell r="D6302">
            <v>0</v>
          </cell>
        </row>
        <row r="6303">
          <cell r="A6303" t="str">
            <v>230622</v>
          </cell>
          <cell r="B6303" t="str">
            <v>Curva FG 90º fêmea raio curto  1"</v>
          </cell>
          <cell r="C6303" t="str">
            <v>ud</v>
          </cell>
          <cell r="D6303">
            <v>0</v>
          </cell>
        </row>
        <row r="6304">
          <cell r="A6304" t="str">
            <v>230623</v>
          </cell>
          <cell r="B6304" t="str">
            <v>Curva FG 90º fêmea raio curto  1.1/4"</v>
          </cell>
          <cell r="C6304" t="str">
            <v>ud</v>
          </cell>
          <cell r="D6304">
            <v>0</v>
          </cell>
        </row>
        <row r="6305">
          <cell r="A6305" t="str">
            <v>230624</v>
          </cell>
          <cell r="B6305" t="str">
            <v>Curva FG 90º fêmea raio curto  1.1/2'</v>
          </cell>
          <cell r="C6305" t="str">
            <v>ud</v>
          </cell>
          <cell r="D6305">
            <v>0</v>
          </cell>
        </row>
        <row r="6306">
          <cell r="A6306" t="str">
            <v>230625</v>
          </cell>
          <cell r="B6306" t="str">
            <v>Curva FG 90º macho  3/8"</v>
          </cell>
          <cell r="C6306" t="str">
            <v>ud</v>
          </cell>
          <cell r="D6306">
            <v>0</v>
          </cell>
        </row>
        <row r="6307">
          <cell r="A6307" t="str">
            <v>230626</v>
          </cell>
          <cell r="B6307" t="str">
            <v>Curva FG 90º macho  1/2" (134112)</v>
          </cell>
          <cell r="C6307" t="str">
            <v>ud</v>
          </cell>
          <cell r="D6307">
            <v>0</v>
          </cell>
          <cell r="E6307">
            <v>9.1199999999999992</v>
          </cell>
          <cell r="F6307">
            <v>9.1199999999999992</v>
          </cell>
          <cell r="G6307">
            <v>1794</v>
          </cell>
        </row>
        <row r="6308">
          <cell r="A6308" t="str">
            <v>230627</v>
          </cell>
          <cell r="B6308" t="str">
            <v>Curva FG 90º macho  3/4" (134139)</v>
          </cell>
          <cell r="C6308" t="str">
            <v>ud</v>
          </cell>
          <cell r="D6308">
            <v>0</v>
          </cell>
          <cell r="E6308">
            <v>12.63</v>
          </cell>
          <cell r="F6308">
            <v>12.63</v>
          </cell>
          <cell r="G6308">
            <v>1795</v>
          </cell>
        </row>
        <row r="6309">
          <cell r="A6309" t="str">
            <v>230628</v>
          </cell>
          <cell r="B6309" t="str">
            <v>Curva FG 90º macho  1"</v>
          </cell>
          <cell r="C6309" t="str">
            <v>ud</v>
          </cell>
          <cell r="D6309">
            <v>0</v>
          </cell>
          <cell r="E6309">
            <v>20.56</v>
          </cell>
          <cell r="F6309">
            <v>20.56</v>
          </cell>
          <cell r="G6309">
            <v>1816</v>
          </cell>
        </row>
        <row r="6310">
          <cell r="A6310" t="str">
            <v>230629</v>
          </cell>
          <cell r="B6310" t="str">
            <v>Curva FG 90º macho  1.1/4" (134090)</v>
          </cell>
          <cell r="C6310" t="str">
            <v>ud</v>
          </cell>
          <cell r="D6310">
            <v>0</v>
          </cell>
          <cell r="E6310">
            <v>38.200000000000003</v>
          </cell>
          <cell r="F6310">
            <v>38.200000000000003</v>
          </cell>
          <cell r="G6310">
            <v>1796</v>
          </cell>
        </row>
        <row r="6311">
          <cell r="A6311" t="str">
            <v>230630</v>
          </cell>
          <cell r="B6311" t="str">
            <v>Curva FG 90º macho  1.1/2" (134074)</v>
          </cell>
          <cell r="C6311" t="str">
            <v>ud</v>
          </cell>
          <cell r="D6311">
            <v>0</v>
          </cell>
          <cell r="E6311">
            <v>49.8</v>
          </cell>
          <cell r="F6311">
            <v>49.8</v>
          </cell>
          <cell r="G6311">
            <v>1797</v>
          </cell>
        </row>
        <row r="6312">
          <cell r="A6312" t="str">
            <v>230631</v>
          </cell>
          <cell r="B6312" t="str">
            <v>Curva FG 90º macho  2" (134155)</v>
          </cell>
          <cell r="C6312" t="str">
            <v>ud</v>
          </cell>
          <cell r="D6312">
            <v>0</v>
          </cell>
          <cell r="E6312">
            <v>70.66</v>
          </cell>
          <cell r="F6312">
            <v>70.66</v>
          </cell>
          <cell r="G6312">
            <v>1798</v>
          </cell>
        </row>
        <row r="6313">
          <cell r="A6313" t="str">
            <v>230632</v>
          </cell>
          <cell r="B6313" t="str">
            <v>Curva FG 90º macho  2.1/2" (134171)</v>
          </cell>
          <cell r="C6313" t="str">
            <v>ud</v>
          </cell>
          <cell r="D6313">
            <v>0</v>
          </cell>
          <cell r="E6313">
            <v>157.91</v>
          </cell>
          <cell r="F6313">
            <v>157.91</v>
          </cell>
          <cell r="G6313">
            <v>1815</v>
          </cell>
        </row>
        <row r="6314">
          <cell r="A6314" t="str">
            <v>230633</v>
          </cell>
          <cell r="B6314" t="str">
            <v>Curva FG 90º macho  3" (134198)</v>
          </cell>
          <cell r="C6314" t="str">
            <v>ud</v>
          </cell>
          <cell r="D6314">
            <v>0</v>
          </cell>
          <cell r="E6314">
            <v>205.66</v>
          </cell>
          <cell r="F6314">
            <v>205.66</v>
          </cell>
          <cell r="G6314">
            <v>1799</v>
          </cell>
        </row>
        <row r="6315">
          <cell r="A6315" t="str">
            <v>230634</v>
          </cell>
          <cell r="B6315" t="str">
            <v>Curva FG 90º macho  4" (134228)</v>
          </cell>
          <cell r="C6315" t="str">
            <v>ud</v>
          </cell>
          <cell r="D6315">
            <v>0</v>
          </cell>
          <cell r="E6315">
            <v>392.65</v>
          </cell>
          <cell r="F6315">
            <v>392.65</v>
          </cell>
          <cell r="G6315">
            <v>1800</v>
          </cell>
        </row>
        <row r="6316">
          <cell r="A6316" t="str">
            <v>230635</v>
          </cell>
          <cell r="B6316" t="str">
            <v>Curva FG 90º macho  6" (30473)</v>
          </cell>
          <cell r="C6316" t="str">
            <v>ud</v>
          </cell>
          <cell r="D6316">
            <v>0</v>
          </cell>
          <cell r="E6316">
            <v>982.17</v>
          </cell>
          <cell r="F6316">
            <v>982.17</v>
          </cell>
          <cell r="G6316">
            <v>1802</v>
          </cell>
        </row>
        <row r="6317">
          <cell r="A6317" t="str">
            <v>230636</v>
          </cell>
          <cell r="B6317" t="str">
            <v>Curva FG 45º macho / fêmea  1/4"</v>
          </cell>
          <cell r="C6317" t="str">
            <v>ud</v>
          </cell>
          <cell r="D6317">
            <v>0</v>
          </cell>
        </row>
        <row r="6318">
          <cell r="A6318" t="str">
            <v>230637</v>
          </cell>
          <cell r="B6318" t="str">
            <v>Curva FG 45º macho / fêmea  3/8"</v>
          </cell>
          <cell r="C6318" t="str">
            <v>ud</v>
          </cell>
          <cell r="D6318">
            <v>0</v>
          </cell>
        </row>
        <row r="6319">
          <cell r="A6319" t="str">
            <v>230638</v>
          </cell>
          <cell r="B6319" t="str">
            <v>Curva FG 45º macho / fêmea  1/2" (30279)</v>
          </cell>
          <cell r="C6319" t="str">
            <v>ud</v>
          </cell>
          <cell r="D6319">
            <v>0</v>
          </cell>
          <cell r="E6319">
            <v>8.26</v>
          </cell>
          <cell r="F6319">
            <v>8.26</v>
          </cell>
          <cell r="G6319">
            <v>1817</v>
          </cell>
        </row>
        <row r="6320">
          <cell r="A6320" t="str">
            <v>230639</v>
          </cell>
          <cell r="B6320" t="str">
            <v>Curva FG 45º macho / fêmea  3/4" (30287)</v>
          </cell>
          <cell r="C6320" t="str">
            <v>ud</v>
          </cell>
          <cell r="D6320">
            <v>0</v>
          </cell>
          <cell r="E6320">
            <v>11.88</v>
          </cell>
          <cell r="F6320">
            <v>11.88</v>
          </cell>
          <cell r="G6320">
            <v>1811</v>
          </cell>
        </row>
        <row r="6321">
          <cell r="A6321" t="str">
            <v>230640</v>
          </cell>
          <cell r="B6321" t="str">
            <v>Curva FG 45º macho / fêmea  1" (30295)</v>
          </cell>
          <cell r="C6321" t="str">
            <v>ud</v>
          </cell>
          <cell r="D6321">
            <v>0</v>
          </cell>
          <cell r="E6321">
            <v>18.059999999999999</v>
          </cell>
          <cell r="F6321">
            <v>18.059999999999999</v>
          </cell>
          <cell r="G6321">
            <v>1781</v>
          </cell>
        </row>
        <row r="6322">
          <cell r="A6322" t="str">
            <v>230641</v>
          </cell>
          <cell r="B6322" t="str">
            <v>Curva FG 45º macho / fêmea  1.1/2" (30317)</v>
          </cell>
          <cell r="C6322" t="str">
            <v>ud</v>
          </cell>
          <cell r="D6322">
            <v>0</v>
          </cell>
          <cell r="E6322">
            <v>27.72</v>
          </cell>
          <cell r="F6322">
            <v>27.72</v>
          </cell>
          <cell r="G6322">
            <v>1782</v>
          </cell>
        </row>
        <row r="6323">
          <cell r="A6323" t="str">
            <v>230642</v>
          </cell>
          <cell r="B6323" t="str">
            <v>Curva FG 45º macho / fêmea  1.1/4" (30309)</v>
          </cell>
          <cell r="C6323" t="str">
            <v>ud</v>
          </cell>
          <cell r="D6323">
            <v>0</v>
          </cell>
          <cell r="E6323">
            <v>35.06</v>
          </cell>
          <cell r="F6323">
            <v>35.06</v>
          </cell>
          <cell r="G6323">
            <v>1783</v>
          </cell>
        </row>
        <row r="6324">
          <cell r="A6324" t="str">
            <v>230643</v>
          </cell>
          <cell r="B6324" t="str">
            <v>Curva FG 45º macho / fêmea  2" (30325)</v>
          </cell>
          <cell r="C6324" t="str">
            <v>ud</v>
          </cell>
          <cell r="D6324">
            <v>0</v>
          </cell>
          <cell r="E6324">
            <v>54.92</v>
          </cell>
          <cell r="F6324">
            <v>54.92</v>
          </cell>
          <cell r="G6324">
            <v>1810</v>
          </cell>
        </row>
        <row r="6325">
          <cell r="A6325" t="str">
            <v>230644</v>
          </cell>
          <cell r="B6325" t="str">
            <v>Curva FG 45º macho / fêmea  2.1/2" (30333)</v>
          </cell>
          <cell r="C6325" t="str">
            <v>ud</v>
          </cell>
          <cell r="D6325">
            <v>0</v>
          </cell>
          <cell r="E6325">
            <v>99.02</v>
          </cell>
          <cell r="F6325">
            <v>99.02</v>
          </cell>
          <cell r="G6325">
            <v>1784</v>
          </cell>
        </row>
        <row r="6326">
          <cell r="A6326" t="str">
            <v>230645</v>
          </cell>
          <cell r="B6326" t="str">
            <v>Curva FG 45º macho / fêmea  3" (30341)</v>
          </cell>
          <cell r="C6326" t="str">
            <v>ud</v>
          </cell>
          <cell r="D6326">
            <v>0</v>
          </cell>
          <cell r="E6326">
            <v>138.63999999999999</v>
          </cell>
          <cell r="F6326">
            <v>138.63999999999999</v>
          </cell>
          <cell r="G6326">
            <v>1812</v>
          </cell>
        </row>
        <row r="6327">
          <cell r="A6327" t="str">
            <v>230646</v>
          </cell>
          <cell r="B6327" t="str">
            <v>Curva FG 90º macho / fêmea  1/4" (87920)</v>
          </cell>
          <cell r="C6327" t="str">
            <v>ud</v>
          </cell>
          <cell r="D6327">
            <v>0</v>
          </cell>
        </row>
        <row r="6328">
          <cell r="A6328" t="str">
            <v>230647</v>
          </cell>
          <cell r="B6328" t="str">
            <v>Curva FG 90º macho / fêmea  3/8"</v>
          </cell>
          <cell r="C6328" t="str">
            <v>ud</v>
          </cell>
          <cell r="D6328">
            <v>0</v>
          </cell>
        </row>
        <row r="6329">
          <cell r="A6329" t="str">
            <v>230648</v>
          </cell>
          <cell r="B6329" t="str">
            <v>Curva FG 90º macho / fêmea  1/2" (30376)</v>
          </cell>
          <cell r="C6329" t="str">
            <v>ud</v>
          </cell>
          <cell r="D6329">
            <v>0</v>
          </cell>
          <cell r="E6329">
            <v>8.5299999999999994</v>
          </cell>
          <cell r="F6329">
            <v>8.5299999999999994</v>
          </cell>
          <cell r="G6329">
            <v>1803</v>
          </cell>
        </row>
        <row r="6330">
          <cell r="A6330" t="str">
            <v>230649</v>
          </cell>
          <cell r="B6330" t="str">
            <v>Curva FG 90º macho / fêmea  3/4" (30384)</v>
          </cell>
          <cell r="C6330" t="str">
            <v>ud</v>
          </cell>
          <cell r="D6330">
            <v>0</v>
          </cell>
          <cell r="E6330">
            <v>12.15</v>
          </cell>
          <cell r="F6330">
            <v>12.15</v>
          </cell>
          <cell r="G6330">
            <v>1804</v>
          </cell>
        </row>
        <row r="6331">
          <cell r="A6331" t="str">
            <v>230650</v>
          </cell>
          <cell r="B6331" t="str">
            <v>Curva FG 90º macho / fêmea  1" (30392)</v>
          </cell>
          <cell r="C6331" t="str">
            <v>ud</v>
          </cell>
          <cell r="D6331">
            <v>0</v>
          </cell>
          <cell r="E6331">
            <v>19.600000000000001</v>
          </cell>
          <cell r="F6331">
            <v>19.600000000000001</v>
          </cell>
          <cell r="G6331">
            <v>1805</v>
          </cell>
        </row>
        <row r="6332">
          <cell r="A6332" t="str">
            <v>230651</v>
          </cell>
          <cell r="B6332" t="str">
            <v>Curva FG 90º macho / fêmea  1.1/4" (30406)</v>
          </cell>
          <cell r="C6332" t="str">
            <v>ud</v>
          </cell>
          <cell r="D6332">
            <v>0</v>
          </cell>
          <cell r="E6332">
            <v>33.78</v>
          </cell>
          <cell r="F6332">
            <v>33.78</v>
          </cell>
          <cell r="G6332">
            <v>1814</v>
          </cell>
        </row>
        <row r="6333">
          <cell r="A6333" t="str">
            <v>230652</v>
          </cell>
          <cell r="B6333" t="str">
            <v>Curva FG 90º macho / fêmea  1.1/2" (30414)</v>
          </cell>
          <cell r="C6333" t="str">
            <v>ud</v>
          </cell>
          <cell r="D6333">
            <v>0</v>
          </cell>
          <cell r="E6333">
            <v>41.12</v>
          </cell>
          <cell r="F6333">
            <v>41.12</v>
          </cell>
          <cell r="G6333">
            <v>1809</v>
          </cell>
        </row>
        <row r="6334">
          <cell r="A6334" t="str">
            <v>230653</v>
          </cell>
          <cell r="B6334" t="str">
            <v>Curva FG 90º macho / fêmea  2" (30422)</v>
          </cell>
          <cell r="C6334" t="str">
            <v>ud</v>
          </cell>
          <cell r="D6334">
            <v>0</v>
          </cell>
          <cell r="E6334">
            <v>68.930000000000007</v>
          </cell>
          <cell r="F6334">
            <v>68.930000000000007</v>
          </cell>
          <cell r="G6334">
            <v>1806</v>
          </cell>
        </row>
        <row r="6335">
          <cell r="A6335" t="str">
            <v>230654</v>
          </cell>
          <cell r="B6335" t="str">
            <v>Curva FG 90º macho / fêmea  2.1/2" (30430)</v>
          </cell>
          <cell r="C6335" t="str">
            <v>ud</v>
          </cell>
          <cell r="D6335">
            <v>0</v>
          </cell>
          <cell r="E6335">
            <v>115.81</v>
          </cell>
          <cell r="F6335">
            <v>115.81</v>
          </cell>
          <cell r="G6335">
            <v>1821</v>
          </cell>
        </row>
        <row r="6336">
          <cell r="A6336" t="str">
            <v>230655</v>
          </cell>
          <cell r="B6336" t="str">
            <v>Curva FG 90º macho / fêmea  3" (30449)</v>
          </cell>
          <cell r="C6336" t="str">
            <v>ud</v>
          </cell>
          <cell r="D6336">
            <v>0</v>
          </cell>
          <cell r="E6336">
            <v>165.63</v>
          </cell>
          <cell r="F6336">
            <v>165.63</v>
          </cell>
          <cell r="G6336">
            <v>1807</v>
          </cell>
        </row>
        <row r="6337">
          <cell r="A6337" t="str">
            <v>230656</v>
          </cell>
          <cell r="B6337" t="str">
            <v>Curva FG 90º macho / fêmea  4" (30457)</v>
          </cell>
          <cell r="C6337" t="str">
            <v>ud</v>
          </cell>
          <cell r="D6337">
            <v>0</v>
          </cell>
          <cell r="E6337">
            <v>332.06</v>
          </cell>
          <cell r="F6337">
            <v>332.06</v>
          </cell>
          <cell r="G6337">
            <v>1808</v>
          </cell>
        </row>
        <row r="6338">
          <cell r="A6338" t="str">
            <v>230657</v>
          </cell>
          <cell r="B6338" t="str">
            <v>Curva FG 90º macho / fêmea raio curto   1/4"</v>
          </cell>
          <cell r="C6338" t="str">
            <v>ud</v>
          </cell>
          <cell r="D6338">
            <v>0</v>
          </cell>
        </row>
        <row r="6339">
          <cell r="A6339" t="str">
            <v>230658</v>
          </cell>
          <cell r="B6339" t="str">
            <v>Curva FG 90º macho / fêmea raio curto   3/8"</v>
          </cell>
          <cell r="C6339" t="str">
            <v>ud</v>
          </cell>
          <cell r="D6339">
            <v>0</v>
          </cell>
        </row>
        <row r="6340">
          <cell r="A6340" t="str">
            <v>230659</v>
          </cell>
          <cell r="B6340" t="str">
            <v>Curva FG 90º macho / fêmea raio curto   1/2"</v>
          </cell>
          <cell r="C6340" t="str">
            <v>ud</v>
          </cell>
          <cell r="D6340">
            <v>0</v>
          </cell>
        </row>
        <row r="6341">
          <cell r="A6341" t="str">
            <v>230660</v>
          </cell>
          <cell r="B6341" t="str">
            <v>Curva FG 90º macho / fêmea raio curto   3/4"</v>
          </cell>
          <cell r="C6341" t="str">
            <v>ud</v>
          </cell>
          <cell r="D6341">
            <v>0</v>
          </cell>
        </row>
        <row r="6342">
          <cell r="A6342" t="str">
            <v>230661</v>
          </cell>
          <cell r="B6342" t="str">
            <v>Curva FG 90º macho / fêmea raio curto   1"</v>
          </cell>
          <cell r="C6342" t="str">
            <v>ud</v>
          </cell>
          <cell r="D6342">
            <v>0</v>
          </cell>
        </row>
        <row r="6343">
          <cell r="A6343" t="str">
            <v>230662</v>
          </cell>
          <cell r="B6343" t="str">
            <v>Curva FG 90º macho / fêmea raio curto   1.1/4"</v>
          </cell>
          <cell r="C6343" t="str">
            <v>ud</v>
          </cell>
          <cell r="D6343">
            <v>0</v>
          </cell>
        </row>
        <row r="6344">
          <cell r="A6344" t="str">
            <v>230663</v>
          </cell>
          <cell r="B6344" t="str">
            <v>Curva FG 90º macho / fêmea raio curto   1.1/2"</v>
          </cell>
          <cell r="C6344" t="str">
            <v>ud</v>
          </cell>
          <cell r="D6344">
            <v>0</v>
          </cell>
        </row>
        <row r="6345">
          <cell r="A6345" t="str">
            <v>230664</v>
          </cell>
          <cell r="B6345" t="str">
            <v>Curva de retorno FG  1/2"</v>
          </cell>
          <cell r="C6345" t="str">
            <v>ud</v>
          </cell>
          <cell r="D6345">
            <v>0</v>
          </cell>
        </row>
        <row r="6346">
          <cell r="A6346" t="str">
            <v>230665</v>
          </cell>
          <cell r="B6346" t="str">
            <v>Curva de retorno FG  3/4"</v>
          </cell>
          <cell r="C6346" t="str">
            <v>ud</v>
          </cell>
          <cell r="D6346">
            <v>0</v>
          </cell>
        </row>
        <row r="6347">
          <cell r="A6347" t="str">
            <v>230666</v>
          </cell>
          <cell r="B6347" t="str">
            <v>Curva de retorno FG  1"</v>
          </cell>
          <cell r="C6347" t="str">
            <v>ud</v>
          </cell>
          <cell r="D6347">
            <v>0</v>
          </cell>
        </row>
        <row r="6348">
          <cell r="A6348" t="str">
            <v>230667</v>
          </cell>
          <cell r="B6348" t="str">
            <v>Curva de retorno FG  1.1/4"</v>
          </cell>
          <cell r="C6348" t="str">
            <v>ud</v>
          </cell>
          <cell r="D6348">
            <v>0</v>
          </cell>
        </row>
        <row r="6349">
          <cell r="A6349" t="str">
            <v>230668</v>
          </cell>
          <cell r="B6349" t="str">
            <v>Curva de retorno FG  1.1/2"</v>
          </cell>
          <cell r="C6349" t="str">
            <v>ud</v>
          </cell>
          <cell r="D6349">
            <v>0</v>
          </cell>
        </row>
        <row r="6350">
          <cell r="A6350" t="str">
            <v>230669</v>
          </cell>
          <cell r="B6350" t="str">
            <v>Curva de retorno FG  2"</v>
          </cell>
          <cell r="C6350" t="str">
            <v>ud</v>
          </cell>
          <cell r="D6350">
            <v>0</v>
          </cell>
        </row>
        <row r="6351">
          <cell r="A6351" t="str">
            <v>230670</v>
          </cell>
          <cell r="B6351" t="str">
            <v>Curva de transposiç¦o FG  1/2"  1/2"</v>
          </cell>
          <cell r="C6351" t="str">
            <v>ud</v>
          </cell>
          <cell r="D6351">
            <v>0</v>
          </cell>
        </row>
        <row r="6352">
          <cell r="A6352" t="str">
            <v>230671</v>
          </cell>
          <cell r="B6352" t="str">
            <v>Curva de transposiç¦o FG  1/2"  1"</v>
          </cell>
          <cell r="C6352" t="str">
            <v>ud</v>
          </cell>
          <cell r="D6352">
            <v>0</v>
          </cell>
        </row>
        <row r="6353">
          <cell r="A6353" t="str">
            <v>230672</v>
          </cell>
          <cell r="B6353" t="str">
            <v>Curva de transposiç¦o FG  1/2"  1.1/2"</v>
          </cell>
          <cell r="C6353" t="str">
            <v>ud</v>
          </cell>
          <cell r="D6353">
            <v>0</v>
          </cell>
        </row>
        <row r="6354">
          <cell r="A6354" t="str">
            <v>230673</v>
          </cell>
          <cell r="B6354" t="str">
            <v>Curva de transposiç¦o FG  3/4"  3/4"</v>
          </cell>
          <cell r="C6354" t="str">
            <v>ud</v>
          </cell>
          <cell r="D6354">
            <v>0</v>
          </cell>
        </row>
        <row r="6355">
          <cell r="A6355" t="str">
            <v>230674</v>
          </cell>
          <cell r="B6355" t="str">
            <v>Curva de transposiç¦o FG  3/4"  1"</v>
          </cell>
          <cell r="C6355" t="str">
            <v>ud</v>
          </cell>
          <cell r="D6355">
            <v>0</v>
          </cell>
        </row>
        <row r="6356">
          <cell r="A6356" t="str">
            <v>230675</v>
          </cell>
          <cell r="B6356" t="str">
            <v>Curva de transposiç¦o FG  3/4"  1.1/2"</v>
          </cell>
          <cell r="C6356" t="str">
            <v>ud</v>
          </cell>
          <cell r="D6356">
            <v>0</v>
          </cell>
        </row>
        <row r="6357">
          <cell r="A6357" t="str">
            <v>230676</v>
          </cell>
          <cell r="B6357" t="str">
            <v>Curva de transposiç¦o FG   1"    1.1/2"</v>
          </cell>
          <cell r="C6357" t="str">
            <v>ud</v>
          </cell>
          <cell r="D6357">
            <v>0</v>
          </cell>
        </row>
        <row r="6358">
          <cell r="A6358" t="str">
            <v>2307</v>
          </cell>
          <cell r="B6358" t="str">
            <v>FLANGE FG</v>
          </cell>
        </row>
        <row r="6359">
          <cell r="A6359" t="str">
            <v>230701</v>
          </cell>
          <cell r="B6359" t="str">
            <v>Flange c/ sextavado FG  1/4"</v>
          </cell>
          <cell r="C6359" t="str">
            <v>ud</v>
          </cell>
          <cell r="D6359">
            <v>0</v>
          </cell>
        </row>
        <row r="6360">
          <cell r="A6360" t="str">
            <v>230702</v>
          </cell>
          <cell r="B6360" t="str">
            <v>Flange c/ sextavado FG  3/8"</v>
          </cell>
          <cell r="C6360" t="str">
            <v>ud</v>
          </cell>
          <cell r="D6360">
            <v>0</v>
          </cell>
        </row>
        <row r="6361">
          <cell r="A6361" t="str">
            <v>230703</v>
          </cell>
          <cell r="B6361" t="str">
            <v>Flange c/ sextavado FG  1/2" (57711)</v>
          </cell>
          <cell r="C6361" t="str">
            <v>ud</v>
          </cell>
          <cell r="D6361">
            <v>0</v>
          </cell>
          <cell r="E6361">
            <v>10.16</v>
          </cell>
          <cell r="F6361">
            <v>10.16</v>
          </cell>
          <cell r="G6361">
            <v>3262</v>
          </cell>
        </row>
        <row r="6362">
          <cell r="A6362" t="str">
            <v>230704</v>
          </cell>
          <cell r="B6362" t="str">
            <v>Flange c/ sextavado FG  3/4" (30490)</v>
          </cell>
          <cell r="C6362" t="str">
            <v>ud</v>
          </cell>
          <cell r="D6362">
            <v>0</v>
          </cell>
          <cell r="E6362">
            <v>13.88</v>
          </cell>
          <cell r="F6362">
            <v>13.88</v>
          </cell>
          <cell r="G6362">
            <v>3263</v>
          </cell>
        </row>
        <row r="6363">
          <cell r="A6363" t="str">
            <v>230705</v>
          </cell>
          <cell r="B6363" t="str">
            <v>Flange c/ sextavado FG  1" (30503)</v>
          </cell>
          <cell r="C6363" t="str">
            <v>ud</v>
          </cell>
          <cell r="D6363">
            <v>0</v>
          </cell>
          <cell r="E6363">
            <v>16.690000000000001</v>
          </cell>
          <cell r="F6363">
            <v>16.690000000000001</v>
          </cell>
          <cell r="G6363">
            <v>3264</v>
          </cell>
        </row>
        <row r="6364">
          <cell r="A6364" t="str">
            <v>230706</v>
          </cell>
          <cell r="B6364" t="str">
            <v>Flange c/ sextavado FG  1.1/4" (30511)</v>
          </cell>
          <cell r="C6364" t="str">
            <v>ud</v>
          </cell>
          <cell r="D6364">
            <v>0</v>
          </cell>
          <cell r="E6364">
            <v>23.22</v>
          </cell>
          <cell r="F6364">
            <v>23.22</v>
          </cell>
          <cell r="G6364">
            <v>3265</v>
          </cell>
        </row>
        <row r="6365">
          <cell r="A6365" t="str">
            <v>230707</v>
          </cell>
          <cell r="B6365" t="str">
            <v>Flange c/ sextavado FG  1.1/2" (30520)</v>
          </cell>
          <cell r="C6365" t="str">
            <v>ud</v>
          </cell>
          <cell r="D6365">
            <v>0</v>
          </cell>
          <cell r="E6365">
            <v>29.22</v>
          </cell>
          <cell r="F6365">
            <v>29.22</v>
          </cell>
          <cell r="G6365">
            <v>3272</v>
          </cell>
        </row>
        <row r="6366">
          <cell r="A6366" t="str">
            <v>230708</v>
          </cell>
          <cell r="B6366" t="str">
            <v>Flange c/ sextavado FG  2" (30538)</v>
          </cell>
          <cell r="C6366" t="str">
            <v>ud</v>
          </cell>
          <cell r="D6366">
            <v>0</v>
          </cell>
          <cell r="E6366">
            <v>34.69</v>
          </cell>
          <cell r="F6366">
            <v>34.69</v>
          </cell>
          <cell r="G6366">
            <v>3266</v>
          </cell>
        </row>
        <row r="6367">
          <cell r="A6367" t="str">
            <v>230709</v>
          </cell>
          <cell r="B6367" t="str">
            <v>Flange c/ sextavado FG  2.1/2" (30546)</v>
          </cell>
          <cell r="C6367" t="str">
            <v>ud</v>
          </cell>
          <cell r="D6367">
            <v>0</v>
          </cell>
          <cell r="E6367">
            <v>54.52</v>
          </cell>
          <cell r="F6367">
            <v>54.52</v>
          </cell>
          <cell r="G6367">
            <v>3267</v>
          </cell>
        </row>
        <row r="6368">
          <cell r="A6368" t="str">
            <v>230710</v>
          </cell>
          <cell r="B6368" t="str">
            <v>Flange c/ sextavado FG  3" (30554)</v>
          </cell>
          <cell r="C6368" t="str">
            <v>ud</v>
          </cell>
          <cell r="D6368">
            <v>0</v>
          </cell>
          <cell r="E6368">
            <v>73.72</v>
          </cell>
          <cell r="F6368">
            <v>73.72</v>
          </cell>
          <cell r="G6368">
            <v>3268</v>
          </cell>
        </row>
        <row r="6369">
          <cell r="A6369" t="str">
            <v>230711</v>
          </cell>
          <cell r="B6369" t="str">
            <v>Flange c/ sextavado FG  4" (30562)</v>
          </cell>
          <cell r="C6369" t="str">
            <v>ud</v>
          </cell>
          <cell r="D6369">
            <v>0</v>
          </cell>
          <cell r="E6369">
            <v>108.98</v>
          </cell>
          <cell r="F6369">
            <v>108.98</v>
          </cell>
          <cell r="G6369">
            <v>3271</v>
          </cell>
        </row>
        <row r="6370">
          <cell r="A6370" t="str">
            <v>230712</v>
          </cell>
          <cell r="B6370" t="str">
            <v>Flange c/ sextavado FG  5" (30570)</v>
          </cell>
          <cell r="C6370" t="str">
            <v>ud</v>
          </cell>
          <cell r="D6370">
            <v>0</v>
          </cell>
        </row>
        <row r="6371">
          <cell r="A6371" t="str">
            <v>230713</v>
          </cell>
          <cell r="B6371" t="str">
            <v>Flange c/ sextavado FG  6" (30589)</v>
          </cell>
          <cell r="C6371" t="str">
            <v>ud</v>
          </cell>
          <cell r="D6371">
            <v>0</v>
          </cell>
          <cell r="E6371">
            <v>183.1</v>
          </cell>
          <cell r="F6371">
            <v>183.1</v>
          </cell>
          <cell r="G6371">
            <v>3270</v>
          </cell>
        </row>
        <row r="6372">
          <cell r="A6372" t="str">
            <v>230714</v>
          </cell>
          <cell r="B6372" t="str">
            <v>Flange p/ entrada e saída de cx d'água FG  1/2" (57711)</v>
          </cell>
          <cell r="C6372" t="str">
            <v>ud</v>
          </cell>
          <cell r="D6372">
            <v>0</v>
          </cell>
        </row>
        <row r="6373">
          <cell r="A6373" t="str">
            <v>230715</v>
          </cell>
          <cell r="B6373" t="str">
            <v>Flange p/ entrada e saída de cx d'água FG  3/4" (30490)</v>
          </cell>
          <cell r="C6373" t="str">
            <v>ud</v>
          </cell>
          <cell r="D6373">
            <v>0</v>
          </cell>
        </row>
        <row r="6374">
          <cell r="A6374" t="str">
            <v>230716</v>
          </cell>
          <cell r="B6374" t="str">
            <v>Flange p/ entrada e saída de cx d'água FG  1" (30503)</v>
          </cell>
          <cell r="C6374" t="str">
            <v>ud</v>
          </cell>
          <cell r="D6374">
            <v>0</v>
          </cell>
        </row>
        <row r="6375">
          <cell r="A6375" t="str">
            <v>230717</v>
          </cell>
          <cell r="B6375" t="str">
            <v>Flange p/ entrada e saída de cx d'água FG  1.1/4" (30511)</v>
          </cell>
          <cell r="C6375" t="str">
            <v>ud</v>
          </cell>
          <cell r="D6375">
            <v>0</v>
          </cell>
        </row>
        <row r="6376">
          <cell r="A6376" t="str">
            <v>230718</v>
          </cell>
          <cell r="B6376" t="str">
            <v>Flange p/ entrada e saída de cx d'água FG  1.1/2" (30520)</v>
          </cell>
          <cell r="C6376" t="str">
            <v>ud</v>
          </cell>
          <cell r="D6376">
            <v>0</v>
          </cell>
        </row>
        <row r="6377">
          <cell r="A6377" t="str">
            <v>2308</v>
          </cell>
          <cell r="B6377" t="str">
            <v>LUVA FG</v>
          </cell>
        </row>
        <row r="6378">
          <cell r="A6378" t="str">
            <v>230801</v>
          </cell>
          <cell r="B6378" t="str">
            <v>Luva FG  1/4" (30724)</v>
          </cell>
          <cell r="C6378" t="str">
            <v>ud</v>
          </cell>
          <cell r="D6378">
            <v>0</v>
          </cell>
        </row>
        <row r="6379">
          <cell r="A6379" t="str">
            <v>230802</v>
          </cell>
          <cell r="B6379" t="str">
            <v>Luva FG  3/8" (30732)</v>
          </cell>
          <cell r="C6379" t="str">
            <v>ud</v>
          </cell>
          <cell r="D6379">
            <v>0</v>
          </cell>
        </row>
        <row r="6380">
          <cell r="A6380" t="str">
            <v>230803</v>
          </cell>
          <cell r="B6380" t="str">
            <v>Luva FG  1/2" (30740)</v>
          </cell>
          <cell r="C6380" t="str">
            <v>ud</v>
          </cell>
          <cell r="D6380">
            <v>0</v>
          </cell>
          <cell r="E6380">
            <v>3.35</v>
          </cell>
          <cell r="F6380">
            <v>3.35</v>
          </cell>
          <cell r="G6380">
            <v>3908</v>
          </cell>
        </row>
        <row r="6381">
          <cell r="A6381" t="str">
            <v>230804</v>
          </cell>
          <cell r="B6381" t="str">
            <v>Luva FG  3/4" (30759)</v>
          </cell>
          <cell r="C6381" t="str">
            <v>ud</v>
          </cell>
          <cell r="D6381">
            <v>0</v>
          </cell>
          <cell r="E6381">
            <v>4.55</v>
          </cell>
          <cell r="F6381">
            <v>4.55</v>
          </cell>
          <cell r="G6381">
            <v>3909</v>
          </cell>
        </row>
        <row r="6382">
          <cell r="A6382" t="str">
            <v>230805</v>
          </cell>
          <cell r="B6382" t="str">
            <v>Luva FG  1" (30767)</v>
          </cell>
          <cell r="C6382" t="str">
            <v>ud</v>
          </cell>
          <cell r="D6382">
            <v>0</v>
          </cell>
          <cell r="E6382">
            <v>7.41</v>
          </cell>
          <cell r="F6382">
            <v>7.41</v>
          </cell>
          <cell r="G6382">
            <v>3910</v>
          </cell>
        </row>
        <row r="6383">
          <cell r="A6383" t="str">
            <v>230806</v>
          </cell>
          <cell r="B6383" t="str">
            <v>Luva FG  1.1/4" (30775)</v>
          </cell>
          <cell r="C6383" t="str">
            <v>ud</v>
          </cell>
          <cell r="D6383">
            <v>0</v>
          </cell>
          <cell r="E6383">
            <v>10.35</v>
          </cell>
          <cell r="F6383">
            <v>10.35</v>
          </cell>
          <cell r="G6383">
            <v>3911</v>
          </cell>
        </row>
        <row r="6384">
          <cell r="A6384" t="str">
            <v>230807</v>
          </cell>
          <cell r="B6384" t="str">
            <v>Luva FG  1.1/2" (30783)</v>
          </cell>
          <cell r="C6384" t="str">
            <v>ud</v>
          </cell>
          <cell r="D6384">
            <v>0</v>
          </cell>
          <cell r="E6384">
            <v>12.67</v>
          </cell>
          <cell r="F6384">
            <v>12.67</v>
          </cell>
          <cell r="G6384">
            <v>3939</v>
          </cell>
        </row>
        <row r="6385">
          <cell r="A6385" t="str">
            <v>230808</v>
          </cell>
          <cell r="B6385" t="str">
            <v>Luva FG  2" (30791)</v>
          </cell>
          <cell r="C6385" t="str">
            <v>ud</v>
          </cell>
          <cell r="D6385">
            <v>0</v>
          </cell>
          <cell r="E6385">
            <v>19.41</v>
          </cell>
          <cell r="F6385">
            <v>19.41</v>
          </cell>
          <cell r="G6385">
            <v>3912</v>
          </cell>
        </row>
        <row r="6386">
          <cell r="A6386" t="str">
            <v>230809</v>
          </cell>
          <cell r="B6386" t="str">
            <v>Luva FG  2.1/2" (30805)</v>
          </cell>
          <cell r="C6386" t="str">
            <v>ud</v>
          </cell>
          <cell r="D6386">
            <v>0</v>
          </cell>
          <cell r="E6386">
            <v>35.409999999999997</v>
          </cell>
          <cell r="F6386">
            <v>35.409999999999997</v>
          </cell>
          <cell r="G6386">
            <v>3913</v>
          </cell>
        </row>
        <row r="6387">
          <cell r="A6387" t="str">
            <v>230810</v>
          </cell>
          <cell r="B6387" t="str">
            <v>Luva FG  3" (30813)</v>
          </cell>
          <cell r="C6387" t="str">
            <v>ud</v>
          </cell>
          <cell r="D6387">
            <v>0</v>
          </cell>
          <cell r="E6387">
            <v>53.42</v>
          </cell>
          <cell r="F6387">
            <v>53.42</v>
          </cell>
          <cell r="G6387">
            <v>3914</v>
          </cell>
        </row>
        <row r="6388">
          <cell r="A6388" t="str">
            <v>230811</v>
          </cell>
          <cell r="B6388" t="str">
            <v>Luva FG  4' (30821)</v>
          </cell>
          <cell r="C6388" t="str">
            <v>ud</v>
          </cell>
          <cell r="D6388">
            <v>0</v>
          </cell>
          <cell r="E6388">
            <v>84.24</v>
          </cell>
          <cell r="F6388">
            <v>84.24</v>
          </cell>
          <cell r="G6388">
            <v>3915</v>
          </cell>
        </row>
        <row r="6389">
          <cell r="A6389" t="str">
            <v>230812</v>
          </cell>
          <cell r="B6389" t="str">
            <v>Luva FG  5" (30830)</v>
          </cell>
          <cell r="C6389" t="str">
            <v>ud</v>
          </cell>
          <cell r="D6389">
            <v>0</v>
          </cell>
          <cell r="E6389">
            <v>153.47999999999999</v>
          </cell>
          <cell r="F6389">
            <v>153.47999999999999</v>
          </cell>
          <cell r="G6389">
            <v>3916</v>
          </cell>
        </row>
        <row r="6390">
          <cell r="A6390" t="str">
            <v>230813</v>
          </cell>
          <cell r="B6390" t="str">
            <v>Luva FG  6" (30848)</v>
          </cell>
          <cell r="C6390" t="str">
            <v>ud</v>
          </cell>
          <cell r="D6390">
            <v>0</v>
          </cell>
          <cell r="E6390">
            <v>253.15</v>
          </cell>
          <cell r="F6390">
            <v>253.15</v>
          </cell>
          <cell r="G6390">
            <v>3917</v>
          </cell>
        </row>
        <row r="6391">
          <cell r="A6391" t="str">
            <v>230814</v>
          </cell>
          <cell r="B6391" t="str">
            <v>Luva FG macho / fêmea   1/4"</v>
          </cell>
          <cell r="C6391" t="str">
            <v>ud</v>
          </cell>
          <cell r="D6391">
            <v>0</v>
          </cell>
        </row>
        <row r="6392">
          <cell r="A6392" t="str">
            <v>230815</v>
          </cell>
          <cell r="B6392" t="str">
            <v>Luva FG macho / fêmea   3/8"</v>
          </cell>
          <cell r="C6392" t="str">
            <v>ud</v>
          </cell>
          <cell r="D6392">
            <v>0</v>
          </cell>
        </row>
        <row r="6393">
          <cell r="A6393" t="str">
            <v>230816</v>
          </cell>
          <cell r="B6393" t="str">
            <v>Luva FG macho / fêmea   1/2"</v>
          </cell>
          <cell r="C6393" t="str">
            <v>ud</v>
          </cell>
          <cell r="D6393">
            <v>0</v>
          </cell>
        </row>
        <row r="6394">
          <cell r="A6394" t="str">
            <v>230817</v>
          </cell>
          <cell r="B6394" t="str">
            <v>Luva FG macho / fêmea   3/4"</v>
          </cell>
          <cell r="C6394" t="str">
            <v>ud</v>
          </cell>
          <cell r="D6394">
            <v>0</v>
          </cell>
          <cell r="E6394">
            <v>6.15</v>
          </cell>
          <cell r="F6394">
            <v>6.15</v>
          </cell>
          <cell r="G6394">
            <v>12404</v>
          </cell>
        </row>
        <row r="6395">
          <cell r="A6395" t="str">
            <v>230818</v>
          </cell>
          <cell r="B6395" t="str">
            <v>Luva FG macho / fêmea   1"</v>
          </cell>
          <cell r="C6395" t="str">
            <v>ud</v>
          </cell>
          <cell r="D6395">
            <v>0</v>
          </cell>
        </row>
        <row r="6396">
          <cell r="A6396" t="str">
            <v>230819</v>
          </cell>
          <cell r="B6396" t="str">
            <v>Luva FG macho / fêmea   1.1/4"</v>
          </cell>
          <cell r="C6396" t="str">
            <v>ud</v>
          </cell>
          <cell r="D6396">
            <v>0</v>
          </cell>
        </row>
        <row r="6397">
          <cell r="A6397" t="str">
            <v>230820</v>
          </cell>
          <cell r="B6397" t="str">
            <v>Luva FG macho / fêmea alongada   1/2"</v>
          </cell>
          <cell r="C6397" t="str">
            <v>ud</v>
          </cell>
          <cell r="D6397">
            <v>0</v>
          </cell>
        </row>
        <row r="6398">
          <cell r="A6398" t="str">
            <v>230821</v>
          </cell>
          <cell r="B6398" t="str">
            <v>Luva FG macho / fêmea  alongada   3/4"</v>
          </cell>
          <cell r="C6398" t="str">
            <v>ud</v>
          </cell>
          <cell r="D6398">
            <v>0</v>
          </cell>
        </row>
        <row r="6399">
          <cell r="A6399" t="str">
            <v>230822</v>
          </cell>
          <cell r="B6399" t="str">
            <v>Luva red  FG   3/8"    1/4" (98370)</v>
          </cell>
          <cell r="C6399" t="str">
            <v>ud</v>
          </cell>
          <cell r="D6399">
            <v>0</v>
          </cell>
        </row>
        <row r="6400">
          <cell r="A6400" t="str">
            <v>230823</v>
          </cell>
          <cell r="B6400" t="str">
            <v>Luva red  FG   1/2"    1/4" (31089)</v>
          </cell>
          <cell r="C6400" t="str">
            <v>ud</v>
          </cell>
          <cell r="D6400">
            <v>0</v>
          </cell>
        </row>
        <row r="6401">
          <cell r="A6401" t="str">
            <v>230824</v>
          </cell>
          <cell r="B6401" t="str">
            <v>Luva red  FG   1/2"    3/8" (71579)</v>
          </cell>
          <cell r="C6401" t="str">
            <v>ud</v>
          </cell>
          <cell r="D6401">
            <v>0</v>
          </cell>
        </row>
        <row r="6402">
          <cell r="A6402" t="str">
            <v>230825</v>
          </cell>
          <cell r="B6402" t="str">
            <v>Luva red  FG   3/4"    3/8"</v>
          </cell>
          <cell r="C6402" t="str">
            <v>ud</v>
          </cell>
          <cell r="D6402">
            <v>0</v>
          </cell>
        </row>
        <row r="6403">
          <cell r="A6403" t="str">
            <v>230826</v>
          </cell>
          <cell r="B6403" t="str">
            <v>Luva red  FG   3/4"    1/2" (31100)</v>
          </cell>
          <cell r="C6403" t="str">
            <v>ud</v>
          </cell>
          <cell r="D6403">
            <v>0</v>
          </cell>
          <cell r="E6403">
            <v>5.29</v>
          </cell>
          <cell r="F6403">
            <v>5.29</v>
          </cell>
          <cell r="G6403">
            <v>12406</v>
          </cell>
        </row>
        <row r="6404">
          <cell r="A6404" t="str">
            <v>230827</v>
          </cell>
          <cell r="B6404" t="str">
            <v>Luva red  FG    1"      1/2" (31127)</v>
          </cell>
          <cell r="C6404" t="str">
            <v>ud</v>
          </cell>
          <cell r="D6404">
            <v>0</v>
          </cell>
          <cell r="E6404">
            <v>7.32</v>
          </cell>
          <cell r="F6404">
            <v>7.32</v>
          </cell>
          <cell r="G6404">
            <v>3938</v>
          </cell>
        </row>
        <row r="6405">
          <cell r="A6405" t="str">
            <v>230828</v>
          </cell>
          <cell r="B6405" t="str">
            <v>Luva red  FG    1"      3/4" (31135)</v>
          </cell>
          <cell r="C6405" t="str">
            <v>ud</v>
          </cell>
          <cell r="D6405">
            <v>0</v>
          </cell>
          <cell r="E6405">
            <v>7.46</v>
          </cell>
          <cell r="F6405">
            <v>7.46</v>
          </cell>
          <cell r="G6405">
            <v>3919</v>
          </cell>
        </row>
        <row r="6406">
          <cell r="A6406" t="str">
            <v>230829</v>
          </cell>
          <cell r="B6406" t="str">
            <v>Luva red  FG 1.1/4"   1/2" (31143)</v>
          </cell>
          <cell r="C6406" t="str">
            <v>ud</v>
          </cell>
          <cell r="D6406">
            <v>0</v>
          </cell>
          <cell r="E6406">
            <v>11.1</v>
          </cell>
          <cell r="F6406">
            <v>11.1</v>
          </cell>
          <cell r="G6406">
            <v>3937</v>
          </cell>
        </row>
        <row r="6407">
          <cell r="A6407" t="str">
            <v>230830</v>
          </cell>
          <cell r="B6407" t="str">
            <v>Luva red  FG 1.1/4"   3/4" (31151)</v>
          </cell>
          <cell r="C6407" t="str">
            <v>ud</v>
          </cell>
          <cell r="D6407">
            <v>0</v>
          </cell>
          <cell r="E6407">
            <v>11.1</v>
          </cell>
          <cell r="F6407">
            <v>11.1</v>
          </cell>
          <cell r="G6407">
            <v>3920</v>
          </cell>
        </row>
        <row r="6408">
          <cell r="A6408" t="str">
            <v>230831</v>
          </cell>
          <cell r="B6408" t="str">
            <v>Luva red  FG 1.1/4"   1" (31160)</v>
          </cell>
          <cell r="C6408" t="str">
            <v>ud</v>
          </cell>
          <cell r="D6408">
            <v>0</v>
          </cell>
          <cell r="E6408">
            <v>11.11</v>
          </cell>
          <cell r="F6408">
            <v>11.11</v>
          </cell>
          <cell r="G6408">
            <v>3921</v>
          </cell>
        </row>
        <row r="6409">
          <cell r="A6409" t="str">
            <v>230832</v>
          </cell>
          <cell r="B6409" t="str">
            <v>Luva red  FG 1.1/2"   3/4" (31186)</v>
          </cell>
          <cell r="C6409" t="str">
            <v>ud</v>
          </cell>
          <cell r="D6409">
            <v>0</v>
          </cell>
          <cell r="E6409">
            <v>13.46</v>
          </cell>
          <cell r="F6409">
            <v>13.46</v>
          </cell>
          <cell r="G6409">
            <v>3923</v>
          </cell>
        </row>
        <row r="6410">
          <cell r="A6410" t="str">
            <v>230833</v>
          </cell>
          <cell r="B6410" t="str">
            <v>Luva red  FG 1.1/2"   1" (31194)</v>
          </cell>
          <cell r="C6410" t="str">
            <v>ud</v>
          </cell>
          <cell r="D6410">
            <v>0</v>
          </cell>
          <cell r="E6410">
            <v>13.46</v>
          </cell>
          <cell r="F6410">
            <v>13.46</v>
          </cell>
          <cell r="G6410">
            <v>3924</v>
          </cell>
        </row>
        <row r="6411">
          <cell r="A6411" t="str">
            <v>230834</v>
          </cell>
          <cell r="B6411" t="str">
            <v>Luva red  FG 1.1/2"   1.1/4" (31208)</v>
          </cell>
          <cell r="C6411" t="str">
            <v>ud</v>
          </cell>
          <cell r="D6411">
            <v>0</v>
          </cell>
          <cell r="E6411">
            <v>13.46</v>
          </cell>
          <cell r="F6411">
            <v>13.46</v>
          </cell>
          <cell r="G6411">
            <v>3936</v>
          </cell>
        </row>
        <row r="6412">
          <cell r="A6412" t="str">
            <v>230835</v>
          </cell>
          <cell r="B6412" t="str">
            <v>Luva red  FG    2"      1" (31232)</v>
          </cell>
          <cell r="C6412" t="str">
            <v>ud</v>
          </cell>
          <cell r="D6412">
            <v>0</v>
          </cell>
          <cell r="E6412">
            <v>21.55</v>
          </cell>
          <cell r="F6412">
            <v>21.55</v>
          </cell>
          <cell r="G6412">
            <v>3925</v>
          </cell>
        </row>
        <row r="6413">
          <cell r="A6413" t="str">
            <v>230836</v>
          </cell>
          <cell r="B6413" t="str">
            <v>Luva red  FG    2"      1.1/4" (31240)</v>
          </cell>
          <cell r="C6413" t="str">
            <v>ud</v>
          </cell>
          <cell r="D6413">
            <v>0</v>
          </cell>
          <cell r="E6413">
            <v>21.55</v>
          </cell>
          <cell r="F6413">
            <v>21.55</v>
          </cell>
          <cell r="G6413">
            <v>3935</v>
          </cell>
        </row>
        <row r="6414">
          <cell r="A6414" t="str">
            <v>230837</v>
          </cell>
          <cell r="B6414" t="str">
            <v>Luva red  FG    2"      1.1/2" (31259)</v>
          </cell>
          <cell r="C6414" t="str">
            <v>ud</v>
          </cell>
          <cell r="D6414">
            <v>0</v>
          </cell>
          <cell r="E6414">
            <v>21.55</v>
          </cell>
          <cell r="F6414">
            <v>21.55</v>
          </cell>
          <cell r="G6414">
            <v>3926</v>
          </cell>
        </row>
        <row r="6415">
          <cell r="A6415" t="str">
            <v>230838</v>
          </cell>
          <cell r="B6415" t="str">
            <v>Luva red  FG 2.1/2"   1.1/4" (31275)</v>
          </cell>
          <cell r="C6415" t="str">
            <v>ud</v>
          </cell>
          <cell r="D6415">
            <v>0</v>
          </cell>
        </row>
        <row r="6416">
          <cell r="A6416" t="str">
            <v>230839</v>
          </cell>
          <cell r="B6416" t="str">
            <v>Luva red  FG 2.1/2"   1.1/2" (31283)</v>
          </cell>
          <cell r="C6416" t="str">
            <v>ud</v>
          </cell>
          <cell r="D6416">
            <v>0</v>
          </cell>
          <cell r="E6416">
            <v>37.81</v>
          </cell>
          <cell r="F6416">
            <v>37.81</v>
          </cell>
          <cell r="G6416">
            <v>3927</v>
          </cell>
        </row>
        <row r="6417">
          <cell r="A6417" t="str">
            <v>230840</v>
          </cell>
          <cell r="B6417" t="str">
            <v>Luva red  FG 2.1/2"   2" (31291)</v>
          </cell>
          <cell r="C6417" t="str">
            <v>ud</v>
          </cell>
          <cell r="D6417">
            <v>0</v>
          </cell>
          <cell r="E6417">
            <v>37.81</v>
          </cell>
          <cell r="F6417">
            <v>37.81</v>
          </cell>
          <cell r="G6417">
            <v>3928</v>
          </cell>
        </row>
        <row r="6418">
          <cell r="A6418" t="str">
            <v>230841</v>
          </cell>
          <cell r="B6418" t="str">
            <v>Luva red  FG    3"      1.1/2" (31321)</v>
          </cell>
          <cell r="C6418" t="str">
            <v>ud</v>
          </cell>
          <cell r="D6418">
            <v>0</v>
          </cell>
          <cell r="E6418">
            <v>57.61</v>
          </cell>
          <cell r="F6418">
            <v>57.61</v>
          </cell>
          <cell r="G6418">
            <v>3929</v>
          </cell>
        </row>
        <row r="6419">
          <cell r="A6419" t="str">
            <v>230842</v>
          </cell>
          <cell r="B6419" t="str">
            <v>Luva red  FG    3"      2" (31330)</v>
          </cell>
          <cell r="C6419" t="str">
            <v>ud</v>
          </cell>
          <cell r="D6419">
            <v>0</v>
          </cell>
          <cell r="E6419">
            <v>57.61</v>
          </cell>
          <cell r="F6419">
            <v>57.61</v>
          </cell>
          <cell r="G6419">
            <v>3930</v>
          </cell>
        </row>
        <row r="6420">
          <cell r="A6420" t="str">
            <v>230843</v>
          </cell>
          <cell r="B6420" t="str">
            <v>Luva red  FG    3"      2" .1/2" (31348)</v>
          </cell>
          <cell r="C6420" t="str">
            <v>ud</v>
          </cell>
          <cell r="D6420">
            <v>0</v>
          </cell>
          <cell r="E6420">
            <v>57.61</v>
          </cell>
          <cell r="F6420">
            <v>57.61</v>
          </cell>
          <cell r="G6420">
            <v>3931</v>
          </cell>
        </row>
        <row r="6421">
          <cell r="A6421" t="str">
            <v>230844</v>
          </cell>
          <cell r="B6421" t="str">
            <v>Luva red  FG    4"      2" (31356)</v>
          </cell>
          <cell r="C6421" t="str">
            <v>ud</v>
          </cell>
          <cell r="D6421">
            <v>0</v>
          </cell>
          <cell r="E6421">
            <v>99.48</v>
          </cell>
          <cell r="F6421">
            <v>99.48</v>
          </cell>
          <cell r="G6421">
            <v>3933</v>
          </cell>
        </row>
        <row r="6422">
          <cell r="A6422" t="str">
            <v>230845</v>
          </cell>
          <cell r="B6422" t="str">
            <v>Luva red  FG    4"      2" .1/2" (31364)</v>
          </cell>
          <cell r="C6422" t="str">
            <v>ud</v>
          </cell>
          <cell r="D6422">
            <v>0</v>
          </cell>
          <cell r="E6422">
            <v>99.48</v>
          </cell>
          <cell r="F6422">
            <v>99.48</v>
          </cell>
          <cell r="G6422">
            <v>3932</v>
          </cell>
        </row>
        <row r="6423">
          <cell r="A6423" t="str">
            <v>230846</v>
          </cell>
          <cell r="B6423" t="str">
            <v>Luva red  FG    4"      3" (31372)</v>
          </cell>
          <cell r="C6423" t="str">
            <v>ud</v>
          </cell>
          <cell r="D6423">
            <v>0</v>
          </cell>
          <cell r="E6423">
            <v>99.48</v>
          </cell>
          <cell r="F6423">
            <v>99.48</v>
          </cell>
          <cell r="G6423">
            <v>3934</v>
          </cell>
        </row>
        <row r="6424">
          <cell r="A6424" t="str">
            <v>230847</v>
          </cell>
          <cell r="B6424" t="str">
            <v>Luva red  FG macho / fêmea   3/8"    1/4"</v>
          </cell>
          <cell r="C6424" t="str">
            <v>ud</v>
          </cell>
          <cell r="D6424">
            <v>0</v>
          </cell>
        </row>
        <row r="6425">
          <cell r="A6425" t="str">
            <v>230848</v>
          </cell>
          <cell r="B6425" t="str">
            <v>Luva red  FG macho / fêmea   1/2"    1/4"</v>
          </cell>
          <cell r="C6425" t="str">
            <v>ud</v>
          </cell>
          <cell r="D6425">
            <v>0</v>
          </cell>
        </row>
        <row r="6426">
          <cell r="A6426" t="str">
            <v>230849</v>
          </cell>
          <cell r="B6426" t="str">
            <v>Luva red  FG macho / fêmea   1/2"    3/8"</v>
          </cell>
          <cell r="C6426" t="str">
            <v>ud</v>
          </cell>
          <cell r="D6426">
            <v>0</v>
          </cell>
        </row>
        <row r="6427">
          <cell r="A6427" t="str">
            <v>230850</v>
          </cell>
          <cell r="B6427" t="str">
            <v>Luva red  FG macho / fêmea   3/4"    3/8"</v>
          </cell>
          <cell r="C6427" t="str">
            <v>ud</v>
          </cell>
          <cell r="D6427">
            <v>0</v>
          </cell>
        </row>
        <row r="6428">
          <cell r="A6428" t="str">
            <v>230851</v>
          </cell>
          <cell r="B6428" t="str">
            <v>Luva red  FG macho / fêmea   3/4"    1/2"</v>
          </cell>
          <cell r="C6428" t="str">
            <v>ud</v>
          </cell>
          <cell r="D6428">
            <v>0</v>
          </cell>
          <cell r="E6428">
            <v>7.45</v>
          </cell>
          <cell r="F6428">
            <v>7.45</v>
          </cell>
          <cell r="G6428">
            <v>12410</v>
          </cell>
        </row>
        <row r="6429">
          <cell r="A6429" t="str">
            <v>230852</v>
          </cell>
          <cell r="B6429" t="str">
            <v>Luva red  FG macho / fêmea    1"      1/2"</v>
          </cell>
          <cell r="C6429" t="str">
            <v>ud</v>
          </cell>
          <cell r="D6429">
            <v>0</v>
          </cell>
          <cell r="E6429">
            <v>10.81</v>
          </cell>
          <cell r="F6429">
            <v>10.81</v>
          </cell>
          <cell r="G6429">
            <v>12408</v>
          </cell>
        </row>
        <row r="6430">
          <cell r="A6430" t="str">
            <v>230853</v>
          </cell>
          <cell r="B6430" t="str">
            <v>Luva red  FG macho / fêmea    1"      3/4"</v>
          </cell>
          <cell r="C6430" t="str">
            <v>ud</v>
          </cell>
          <cell r="D6430">
            <v>0</v>
          </cell>
          <cell r="E6430">
            <v>10.81</v>
          </cell>
          <cell r="F6430">
            <v>10.81</v>
          </cell>
          <cell r="G6430">
            <v>12409</v>
          </cell>
        </row>
        <row r="6431">
          <cell r="A6431" t="str">
            <v>230854</v>
          </cell>
          <cell r="B6431" t="str">
            <v>Luva red  FG macho / fêmea 1.1/4"   3/4"</v>
          </cell>
          <cell r="C6431" t="str">
            <v>ud</v>
          </cell>
          <cell r="D6431">
            <v>0</v>
          </cell>
        </row>
        <row r="6432">
          <cell r="A6432" t="str">
            <v>230855</v>
          </cell>
          <cell r="B6432" t="str">
            <v>Luva red  FG macho / fêmea 1.1/4"   1"</v>
          </cell>
          <cell r="C6432" t="str">
            <v>ud</v>
          </cell>
          <cell r="D6432">
            <v>0</v>
          </cell>
        </row>
        <row r="6433">
          <cell r="A6433" t="str">
            <v>230856</v>
          </cell>
          <cell r="B6433" t="str">
            <v>Luva red  FG macho / fêmea 1.1/2"   1"</v>
          </cell>
          <cell r="C6433" t="str">
            <v>ud</v>
          </cell>
          <cell r="D6433">
            <v>0</v>
          </cell>
          <cell r="E6433">
            <v>19.16</v>
          </cell>
          <cell r="F6433">
            <v>19.16</v>
          </cell>
          <cell r="G6433">
            <v>12407</v>
          </cell>
        </row>
        <row r="6434">
          <cell r="A6434" t="str">
            <v>230857</v>
          </cell>
          <cell r="B6434" t="str">
            <v>Luva red  FG macho / fêmea 1.1/2"   1.1/4"</v>
          </cell>
          <cell r="C6434" t="str">
            <v>ud</v>
          </cell>
          <cell r="D6434">
            <v>0</v>
          </cell>
        </row>
        <row r="6435">
          <cell r="A6435" t="str">
            <v>2309</v>
          </cell>
          <cell r="B6435" t="str">
            <v>NIPLE FG</v>
          </cell>
        </row>
        <row r="6436">
          <cell r="A6436" t="str">
            <v>230916</v>
          </cell>
          <cell r="B6436" t="str">
            <v>Niple duplo red  FG   1/2"    3/8" (166367)</v>
          </cell>
          <cell r="C6436" t="str">
            <v>ud</v>
          </cell>
          <cell r="D6436">
            <v>0</v>
          </cell>
          <cell r="E6436">
            <v>0</v>
          </cell>
          <cell r="F6436">
            <v>0</v>
          </cell>
          <cell r="G6436">
            <v>0</v>
          </cell>
        </row>
        <row r="6437">
          <cell r="A6437" t="str">
            <v>230917</v>
          </cell>
          <cell r="B6437" t="str">
            <v>Niple duplo red  FG   3/4"    3/8"</v>
          </cell>
          <cell r="C6437" t="str">
            <v>ud</v>
          </cell>
          <cell r="D6437">
            <v>0</v>
          </cell>
          <cell r="E6437">
            <v>0</v>
          </cell>
          <cell r="F6437">
            <v>0</v>
          </cell>
          <cell r="G6437">
            <v>0</v>
          </cell>
        </row>
        <row r="6438">
          <cell r="A6438" t="str">
            <v>230918</v>
          </cell>
          <cell r="B6438" t="str">
            <v>Niple duplo red  FG   3/4"    1/2" (139343)</v>
          </cell>
          <cell r="C6438" t="str">
            <v>ud</v>
          </cell>
          <cell r="D6438">
            <v>0</v>
          </cell>
          <cell r="E6438">
            <v>4.96</v>
          </cell>
          <cell r="F6438">
            <v>4.96</v>
          </cell>
          <cell r="G6438">
            <v>4187</v>
          </cell>
        </row>
        <row r="6439">
          <cell r="A6439" t="str">
            <v>230919</v>
          </cell>
          <cell r="B6439" t="str">
            <v>Niple duplo red  FG    1"      1/2" (139149)</v>
          </cell>
          <cell r="C6439" t="str">
            <v>ud</v>
          </cell>
          <cell r="D6439">
            <v>0</v>
          </cell>
          <cell r="E6439">
            <v>7.78</v>
          </cell>
          <cell r="F6439">
            <v>7.78</v>
          </cell>
          <cell r="G6439">
            <v>4188</v>
          </cell>
        </row>
        <row r="6440">
          <cell r="A6440" t="str">
            <v>230920</v>
          </cell>
          <cell r="B6440" t="str">
            <v>Niple duplo red  FG    1"      3/4" (139408)</v>
          </cell>
          <cell r="C6440" t="str">
            <v>ud</v>
          </cell>
          <cell r="D6440">
            <v>0</v>
          </cell>
          <cell r="E6440">
            <v>7.78</v>
          </cell>
          <cell r="F6440">
            <v>7.78</v>
          </cell>
          <cell r="G6440">
            <v>4189</v>
          </cell>
        </row>
        <row r="6441">
          <cell r="A6441" t="str">
            <v>230921</v>
          </cell>
          <cell r="B6441" t="str">
            <v>Niple duplo red  FG 1.1/4"   1/2" (166375)</v>
          </cell>
          <cell r="C6441" t="str">
            <v>ud</v>
          </cell>
          <cell r="D6441">
            <v>0</v>
          </cell>
          <cell r="E6441">
            <v>13.27</v>
          </cell>
          <cell r="F6441">
            <v>13.27</v>
          </cell>
          <cell r="G6441">
            <v>4207</v>
          </cell>
        </row>
        <row r="6442">
          <cell r="A6442" t="str">
            <v>230922</v>
          </cell>
          <cell r="B6442" t="str">
            <v>Niple duplo red  FG 1.1/4"   3/4" (189600)</v>
          </cell>
          <cell r="C6442" t="str">
            <v>ud</v>
          </cell>
          <cell r="D6442">
            <v>0</v>
          </cell>
          <cell r="E6442">
            <v>12.89</v>
          </cell>
          <cell r="F6442">
            <v>12.89</v>
          </cell>
          <cell r="G6442">
            <v>4190</v>
          </cell>
        </row>
        <row r="6443">
          <cell r="A6443" t="str">
            <v>230923</v>
          </cell>
          <cell r="B6443" t="str">
            <v>Niple duplo red  FG 1.1/4"   1"</v>
          </cell>
          <cell r="C6443" t="str">
            <v>ud</v>
          </cell>
          <cell r="D6443">
            <v>0</v>
          </cell>
          <cell r="E6443">
            <v>12.89</v>
          </cell>
          <cell r="F6443">
            <v>12.89</v>
          </cell>
          <cell r="G6443">
            <v>4206</v>
          </cell>
        </row>
        <row r="6444">
          <cell r="A6444" t="str">
            <v>230924</v>
          </cell>
          <cell r="B6444" t="str">
            <v>Niple duplo red  FG 1.1/2"   3/4" (90247)</v>
          </cell>
          <cell r="C6444" t="str">
            <v>ud</v>
          </cell>
          <cell r="D6444">
            <v>0</v>
          </cell>
          <cell r="E6444">
            <v>16.489999999999998</v>
          </cell>
          <cell r="F6444">
            <v>16.489999999999998</v>
          </cell>
          <cell r="G6444">
            <v>4191</v>
          </cell>
        </row>
        <row r="6445">
          <cell r="A6445" t="str">
            <v>230925</v>
          </cell>
          <cell r="B6445" t="str">
            <v>Niple duplo red  FG 1.1/2"   1" (116025)</v>
          </cell>
          <cell r="C6445" t="str">
            <v>ud</v>
          </cell>
          <cell r="D6445">
            <v>0</v>
          </cell>
          <cell r="E6445">
            <v>16.489999999999998</v>
          </cell>
          <cell r="F6445">
            <v>16.489999999999998</v>
          </cell>
          <cell r="G6445">
            <v>4192</v>
          </cell>
        </row>
        <row r="6446">
          <cell r="A6446" t="str">
            <v>230926</v>
          </cell>
          <cell r="B6446" t="str">
            <v>Niple duplo red  FG 1.1/2"   1.1/4"</v>
          </cell>
          <cell r="C6446" t="str">
            <v>ud</v>
          </cell>
          <cell r="D6446">
            <v>0</v>
          </cell>
          <cell r="E6446">
            <v>16.489999999999998</v>
          </cell>
          <cell r="F6446">
            <v>16.489999999999998</v>
          </cell>
          <cell r="G6446">
            <v>4205</v>
          </cell>
        </row>
        <row r="6447">
          <cell r="A6447" t="str">
            <v>230927</v>
          </cell>
          <cell r="B6447" t="str">
            <v>Niple duplo red  FG    2"      1" (139157)</v>
          </cell>
          <cell r="C6447" t="str">
            <v>ud</v>
          </cell>
          <cell r="D6447">
            <v>0</v>
          </cell>
          <cell r="E6447">
            <v>24.88</v>
          </cell>
          <cell r="F6447">
            <v>24.88</v>
          </cell>
          <cell r="G6447">
            <v>4204</v>
          </cell>
        </row>
        <row r="6448">
          <cell r="A6448" t="str">
            <v>230928</v>
          </cell>
          <cell r="B6448" t="str">
            <v>Niple duplo red  FG    2"      1.1/4"</v>
          </cell>
          <cell r="C6448" t="str">
            <v>ud</v>
          </cell>
          <cell r="D6448">
            <v>0</v>
          </cell>
          <cell r="E6448">
            <v>24.88</v>
          </cell>
          <cell r="F6448">
            <v>24.88</v>
          </cell>
          <cell r="G6448">
            <v>4193</v>
          </cell>
        </row>
        <row r="6449">
          <cell r="A6449" t="str">
            <v>230929</v>
          </cell>
          <cell r="B6449" t="str">
            <v>Niple duplo red  FG    2"      1.1/2" (90182)</v>
          </cell>
          <cell r="C6449" t="str">
            <v>ud</v>
          </cell>
          <cell r="D6449">
            <v>0</v>
          </cell>
          <cell r="E6449">
            <v>24.88</v>
          </cell>
          <cell r="F6449">
            <v>24.88</v>
          </cell>
          <cell r="G6449">
            <v>4194</v>
          </cell>
        </row>
        <row r="6450">
          <cell r="A6450" t="str">
            <v>230930</v>
          </cell>
          <cell r="B6450" t="str">
            <v>Niple duplo red  FG 2.1/2"   1"</v>
          </cell>
          <cell r="C6450" t="str">
            <v>ud</v>
          </cell>
          <cell r="D6450">
            <v>0</v>
          </cell>
          <cell r="E6450">
            <v>0</v>
          </cell>
          <cell r="F6450">
            <v>0</v>
          </cell>
          <cell r="G6450">
            <v>0</v>
          </cell>
        </row>
        <row r="6451">
          <cell r="A6451" t="str">
            <v>230931</v>
          </cell>
          <cell r="B6451" t="str">
            <v>Niple duplo red  FG 2.1/2"   1.1/4" (166391)</v>
          </cell>
          <cell r="C6451" t="str">
            <v>ud</v>
          </cell>
          <cell r="D6451">
            <v>0</v>
          </cell>
          <cell r="G6451">
            <v>4195</v>
          </cell>
        </row>
        <row r="6452">
          <cell r="A6452" t="str">
            <v>230932</v>
          </cell>
          <cell r="B6452" t="str">
            <v>Niple duplo red  FG 2.1/2"   1.1/2" (189588)</v>
          </cell>
          <cell r="C6452" t="str">
            <v>ud</v>
          </cell>
          <cell r="D6452">
            <v>0</v>
          </cell>
          <cell r="E6452">
            <v>0</v>
          </cell>
          <cell r="F6452">
            <v>0</v>
          </cell>
          <cell r="G6452">
            <v>4196</v>
          </cell>
        </row>
        <row r="6453">
          <cell r="A6453" t="str">
            <v>230933</v>
          </cell>
          <cell r="B6453" t="str">
            <v>Niple duplo red  FG 2.1/2"   2"</v>
          </cell>
          <cell r="C6453" t="str">
            <v>ud</v>
          </cell>
          <cell r="D6453">
            <v>0</v>
          </cell>
          <cell r="E6453">
            <v>41.18</v>
          </cell>
          <cell r="F6453">
            <v>41.18</v>
          </cell>
          <cell r="G6453">
            <v>4197</v>
          </cell>
        </row>
        <row r="6454">
          <cell r="A6454" t="str">
            <v>230934</v>
          </cell>
          <cell r="B6454" t="str">
            <v>Niple duplo red  FG    3"      1.1/2" (116033)</v>
          </cell>
          <cell r="C6454" t="str">
            <v>ud</v>
          </cell>
          <cell r="D6454">
            <v>0</v>
          </cell>
          <cell r="G6454">
            <v>4198</v>
          </cell>
        </row>
        <row r="6455">
          <cell r="A6455" t="str">
            <v>230935</v>
          </cell>
          <cell r="B6455" t="str">
            <v>Niple duplo red  FG    3"      2" (75868)</v>
          </cell>
          <cell r="C6455" t="str">
            <v>ud</v>
          </cell>
          <cell r="D6455">
            <v>0</v>
          </cell>
          <cell r="E6455">
            <v>66.430000000000007</v>
          </cell>
          <cell r="F6455">
            <v>66.430000000000007</v>
          </cell>
          <cell r="G6455">
            <v>4203</v>
          </cell>
        </row>
        <row r="6456">
          <cell r="A6456" t="str">
            <v>230936</v>
          </cell>
          <cell r="B6456" t="str">
            <v>Niple duplo red  FG    3"      2" .1/2" (116068)</v>
          </cell>
          <cell r="C6456" t="str">
            <v>ud</v>
          </cell>
          <cell r="D6456">
            <v>0</v>
          </cell>
          <cell r="E6456">
            <v>75.209999999999994</v>
          </cell>
          <cell r="F6456">
            <v>75.209999999999994</v>
          </cell>
          <cell r="G6456">
            <v>4202</v>
          </cell>
        </row>
        <row r="6457">
          <cell r="A6457" t="str">
            <v>230901</v>
          </cell>
          <cell r="B6457" t="str">
            <v>Niple duplo FG  1/4" (30864)</v>
          </cell>
          <cell r="C6457" t="str">
            <v>ud</v>
          </cell>
          <cell r="D6457">
            <v>0</v>
          </cell>
          <cell r="E6457">
            <v>0</v>
          </cell>
          <cell r="F6457">
            <v>0</v>
          </cell>
          <cell r="G6457">
            <v>0</v>
          </cell>
        </row>
        <row r="6458">
          <cell r="A6458" t="str">
            <v>230902</v>
          </cell>
          <cell r="B6458" t="str">
            <v>Niple duplo FG  3/8" (30872)</v>
          </cell>
          <cell r="C6458" t="str">
            <v>ud</v>
          </cell>
          <cell r="D6458">
            <v>0</v>
          </cell>
          <cell r="E6458">
            <v>0</v>
          </cell>
          <cell r="F6458">
            <v>0</v>
          </cell>
          <cell r="G6458">
            <v>0</v>
          </cell>
        </row>
        <row r="6459">
          <cell r="A6459" t="str">
            <v>230903</v>
          </cell>
          <cell r="B6459" t="str">
            <v>Niple duplo FG  1/2" (30880)</v>
          </cell>
          <cell r="C6459" t="str">
            <v>ud</v>
          </cell>
          <cell r="D6459">
            <v>0</v>
          </cell>
          <cell r="E6459">
            <v>3.12</v>
          </cell>
          <cell r="F6459">
            <v>3.12</v>
          </cell>
          <cell r="G6459">
            <v>4177</v>
          </cell>
        </row>
        <row r="6460">
          <cell r="A6460" t="str">
            <v>230904</v>
          </cell>
          <cell r="B6460" t="str">
            <v>Niple duplo FG  3/4" (30899)</v>
          </cell>
          <cell r="C6460" t="str">
            <v>ud</v>
          </cell>
          <cell r="D6460">
            <v>0</v>
          </cell>
          <cell r="E6460">
            <v>4.33</v>
          </cell>
          <cell r="F6460">
            <v>4.33</v>
          </cell>
          <cell r="G6460">
            <v>4178</v>
          </cell>
        </row>
        <row r="6461">
          <cell r="A6461" t="str">
            <v>230905</v>
          </cell>
          <cell r="B6461" t="str">
            <v>Niple duplo FG  1" (30902)</v>
          </cell>
          <cell r="C6461" t="str">
            <v>ud</v>
          </cell>
          <cell r="D6461">
            <v>0</v>
          </cell>
          <cell r="E6461">
            <v>6.38</v>
          </cell>
          <cell r="F6461">
            <v>6.38</v>
          </cell>
          <cell r="G6461">
            <v>4179</v>
          </cell>
        </row>
        <row r="6462">
          <cell r="A6462" t="str">
            <v>230906</v>
          </cell>
          <cell r="B6462" t="str">
            <v>Niple duplo FG  1.1/4" (30910)</v>
          </cell>
          <cell r="C6462" t="str">
            <v>ud</v>
          </cell>
          <cell r="D6462">
            <v>0</v>
          </cell>
          <cell r="E6462">
            <v>9.4</v>
          </cell>
          <cell r="F6462">
            <v>9.4</v>
          </cell>
          <cell r="G6462">
            <v>4180</v>
          </cell>
        </row>
        <row r="6463">
          <cell r="A6463" t="str">
            <v>230907</v>
          </cell>
          <cell r="B6463" t="str">
            <v>Niple duplo FG  1.1/2" (30929)</v>
          </cell>
          <cell r="C6463" t="str">
            <v>ud</v>
          </cell>
          <cell r="D6463">
            <v>0</v>
          </cell>
          <cell r="E6463">
            <v>12.49</v>
          </cell>
          <cell r="F6463">
            <v>12.49</v>
          </cell>
          <cell r="G6463">
            <v>4209</v>
          </cell>
        </row>
        <row r="6464">
          <cell r="A6464" t="str">
            <v>230908</v>
          </cell>
          <cell r="B6464" t="str">
            <v>Niple duplo FG  2" (30937)</v>
          </cell>
          <cell r="C6464" t="str">
            <v>ud</v>
          </cell>
          <cell r="D6464">
            <v>0</v>
          </cell>
          <cell r="E6464">
            <v>19.420000000000002</v>
          </cell>
          <cell r="F6464">
            <v>19.420000000000002</v>
          </cell>
          <cell r="G6464">
            <v>4181</v>
          </cell>
        </row>
        <row r="6465">
          <cell r="A6465" t="str">
            <v>230909</v>
          </cell>
          <cell r="B6465" t="str">
            <v>Niple duplo FG  2.1/2" (30945)</v>
          </cell>
          <cell r="C6465" t="str">
            <v>ud</v>
          </cell>
          <cell r="D6465">
            <v>0</v>
          </cell>
          <cell r="E6465">
            <v>29.73</v>
          </cell>
          <cell r="F6465">
            <v>29.73</v>
          </cell>
          <cell r="G6465">
            <v>4208</v>
          </cell>
        </row>
        <row r="6466">
          <cell r="A6466" t="str">
            <v>230910</v>
          </cell>
          <cell r="B6466" t="str">
            <v>Niple duplo FG  3" (30953)</v>
          </cell>
          <cell r="C6466" t="str">
            <v>ud</v>
          </cell>
          <cell r="D6466">
            <v>0</v>
          </cell>
          <cell r="E6466">
            <v>48.37</v>
          </cell>
          <cell r="F6466">
            <v>48.37</v>
          </cell>
          <cell r="G6466">
            <v>4182</v>
          </cell>
        </row>
        <row r="6467">
          <cell r="A6467" t="str">
            <v>230911</v>
          </cell>
          <cell r="B6467" t="str">
            <v>Niple duplo FG  4" (30961)</v>
          </cell>
          <cell r="C6467" t="str">
            <v>ud</v>
          </cell>
          <cell r="D6467">
            <v>0</v>
          </cell>
          <cell r="E6467">
            <v>77.87</v>
          </cell>
          <cell r="F6467">
            <v>77.87</v>
          </cell>
          <cell r="G6467">
            <v>4183</v>
          </cell>
        </row>
        <row r="6468">
          <cell r="A6468" t="str">
            <v>230912</v>
          </cell>
          <cell r="B6468" t="str">
            <v>Niple duplo FG  5" (30970)</v>
          </cell>
          <cell r="C6468" t="str">
            <v>ud</v>
          </cell>
          <cell r="D6468">
            <v>0</v>
          </cell>
          <cell r="E6468">
            <v>171.89</v>
          </cell>
          <cell r="F6468">
            <v>171.89</v>
          </cell>
          <cell r="G6468">
            <v>4184</v>
          </cell>
        </row>
        <row r="6469">
          <cell r="A6469" t="str">
            <v>230913</v>
          </cell>
          <cell r="B6469" t="str">
            <v>Niple duplo FG  6" (30988)</v>
          </cell>
          <cell r="C6469" t="str">
            <v>ud</v>
          </cell>
          <cell r="D6469">
            <v>0</v>
          </cell>
          <cell r="E6469">
            <v>285.61</v>
          </cell>
          <cell r="F6469">
            <v>285.61</v>
          </cell>
          <cell r="G6469">
            <v>4185</v>
          </cell>
        </row>
        <row r="6470">
          <cell r="A6470" t="str">
            <v>230914</v>
          </cell>
          <cell r="B6470" t="str">
            <v>Niple duplo red  FG   3/8"    1/4"</v>
          </cell>
          <cell r="C6470" t="str">
            <v>ud</v>
          </cell>
          <cell r="D6470">
            <v>0</v>
          </cell>
        </row>
        <row r="6471">
          <cell r="A6471" t="str">
            <v>230915</v>
          </cell>
          <cell r="B6471" t="str">
            <v>Niple duplo red  FG   1/2"    1/4"</v>
          </cell>
          <cell r="C6471" t="str">
            <v>ud</v>
          </cell>
          <cell r="D6471">
            <v>0</v>
          </cell>
          <cell r="E6471">
            <v>3.81</v>
          </cell>
          <cell r="F6471">
            <v>3.81</v>
          </cell>
          <cell r="G6471">
            <v>4186</v>
          </cell>
        </row>
        <row r="6472">
          <cell r="A6472" t="str">
            <v>2310</v>
          </cell>
          <cell r="B6472" t="str">
            <v>TAMPÃO FG</v>
          </cell>
        </row>
        <row r="6473">
          <cell r="A6473" t="str">
            <v>231001</v>
          </cell>
          <cell r="B6473" t="str">
            <v>Tampão FG  1/4"</v>
          </cell>
          <cell r="C6473" t="str">
            <v>ud</v>
          </cell>
          <cell r="D6473">
            <v>0</v>
          </cell>
          <cell r="E6473">
            <v>2.9</v>
          </cell>
          <cell r="F6473">
            <v>2.9</v>
          </cell>
          <cell r="G6473">
            <v>12395</v>
          </cell>
        </row>
        <row r="6474">
          <cell r="A6474" t="str">
            <v>231002</v>
          </cell>
          <cell r="B6474" t="str">
            <v>Tampão FG  3/8"</v>
          </cell>
          <cell r="C6474" t="str">
            <v>ud</v>
          </cell>
          <cell r="D6474">
            <v>0</v>
          </cell>
          <cell r="E6474">
            <v>2.9</v>
          </cell>
          <cell r="F6474">
            <v>2.9</v>
          </cell>
          <cell r="G6474">
            <v>12396</v>
          </cell>
        </row>
        <row r="6475">
          <cell r="A6475" t="str">
            <v>231003</v>
          </cell>
          <cell r="B6475" t="str">
            <v>Tampão FG  1/2" (29513)</v>
          </cell>
          <cell r="C6475" t="str">
            <v>ud</v>
          </cell>
          <cell r="D6475">
            <v>0</v>
          </cell>
          <cell r="E6475">
            <v>2.98</v>
          </cell>
          <cell r="F6475">
            <v>2.98</v>
          </cell>
          <cell r="G6475">
            <v>1162</v>
          </cell>
        </row>
        <row r="6476">
          <cell r="A6476" t="str">
            <v>231004</v>
          </cell>
          <cell r="B6476" t="str">
            <v>Tampão FG  3/4" (29521)</v>
          </cell>
          <cell r="C6476" t="str">
            <v>ud</v>
          </cell>
          <cell r="D6476">
            <v>0</v>
          </cell>
          <cell r="E6476">
            <v>3.86</v>
          </cell>
          <cell r="F6476">
            <v>3.86</v>
          </cell>
          <cell r="G6476">
            <v>1163</v>
          </cell>
        </row>
        <row r="6477">
          <cell r="A6477" t="str">
            <v>231005</v>
          </cell>
          <cell r="B6477" t="str">
            <v>Tampão FG  1" (29530)</v>
          </cell>
          <cell r="C6477" t="str">
            <v>ud</v>
          </cell>
          <cell r="D6477">
            <v>0</v>
          </cell>
          <cell r="E6477">
            <v>5.62</v>
          </cell>
          <cell r="F6477">
            <v>5.62</v>
          </cell>
          <cell r="G6477">
            <v>1170</v>
          </cell>
        </row>
        <row r="6478">
          <cell r="A6478" t="str">
            <v>231006</v>
          </cell>
          <cell r="B6478" t="str">
            <v>Tampão FG  1.1/4" (29548)</v>
          </cell>
          <cell r="C6478" t="str">
            <v>ud</v>
          </cell>
          <cell r="D6478">
            <v>0</v>
          </cell>
          <cell r="E6478">
            <v>8.58</v>
          </cell>
          <cell r="F6478">
            <v>8.58</v>
          </cell>
          <cell r="G6478">
            <v>1164</v>
          </cell>
        </row>
        <row r="6479">
          <cell r="A6479" t="str">
            <v>231007</v>
          </cell>
          <cell r="B6479" t="str">
            <v>Tampão FG  1.1/2" (29556)</v>
          </cell>
          <cell r="C6479" t="str">
            <v>ud</v>
          </cell>
          <cell r="D6479">
            <v>0</v>
          </cell>
          <cell r="E6479">
            <v>10.6</v>
          </cell>
          <cell r="F6479">
            <v>10.6</v>
          </cell>
          <cell r="G6479">
            <v>1165</v>
          </cell>
        </row>
        <row r="6480">
          <cell r="A6480" t="str">
            <v>231008</v>
          </cell>
          <cell r="B6480" t="str">
            <v>Tampão FG  2" (29564)</v>
          </cell>
          <cell r="C6480" t="str">
            <v>ud</v>
          </cell>
          <cell r="D6480">
            <v>0</v>
          </cell>
          <cell r="E6480">
            <v>15.31</v>
          </cell>
          <cell r="F6480">
            <v>15.31</v>
          </cell>
          <cell r="G6480">
            <v>1166</v>
          </cell>
        </row>
        <row r="6481">
          <cell r="A6481" t="str">
            <v>231009</v>
          </cell>
          <cell r="B6481" t="str">
            <v>Tampão FG  2.1/2" (29572)</v>
          </cell>
          <cell r="C6481" t="str">
            <v>ud</v>
          </cell>
          <cell r="D6481">
            <v>0</v>
          </cell>
          <cell r="E6481">
            <v>27.62</v>
          </cell>
          <cell r="F6481">
            <v>27.62</v>
          </cell>
          <cell r="G6481">
            <v>1169</v>
          </cell>
        </row>
        <row r="6482">
          <cell r="A6482" t="str">
            <v>231010</v>
          </cell>
          <cell r="B6482" t="str">
            <v>Tampão FG  3" (29580)</v>
          </cell>
          <cell r="C6482" t="str">
            <v>ud</v>
          </cell>
          <cell r="D6482">
            <v>0</v>
          </cell>
          <cell r="E6482">
            <v>39.380000000000003</v>
          </cell>
          <cell r="F6482">
            <v>39.380000000000003</v>
          </cell>
          <cell r="G6482">
            <v>1168</v>
          </cell>
        </row>
        <row r="6483">
          <cell r="A6483" t="str">
            <v>231011</v>
          </cell>
          <cell r="B6483" t="str">
            <v>Tampão FG  4" (29599)</v>
          </cell>
          <cell r="C6483" t="str">
            <v>ud</v>
          </cell>
          <cell r="D6483">
            <v>0</v>
          </cell>
          <cell r="E6483">
            <v>65.87</v>
          </cell>
          <cell r="F6483">
            <v>65.87</v>
          </cell>
          <cell r="G6483">
            <v>1167</v>
          </cell>
        </row>
        <row r="6484">
          <cell r="A6484" t="str">
            <v>231012</v>
          </cell>
          <cell r="B6484" t="str">
            <v>Tampão c/ sextavado FG  1/4"</v>
          </cell>
          <cell r="C6484" t="str">
            <v>ud</v>
          </cell>
          <cell r="D6484">
            <v>0</v>
          </cell>
        </row>
        <row r="6485">
          <cell r="A6485" t="str">
            <v>231013</v>
          </cell>
          <cell r="B6485" t="str">
            <v>Tampão c/ sextavado FG  3/8"</v>
          </cell>
          <cell r="C6485" t="str">
            <v>ud</v>
          </cell>
          <cell r="D6485">
            <v>0</v>
          </cell>
        </row>
        <row r="6486">
          <cell r="A6486" t="str">
            <v>231014</v>
          </cell>
          <cell r="B6486" t="str">
            <v>Tampão c/ sextavado FG  1/2"</v>
          </cell>
          <cell r="C6486" t="str">
            <v>ud</v>
          </cell>
          <cell r="D6486">
            <v>0</v>
          </cell>
        </row>
        <row r="6487">
          <cell r="A6487" t="str">
            <v>231015</v>
          </cell>
          <cell r="B6487" t="str">
            <v>Tampão c/ sextavado FG  3/4"</v>
          </cell>
          <cell r="C6487" t="str">
            <v>ud</v>
          </cell>
          <cell r="D6487">
            <v>0</v>
          </cell>
        </row>
        <row r="6488">
          <cell r="A6488" t="str">
            <v>231016</v>
          </cell>
          <cell r="B6488" t="str">
            <v>Tampão c/ sextavado FG  1"</v>
          </cell>
          <cell r="C6488" t="str">
            <v>ud</v>
          </cell>
          <cell r="D6488">
            <v>0</v>
          </cell>
        </row>
        <row r="6489">
          <cell r="A6489" t="str">
            <v>2311</v>
          </cell>
          <cell r="B6489" t="str">
            <v>TE FG</v>
          </cell>
        </row>
        <row r="6490">
          <cell r="A6490" t="str">
            <v>231101</v>
          </cell>
          <cell r="B6490" t="str">
            <v>Te FG  1/4" (31402)</v>
          </cell>
          <cell r="C6490" t="str">
            <v>ud</v>
          </cell>
          <cell r="D6490">
            <v>0</v>
          </cell>
        </row>
        <row r="6491">
          <cell r="A6491" t="str">
            <v>231102</v>
          </cell>
          <cell r="B6491" t="str">
            <v>Te FG  3/8" (31410)</v>
          </cell>
          <cell r="C6491" t="str">
            <v>ud</v>
          </cell>
          <cell r="D6491">
            <v>0</v>
          </cell>
        </row>
        <row r="6492">
          <cell r="A6492" t="str">
            <v>231103</v>
          </cell>
          <cell r="B6492" t="str">
            <v>Te FG  1/2" (31429)</v>
          </cell>
          <cell r="C6492" t="str">
            <v>ud</v>
          </cell>
          <cell r="D6492">
            <v>0</v>
          </cell>
          <cell r="E6492">
            <v>5.21</v>
          </cell>
          <cell r="F6492">
            <v>5.21</v>
          </cell>
          <cell r="G6492">
            <v>6294</v>
          </cell>
        </row>
        <row r="6493">
          <cell r="A6493" t="str">
            <v>231104</v>
          </cell>
          <cell r="B6493" t="str">
            <v>Te FG  3/4" (31437)</v>
          </cell>
          <cell r="C6493" t="str">
            <v>ud</v>
          </cell>
          <cell r="D6493">
            <v>0</v>
          </cell>
          <cell r="E6493">
            <v>7.41</v>
          </cell>
          <cell r="F6493">
            <v>7.41</v>
          </cell>
          <cell r="G6493">
            <v>6295</v>
          </cell>
        </row>
        <row r="6494">
          <cell r="A6494" t="str">
            <v>231105</v>
          </cell>
          <cell r="B6494" t="str">
            <v>Te FG  1" (31445)</v>
          </cell>
          <cell r="C6494" t="str">
            <v>ud</v>
          </cell>
          <cell r="D6494">
            <v>0</v>
          </cell>
          <cell r="E6494">
            <v>11.94</v>
          </cell>
          <cell r="F6494">
            <v>11.94</v>
          </cell>
          <cell r="G6494">
            <v>6323</v>
          </cell>
        </row>
        <row r="6495">
          <cell r="A6495" t="str">
            <v>231106</v>
          </cell>
          <cell r="B6495" t="str">
            <v>Te FG  1.1/4" (31453)</v>
          </cell>
          <cell r="C6495" t="str">
            <v>ud</v>
          </cell>
          <cell r="D6495">
            <v>0</v>
          </cell>
          <cell r="E6495">
            <v>18.27</v>
          </cell>
          <cell r="F6495">
            <v>18.27</v>
          </cell>
          <cell r="G6495">
            <v>6296</v>
          </cell>
        </row>
        <row r="6496">
          <cell r="A6496" t="str">
            <v>231107</v>
          </cell>
          <cell r="B6496" t="str">
            <v>Te FG  1.1/2" (31461)</v>
          </cell>
          <cell r="C6496" t="str">
            <v>ud</v>
          </cell>
          <cell r="D6496">
            <v>0</v>
          </cell>
          <cell r="E6496">
            <v>23.14</v>
          </cell>
          <cell r="F6496">
            <v>23.14</v>
          </cell>
          <cell r="G6496">
            <v>6297</v>
          </cell>
        </row>
        <row r="6497">
          <cell r="A6497" t="str">
            <v>231108</v>
          </cell>
          <cell r="B6497" t="str">
            <v>Te FG  2" (31470)</v>
          </cell>
          <cell r="C6497" t="str">
            <v>ud</v>
          </cell>
          <cell r="D6497">
            <v>0</v>
          </cell>
          <cell r="E6497">
            <v>36.659999999999997</v>
          </cell>
          <cell r="F6497">
            <v>36.659999999999997</v>
          </cell>
          <cell r="G6497">
            <v>6298</v>
          </cell>
        </row>
        <row r="6498">
          <cell r="A6498" t="str">
            <v>231109</v>
          </cell>
          <cell r="B6498" t="str">
            <v>Te FG  2.1/2" (31488)</v>
          </cell>
          <cell r="C6498" t="str">
            <v>ud</v>
          </cell>
          <cell r="D6498">
            <v>0</v>
          </cell>
          <cell r="E6498">
            <v>69.61</v>
          </cell>
          <cell r="F6498">
            <v>69.61</v>
          </cell>
          <cell r="G6498">
            <v>6299</v>
          </cell>
        </row>
        <row r="6499">
          <cell r="A6499" t="str">
            <v>231110</v>
          </cell>
          <cell r="B6499" t="str">
            <v>Te FG  3" (31496)</v>
          </cell>
          <cell r="C6499" t="str">
            <v>ud</v>
          </cell>
          <cell r="D6499">
            <v>0</v>
          </cell>
          <cell r="E6499">
            <v>93.24</v>
          </cell>
          <cell r="F6499">
            <v>93.24</v>
          </cell>
          <cell r="G6499">
            <v>6322</v>
          </cell>
        </row>
        <row r="6500">
          <cell r="A6500" t="str">
            <v>231111</v>
          </cell>
          <cell r="B6500" t="str">
            <v>Te FG  4" (31500)</v>
          </cell>
          <cell r="C6500" t="str">
            <v>ud</v>
          </cell>
          <cell r="D6500">
            <v>0</v>
          </cell>
          <cell r="E6500">
            <v>171.9</v>
          </cell>
          <cell r="F6500">
            <v>171.9</v>
          </cell>
          <cell r="G6500">
            <v>6300</v>
          </cell>
        </row>
        <row r="6501">
          <cell r="A6501" t="str">
            <v>231112</v>
          </cell>
          <cell r="B6501" t="str">
            <v>Te FG  5" (31518)</v>
          </cell>
          <cell r="C6501" t="str">
            <v>ud</v>
          </cell>
          <cell r="D6501">
            <v>0</v>
          </cell>
          <cell r="E6501">
            <v>245.55</v>
          </cell>
          <cell r="F6501">
            <v>245.55</v>
          </cell>
          <cell r="G6501">
            <v>6321</v>
          </cell>
        </row>
        <row r="6502">
          <cell r="A6502" t="str">
            <v>231113</v>
          </cell>
          <cell r="B6502" t="str">
            <v>Te FG  6" (31526)</v>
          </cell>
          <cell r="C6502" t="str">
            <v>ud</v>
          </cell>
          <cell r="D6502">
            <v>0</v>
          </cell>
          <cell r="E6502">
            <v>575.54999999999995</v>
          </cell>
          <cell r="F6502">
            <v>575.54999999999995</v>
          </cell>
          <cell r="G6502">
            <v>6301</v>
          </cell>
        </row>
        <row r="6503">
          <cell r="A6503" t="str">
            <v>231114</v>
          </cell>
          <cell r="B6503" t="str">
            <v>Te FG 45º  1/2"</v>
          </cell>
          <cell r="C6503" t="str">
            <v>ud</v>
          </cell>
          <cell r="D6503">
            <v>0</v>
          </cell>
          <cell r="E6503">
            <v>11.96</v>
          </cell>
          <cell r="F6503">
            <v>11.96</v>
          </cell>
          <cell r="G6503">
            <v>3585</v>
          </cell>
        </row>
        <row r="6504">
          <cell r="A6504" t="str">
            <v>231115</v>
          </cell>
          <cell r="B6504" t="str">
            <v>Te FG 45º  3/4"</v>
          </cell>
          <cell r="C6504" t="str">
            <v>ud</v>
          </cell>
          <cell r="D6504">
            <v>0</v>
          </cell>
          <cell r="E6504">
            <v>15.66</v>
          </cell>
          <cell r="F6504">
            <v>15.66</v>
          </cell>
          <cell r="G6504">
            <v>3586</v>
          </cell>
        </row>
        <row r="6505">
          <cell r="A6505" t="str">
            <v>231116</v>
          </cell>
          <cell r="B6505" t="str">
            <v>Te FG 45º  1"</v>
          </cell>
          <cell r="C6505" t="str">
            <v>ud</v>
          </cell>
          <cell r="D6505">
            <v>0</v>
          </cell>
          <cell r="E6505">
            <v>24.02</v>
          </cell>
          <cell r="F6505">
            <v>24.02</v>
          </cell>
          <cell r="G6505">
            <v>3587</v>
          </cell>
        </row>
        <row r="6506">
          <cell r="A6506" t="str">
            <v>231117</v>
          </cell>
          <cell r="B6506" t="str">
            <v>Te FG 45º  1.1/4"</v>
          </cell>
          <cell r="C6506" t="str">
            <v>ud</v>
          </cell>
          <cell r="D6506">
            <v>0</v>
          </cell>
          <cell r="E6506">
            <v>38.72</v>
          </cell>
          <cell r="F6506">
            <v>38.72</v>
          </cell>
          <cell r="G6506">
            <v>3588</v>
          </cell>
        </row>
        <row r="6507">
          <cell r="A6507" t="str">
            <v>231118</v>
          </cell>
          <cell r="B6507" t="str">
            <v>Te FG 45º  1.1/2"</v>
          </cell>
          <cell r="C6507" t="str">
            <v>ud</v>
          </cell>
          <cell r="D6507">
            <v>0</v>
          </cell>
          <cell r="E6507">
            <v>50.23</v>
          </cell>
          <cell r="F6507">
            <v>50.23</v>
          </cell>
          <cell r="G6507">
            <v>3593</v>
          </cell>
        </row>
        <row r="6508">
          <cell r="A6508" t="str">
            <v>231119</v>
          </cell>
          <cell r="B6508" t="str">
            <v>Te FG 45º  2"</v>
          </cell>
          <cell r="C6508" t="str">
            <v>ud</v>
          </cell>
          <cell r="D6508">
            <v>0</v>
          </cell>
          <cell r="E6508">
            <v>76.56</v>
          </cell>
          <cell r="F6508">
            <v>76.56</v>
          </cell>
          <cell r="G6508">
            <v>3589</v>
          </cell>
        </row>
        <row r="6509">
          <cell r="A6509" t="str">
            <v>231120</v>
          </cell>
          <cell r="B6509" t="str">
            <v>Te FG 45º  2.1/2"</v>
          </cell>
          <cell r="C6509" t="str">
            <v>ud</v>
          </cell>
          <cell r="D6509">
            <v>0</v>
          </cell>
          <cell r="E6509">
            <v>142.63</v>
          </cell>
          <cell r="F6509">
            <v>142.63</v>
          </cell>
          <cell r="G6509">
            <v>3590</v>
          </cell>
        </row>
        <row r="6510">
          <cell r="A6510" t="str">
            <v>231121</v>
          </cell>
          <cell r="B6510" t="str">
            <v>Te FG 45º  3"</v>
          </cell>
          <cell r="C6510" t="str">
            <v>ud</v>
          </cell>
          <cell r="D6510">
            <v>0</v>
          </cell>
          <cell r="E6510">
            <v>225.46</v>
          </cell>
          <cell r="F6510">
            <v>225.46</v>
          </cell>
          <cell r="G6510">
            <v>3592</v>
          </cell>
        </row>
        <row r="6511">
          <cell r="A6511" t="str">
            <v>231122</v>
          </cell>
          <cell r="B6511" t="str">
            <v>Te FG 45º  4"</v>
          </cell>
          <cell r="C6511" t="str">
            <v>ud</v>
          </cell>
          <cell r="D6511">
            <v>0</v>
          </cell>
          <cell r="E6511">
            <v>361.43</v>
          </cell>
          <cell r="F6511">
            <v>361.43</v>
          </cell>
          <cell r="G6511">
            <v>3591</v>
          </cell>
        </row>
        <row r="6512">
          <cell r="A6512" t="str">
            <v>231123</v>
          </cell>
          <cell r="B6512" t="str">
            <v>Te de curva dupla FG  1/2"</v>
          </cell>
          <cell r="C6512" t="str">
            <v>ud</v>
          </cell>
          <cell r="D6512">
            <v>0</v>
          </cell>
        </row>
        <row r="6513">
          <cell r="A6513" t="str">
            <v>231124</v>
          </cell>
          <cell r="B6513" t="str">
            <v>Te de curva dupla FG  3/4"</v>
          </cell>
          <cell r="C6513" t="str">
            <v>ud</v>
          </cell>
          <cell r="D6513">
            <v>0</v>
          </cell>
        </row>
        <row r="6514">
          <cell r="A6514" t="str">
            <v>231125</v>
          </cell>
          <cell r="B6514" t="str">
            <v>Te red FG   3/8"     1/4"</v>
          </cell>
          <cell r="C6514" t="str">
            <v>ud</v>
          </cell>
          <cell r="D6514">
            <v>0</v>
          </cell>
        </row>
        <row r="6515">
          <cell r="A6515" t="str">
            <v>231126</v>
          </cell>
          <cell r="B6515" t="str">
            <v>Te red FG   1/2"     1/4" (90158)</v>
          </cell>
          <cell r="C6515" t="str">
            <v>ud</v>
          </cell>
          <cell r="D6515">
            <v>0</v>
          </cell>
        </row>
        <row r="6516">
          <cell r="A6516" t="str">
            <v>231127</v>
          </cell>
          <cell r="B6516" t="str">
            <v>Te red FG   1/2"     3/8" (31534)</v>
          </cell>
          <cell r="C6516" t="str">
            <v>ud</v>
          </cell>
          <cell r="D6516">
            <v>0</v>
          </cell>
        </row>
        <row r="6517">
          <cell r="A6517" t="str">
            <v>231128</v>
          </cell>
          <cell r="B6517" t="str">
            <v>Te red FG   3/4"     3/8"</v>
          </cell>
          <cell r="C6517" t="str">
            <v>ud</v>
          </cell>
          <cell r="D6517">
            <v>0</v>
          </cell>
        </row>
        <row r="6518">
          <cell r="A6518" t="str">
            <v>231129</v>
          </cell>
          <cell r="B6518" t="str">
            <v>Te red FG   3/4"     1/2" (31542)</v>
          </cell>
          <cell r="C6518" t="str">
            <v>ud</v>
          </cell>
          <cell r="D6518">
            <v>0</v>
          </cell>
          <cell r="E6518">
            <v>8.61</v>
          </cell>
          <cell r="F6518">
            <v>8.61</v>
          </cell>
          <cell r="G6518">
            <v>6302</v>
          </cell>
        </row>
        <row r="6519">
          <cell r="A6519" t="str">
            <v>231130</v>
          </cell>
          <cell r="B6519" t="str">
            <v>Te red FG    1"       3/8"</v>
          </cell>
          <cell r="C6519" t="str">
            <v>ud</v>
          </cell>
          <cell r="D6519">
            <v>0</v>
          </cell>
        </row>
        <row r="6520">
          <cell r="A6520" t="str">
            <v>231131</v>
          </cell>
          <cell r="B6520" t="str">
            <v>Te red FG    1"       1/2" (31569)</v>
          </cell>
          <cell r="C6520" t="str">
            <v>ud</v>
          </cell>
          <cell r="D6520">
            <v>0</v>
          </cell>
          <cell r="E6520">
            <v>14</v>
          </cell>
          <cell r="F6520">
            <v>14</v>
          </cell>
          <cell r="G6520">
            <v>6320</v>
          </cell>
        </row>
        <row r="6521">
          <cell r="A6521" t="str">
            <v>231132</v>
          </cell>
          <cell r="B6521" t="str">
            <v>Te red FG    1"       3/4" (31577)</v>
          </cell>
          <cell r="C6521" t="str">
            <v>ud</v>
          </cell>
          <cell r="D6521">
            <v>0</v>
          </cell>
          <cell r="E6521">
            <v>14</v>
          </cell>
          <cell r="F6521">
            <v>14</v>
          </cell>
        </row>
        <row r="6522">
          <cell r="A6522" t="str">
            <v>231133</v>
          </cell>
          <cell r="B6522" t="str">
            <v>Te red FG  1.1/4"   1/2" (31585)</v>
          </cell>
          <cell r="C6522" t="str">
            <v>ud</v>
          </cell>
          <cell r="D6522">
            <v>0</v>
          </cell>
        </row>
        <row r="6523">
          <cell r="A6523" t="str">
            <v>231134</v>
          </cell>
          <cell r="B6523" t="str">
            <v>Te red FG  1.1/4"   3/4" (31593)</v>
          </cell>
          <cell r="C6523" t="str">
            <v>ud</v>
          </cell>
          <cell r="D6523">
            <v>0</v>
          </cell>
          <cell r="E6523">
            <v>20.59</v>
          </cell>
          <cell r="F6523">
            <v>20.59</v>
          </cell>
          <cell r="G6523">
            <v>21116</v>
          </cell>
        </row>
        <row r="6524">
          <cell r="A6524" t="str">
            <v>231135</v>
          </cell>
          <cell r="B6524" t="str">
            <v>Te red FG  1.1/4"   1" (31607)</v>
          </cell>
          <cell r="C6524" t="str">
            <v>ud</v>
          </cell>
          <cell r="D6524">
            <v>0</v>
          </cell>
        </row>
        <row r="6525">
          <cell r="A6525" t="str">
            <v>231136</v>
          </cell>
          <cell r="B6525" t="str">
            <v>Te red FG  1.1/2"   3/4" (31631)</v>
          </cell>
          <cell r="C6525" t="str">
            <v>ud</v>
          </cell>
          <cell r="D6525">
            <v>0</v>
          </cell>
          <cell r="E6525">
            <v>27.19</v>
          </cell>
          <cell r="F6525">
            <v>27.19</v>
          </cell>
          <cell r="G6525">
            <v>6304</v>
          </cell>
        </row>
        <row r="6526">
          <cell r="A6526" t="str">
            <v>231137</v>
          </cell>
          <cell r="B6526" t="str">
            <v>Te red FG  1.1/2"   1" (31640)</v>
          </cell>
          <cell r="C6526" t="str">
            <v>ud</v>
          </cell>
          <cell r="D6526">
            <v>0</v>
          </cell>
          <cell r="E6526">
            <v>27.19</v>
          </cell>
          <cell r="F6526">
            <v>27.19</v>
          </cell>
          <cell r="G6526">
            <v>6319</v>
          </cell>
        </row>
        <row r="6527">
          <cell r="A6527" t="str">
            <v>231138</v>
          </cell>
          <cell r="B6527" t="str">
            <v>Te red FG  1.1/2"   1.1/4" (31658)</v>
          </cell>
          <cell r="C6527" t="str">
            <v>ud</v>
          </cell>
          <cell r="D6527">
            <v>0</v>
          </cell>
        </row>
        <row r="6528">
          <cell r="A6528" t="str">
            <v>231139</v>
          </cell>
          <cell r="B6528" t="str">
            <v>Te red FG    2"       1" (31682)</v>
          </cell>
          <cell r="C6528" t="str">
            <v>ud</v>
          </cell>
          <cell r="D6528">
            <v>0</v>
          </cell>
          <cell r="E6528">
            <v>40.590000000000003</v>
          </cell>
          <cell r="F6528">
            <v>40.590000000000003</v>
          </cell>
          <cell r="G6528">
            <v>6305</v>
          </cell>
        </row>
        <row r="6529">
          <cell r="A6529" t="str">
            <v>231140</v>
          </cell>
          <cell r="B6529" t="str">
            <v>Te red FG    2"       1.1/4" (31690)</v>
          </cell>
          <cell r="C6529" t="str">
            <v>ud</v>
          </cell>
          <cell r="D6529">
            <v>0</v>
          </cell>
          <cell r="E6529">
            <v>40.590000000000003</v>
          </cell>
          <cell r="F6529">
            <v>40.590000000000003</v>
          </cell>
          <cell r="G6529">
            <v>6306</v>
          </cell>
        </row>
        <row r="6530">
          <cell r="A6530" t="str">
            <v>231141</v>
          </cell>
          <cell r="B6530" t="str">
            <v>Te red FG    2"       1.1/2" (31704)</v>
          </cell>
          <cell r="C6530" t="str">
            <v>ud</v>
          </cell>
          <cell r="D6530">
            <v>0</v>
          </cell>
          <cell r="E6530">
            <v>40.590000000000003</v>
          </cell>
          <cell r="F6530">
            <v>40.590000000000003</v>
          </cell>
          <cell r="G6530">
            <v>6318</v>
          </cell>
        </row>
        <row r="6531">
          <cell r="A6531" t="str">
            <v>231142</v>
          </cell>
          <cell r="B6531" t="str">
            <v>Te red FG  2.1/2"   1" (31747)</v>
          </cell>
          <cell r="C6531" t="str">
            <v>ud</v>
          </cell>
          <cell r="D6531">
            <v>0</v>
          </cell>
          <cell r="E6531">
            <v>75.239999999999995</v>
          </cell>
          <cell r="F6531">
            <v>75.239999999999995</v>
          </cell>
          <cell r="G6531">
            <v>6307</v>
          </cell>
        </row>
        <row r="6532">
          <cell r="A6532" t="str">
            <v>231143</v>
          </cell>
          <cell r="B6532" t="str">
            <v>Te red FG  2.1/2"   1.1/4" (31755)</v>
          </cell>
          <cell r="C6532" t="str">
            <v>ud</v>
          </cell>
          <cell r="D6532">
            <v>0</v>
          </cell>
          <cell r="E6532">
            <v>75.239999999999995</v>
          </cell>
          <cell r="F6532">
            <v>75.239999999999995</v>
          </cell>
          <cell r="G6532">
            <v>6317</v>
          </cell>
        </row>
        <row r="6533">
          <cell r="A6533" t="str">
            <v>231144</v>
          </cell>
          <cell r="B6533" t="str">
            <v>Te red FG  2.1/2"   1.1/2" (31763)</v>
          </cell>
          <cell r="C6533" t="str">
            <v>ud</v>
          </cell>
          <cell r="D6533">
            <v>0</v>
          </cell>
          <cell r="E6533">
            <v>75.239999999999995</v>
          </cell>
          <cell r="F6533">
            <v>75.239999999999995</v>
          </cell>
          <cell r="G6533">
            <v>6308</v>
          </cell>
        </row>
        <row r="6534">
          <cell r="A6534" t="str">
            <v>231145</v>
          </cell>
          <cell r="B6534" t="str">
            <v>Te red FG  2.1/2"   2" (31771)</v>
          </cell>
          <cell r="C6534" t="str">
            <v>ud</v>
          </cell>
          <cell r="D6534">
            <v>0</v>
          </cell>
          <cell r="E6534">
            <v>77.430000000000007</v>
          </cell>
          <cell r="F6534">
            <v>77.430000000000007</v>
          </cell>
          <cell r="G6534">
            <v>6309</v>
          </cell>
        </row>
        <row r="6535">
          <cell r="A6535" t="str">
            <v>231146</v>
          </cell>
          <cell r="B6535" t="str">
            <v>Te red FG    3"       1" (31801)</v>
          </cell>
          <cell r="C6535" t="str">
            <v>ud</v>
          </cell>
          <cell r="D6535">
            <v>0</v>
          </cell>
          <cell r="E6535">
            <v>108.23</v>
          </cell>
          <cell r="F6535">
            <v>108.23</v>
          </cell>
          <cell r="G6535">
            <v>6310</v>
          </cell>
        </row>
        <row r="6536">
          <cell r="A6536" t="str">
            <v>231147</v>
          </cell>
          <cell r="B6536" t="str">
            <v>Te red FG    3"       1.1/4"</v>
          </cell>
          <cell r="C6536" t="str">
            <v>ud</v>
          </cell>
          <cell r="D6536">
            <v>0</v>
          </cell>
          <cell r="E6536">
            <v>108.23</v>
          </cell>
          <cell r="F6536">
            <v>108.23</v>
          </cell>
          <cell r="G6536">
            <v>6311</v>
          </cell>
        </row>
        <row r="6537">
          <cell r="A6537" t="str">
            <v>231148</v>
          </cell>
          <cell r="B6537" t="str">
            <v>Te red FG    3"       1.1/2" (31828)</v>
          </cell>
          <cell r="C6537" t="str">
            <v>ud</v>
          </cell>
          <cell r="D6537">
            <v>0</v>
          </cell>
          <cell r="E6537">
            <v>108.23</v>
          </cell>
          <cell r="F6537">
            <v>108.23</v>
          </cell>
          <cell r="G6537">
            <v>6312</v>
          </cell>
        </row>
        <row r="6538">
          <cell r="A6538" t="str">
            <v>231149</v>
          </cell>
          <cell r="B6538" t="str">
            <v>Te red FG    3"       2" (31836)</v>
          </cell>
          <cell r="C6538" t="str">
            <v>ud</v>
          </cell>
          <cell r="D6538">
            <v>0</v>
          </cell>
          <cell r="E6538">
            <v>108.23</v>
          </cell>
          <cell r="F6538">
            <v>108.23</v>
          </cell>
          <cell r="G6538">
            <v>6313</v>
          </cell>
        </row>
        <row r="6539">
          <cell r="A6539" t="str">
            <v>231150</v>
          </cell>
          <cell r="B6539" t="str">
            <v>Te red FG    3"       2".1/2" (31844)</v>
          </cell>
          <cell r="C6539" t="str">
            <v>ud</v>
          </cell>
          <cell r="D6539">
            <v>0</v>
          </cell>
          <cell r="E6539">
            <v>108.23</v>
          </cell>
          <cell r="F6539">
            <v>108.23</v>
          </cell>
        </row>
        <row r="6540">
          <cell r="A6540" t="str">
            <v>231151</v>
          </cell>
          <cell r="B6540" t="str">
            <v>Te red FG    4"       2" (31917)</v>
          </cell>
          <cell r="C6540" t="str">
            <v>ud</v>
          </cell>
          <cell r="D6540">
            <v>0</v>
          </cell>
          <cell r="E6540">
            <v>204.93</v>
          </cell>
          <cell r="F6540">
            <v>204.93</v>
          </cell>
        </row>
        <row r="6541">
          <cell r="A6541" t="str">
            <v>231152</v>
          </cell>
          <cell r="B6541" t="str">
            <v>Te red FG    4"       3" (57746)</v>
          </cell>
          <cell r="C6541" t="str">
            <v>ud</v>
          </cell>
          <cell r="D6541">
            <v>0</v>
          </cell>
          <cell r="E6541">
            <v>204.93</v>
          </cell>
          <cell r="F6541">
            <v>204.93</v>
          </cell>
        </row>
        <row r="6542">
          <cell r="A6542" t="str">
            <v>2312</v>
          </cell>
          <cell r="B6542" t="str">
            <v>TUBO FG - CLASSE LEVE</v>
          </cell>
        </row>
        <row r="6543">
          <cell r="A6543" t="str">
            <v>231201</v>
          </cell>
          <cell r="B6543" t="str">
            <v>Tubo FG classe leve c/ costura  1/8"</v>
          </cell>
          <cell r="C6543" t="str">
            <v>m</v>
          </cell>
          <cell r="D6543">
            <v>0</v>
          </cell>
        </row>
        <row r="6544">
          <cell r="A6544" t="str">
            <v>231202</v>
          </cell>
          <cell r="B6544" t="str">
            <v>Tubo FG classe leve c/ costura  1/4"</v>
          </cell>
          <cell r="C6544" t="str">
            <v>m</v>
          </cell>
          <cell r="D6544">
            <v>0</v>
          </cell>
        </row>
        <row r="6545">
          <cell r="A6545" t="str">
            <v>231203</v>
          </cell>
          <cell r="B6545" t="str">
            <v>Tubo FG classe leve c/ costura  3/8"</v>
          </cell>
          <cell r="C6545" t="str">
            <v>m</v>
          </cell>
          <cell r="D6545">
            <v>0</v>
          </cell>
        </row>
        <row r="6546">
          <cell r="A6546" t="str">
            <v>231204</v>
          </cell>
          <cell r="B6546" t="str">
            <v>Tubo FG classe leve c/ costura  1/2"</v>
          </cell>
          <cell r="C6546" t="str">
            <v>m</v>
          </cell>
          <cell r="D6546">
            <v>0</v>
          </cell>
          <cell r="E6546">
            <v>10.37</v>
          </cell>
          <cell r="F6546">
            <v>10.37</v>
          </cell>
          <cell r="G6546">
            <v>21008</v>
          </cell>
        </row>
        <row r="6547">
          <cell r="A6547" t="str">
            <v>231205</v>
          </cell>
          <cell r="B6547" t="str">
            <v>Tubo FG classe leve c/ costura  3/4"</v>
          </cell>
          <cell r="C6547" t="str">
            <v>m</v>
          </cell>
          <cell r="D6547">
            <v>0</v>
          </cell>
          <cell r="E6547">
            <v>13.5</v>
          </cell>
          <cell r="F6547">
            <v>13.5</v>
          </cell>
          <cell r="G6547">
            <v>21009</v>
          </cell>
        </row>
        <row r="6548">
          <cell r="A6548" t="str">
            <v>231206</v>
          </cell>
          <cell r="B6548" t="str">
            <v>Tubo FG classe leve c/ costura  1"</v>
          </cell>
          <cell r="C6548" t="str">
            <v>m</v>
          </cell>
          <cell r="D6548">
            <v>0</v>
          </cell>
          <cell r="E6548">
            <v>18.13</v>
          </cell>
          <cell r="F6548">
            <v>18.13</v>
          </cell>
        </row>
        <row r="6549">
          <cell r="A6549" t="str">
            <v>231207</v>
          </cell>
          <cell r="B6549" t="str">
            <v>Tubo FG classe leve c/ costura  1.1/4"</v>
          </cell>
          <cell r="C6549" t="str">
            <v>m</v>
          </cell>
          <cell r="D6549">
            <v>0</v>
          </cell>
          <cell r="E6549">
            <v>26.42</v>
          </cell>
          <cell r="F6549">
            <v>26.42</v>
          </cell>
          <cell r="G6549">
            <v>21011</v>
          </cell>
        </row>
        <row r="6550">
          <cell r="A6550" t="str">
            <v>231208</v>
          </cell>
          <cell r="B6550" t="str">
            <v>Tubo FG classe leve c/ costura  1.1/2"</v>
          </cell>
          <cell r="C6550" t="str">
            <v>m</v>
          </cell>
          <cell r="D6550">
            <v>0</v>
          </cell>
          <cell r="E6550">
            <v>29.2</v>
          </cell>
          <cell r="F6550">
            <v>29.2</v>
          </cell>
          <cell r="G6550">
            <v>21012</v>
          </cell>
        </row>
        <row r="6551">
          <cell r="A6551" t="str">
            <v>231209</v>
          </cell>
          <cell r="B6551" t="str">
            <v>Tubo FG classe leve c/ costura  2"</v>
          </cell>
          <cell r="C6551" t="str">
            <v>m</v>
          </cell>
          <cell r="D6551">
            <v>0</v>
          </cell>
          <cell r="E6551">
            <v>38.1</v>
          </cell>
          <cell r="F6551">
            <v>38.1</v>
          </cell>
          <cell r="G6551">
            <v>21013</v>
          </cell>
        </row>
        <row r="6552">
          <cell r="A6552" t="str">
            <v>231210</v>
          </cell>
          <cell r="B6552" t="str">
            <v>Tubo FG classe leve c/ costura  2.1/2"</v>
          </cell>
          <cell r="C6552" t="str">
            <v>m</v>
          </cell>
          <cell r="D6552">
            <v>0</v>
          </cell>
          <cell r="E6552">
            <v>53.31</v>
          </cell>
          <cell r="F6552">
            <v>53.31</v>
          </cell>
          <cell r="G6552">
            <v>21014</v>
          </cell>
        </row>
        <row r="6553">
          <cell r="A6553" t="str">
            <v>231211</v>
          </cell>
          <cell r="B6553" t="str">
            <v>Tubo FG classe leve c/ costura  3"</v>
          </cell>
          <cell r="C6553" t="str">
            <v>m</v>
          </cell>
          <cell r="D6553">
            <v>0</v>
          </cell>
          <cell r="E6553">
            <v>61.25</v>
          </cell>
          <cell r="F6553">
            <v>61.25</v>
          </cell>
          <cell r="G6553">
            <v>21015</v>
          </cell>
        </row>
        <row r="6554">
          <cell r="A6554" t="str">
            <v>231212</v>
          </cell>
          <cell r="B6554" t="str">
            <v>Tubo FG classe leve c/ costura  3.1/2"</v>
          </cell>
          <cell r="C6554" t="str">
            <v>m</v>
          </cell>
          <cell r="D6554">
            <v>0</v>
          </cell>
        </row>
        <row r="6555">
          <cell r="A6555" t="str">
            <v>231213</v>
          </cell>
          <cell r="B6555" t="str">
            <v>Tubo FG classe leve c/ costura  4'</v>
          </cell>
          <cell r="C6555" t="str">
            <v>m</v>
          </cell>
          <cell r="D6555">
            <v>0</v>
          </cell>
          <cell r="E6555">
            <v>88.77</v>
          </cell>
          <cell r="F6555">
            <v>88.77</v>
          </cell>
          <cell r="G6555">
            <v>21016</v>
          </cell>
        </row>
        <row r="6556">
          <cell r="A6556" t="str">
            <v>231214</v>
          </cell>
          <cell r="B6556" t="str">
            <v>Tubo FG classe leve c/ costura  5"</v>
          </cell>
          <cell r="C6556" t="str">
            <v>m</v>
          </cell>
          <cell r="D6556">
            <v>0</v>
          </cell>
        </row>
        <row r="6557">
          <cell r="A6557" t="str">
            <v>231215</v>
          </cell>
          <cell r="B6557" t="str">
            <v>Tubo FG classe leve c/ costura  6"</v>
          </cell>
          <cell r="C6557" t="str">
            <v>m</v>
          </cell>
          <cell r="D6557">
            <v>0</v>
          </cell>
        </row>
        <row r="6558">
          <cell r="A6558" t="str">
            <v>231216</v>
          </cell>
          <cell r="B6558" t="str">
            <v>Tubo FG classe leve s/ costura  1/8"</v>
          </cell>
          <cell r="C6558" t="str">
            <v>m</v>
          </cell>
          <cell r="D6558">
            <v>0</v>
          </cell>
        </row>
        <row r="6559">
          <cell r="A6559" t="str">
            <v>231217</v>
          </cell>
          <cell r="B6559" t="str">
            <v>Tubo FG classe leve s/ costura  1/4"</v>
          </cell>
          <cell r="C6559" t="str">
            <v>m</v>
          </cell>
          <cell r="D6559">
            <v>0</v>
          </cell>
        </row>
        <row r="6560">
          <cell r="A6560" t="str">
            <v>231218</v>
          </cell>
          <cell r="B6560" t="str">
            <v>Tubo FG classe leve s/ costura  3/8"</v>
          </cell>
          <cell r="C6560" t="str">
            <v>m</v>
          </cell>
          <cell r="D6560">
            <v>0</v>
          </cell>
        </row>
        <row r="6561">
          <cell r="A6561" t="str">
            <v>231219</v>
          </cell>
          <cell r="B6561" t="str">
            <v>Tubo FG classe leve s/ costura  1/2"</v>
          </cell>
          <cell r="C6561" t="str">
            <v>m</v>
          </cell>
          <cell r="D6561">
            <v>0</v>
          </cell>
        </row>
        <row r="6562">
          <cell r="A6562" t="str">
            <v>231220</v>
          </cell>
          <cell r="B6562" t="str">
            <v>Tubo FG classe leve s/ costura  3/4"</v>
          </cell>
          <cell r="C6562" t="str">
            <v>m</v>
          </cell>
          <cell r="D6562">
            <v>0</v>
          </cell>
        </row>
        <row r="6563">
          <cell r="A6563" t="str">
            <v>231221</v>
          </cell>
          <cell r="B6563" t="str">
            <v>Tubo FG classe leve s/ costura  1"</v>
          </cell>
          <cell r="C6563" t="str">
            <v>m</v>
          </cell>
          <cell r="D6563">
            <v>0</v>
          </cell>
        </row>
        <row r="6564">
          <cell r="A6564" t="str">
            <v>231222</v>
          </cell>
          <cell r="B6564" t="str">
            <v>Tubo FG classe leve s/ costura  1.1/4"</v>
          </cell>
          <cell r="C6564" t="str">
            <v>m</v>
          </cell>
          <cell r="D6564">
            <v>0</v>
          </cell>
        </row>
        <row r="6565">
          <cell r="A6565" t="str">
            <v>231223</v>
          </cell>
          <cell r="B6565" t="str">
            <v>Tubo FG classe leve s/ costura  1.1/2"</v>
          </cell>
          <cell r="C6565" t="str">
            <v>m</v>
          </cell>
          <cell r="D6565">
            <v>0</v>
          </cell>
        </row>
        <row r="6566">
          <cell r="A6566" t="str">
            <v>231224</v>
          </cell>
          <cell r="B6566" t="str">
            <v>Tubo FG classe leve s/ costura  2"</v>
          </cell>
          <cell r="C6566" t="str">
            <v>m</v>
          </cell>
          <cell r="D6566">
            <v>0</v>
          </cell>
        </row>
        <row r="6567">
          <cell r="A6567" t="str">
            <v>231225</v>
          </cell>
          <cell r="B6567" t="str">
            <v>Tubo FG classe leve s/ costura  2.1/2"</v>
          </cell>
          <cell r="C6567" t="str">
            <v>m</v>
          </cell>
          <cell r="D6567">
            <v>0</v>
          </cell>
        </row>
        <row r="6568">
          <cell r="A6568" t="str">
            <v>231226</v>
          </cell>
          <cell r="B6568" t="str">
            <v>Tubo FG classe leve s/ costura  3"</v>
          </cell>
          <cell r="C6568" t="str">
            <v>m</v>
          </cell>
          <cell r="D6568">
            <v>0</v>
          </cell>
        </row>
        <row r="6569">
          <cell r="A6569" t="str">
            <v>231227</v>
          </cell>
          <cell r="B6569" t="str">
            <v>Tubo FG classe leve s/ costura  3.1/2"</v>
          </cell>
          <cell r="C6569" t="str">
            <v>m</v>
          </cell>
          <cell r="D6569">
            <v>0</v>
          </cell>
        </row>
        <row r="6570">
          <cell r="A6570" t="str">
            <v>231228</v>
          </cell>
          <cell r="B6570" t="str">
            <v>Tubo FG classe leve s/ costura  4'</v>
          </cell>
          <cell r="C6570" t="str">
            <v>m</v>
          </cell>
          <cell r="D6570">
            <v>0</v>
          </cell>
        </row>
        <row r="6571">
          <cell r="A6571" t="str">
            <v>231229</v>
          </cell>
          <cell r="B6571" t="str">
            <v>Tubo FG classe leve s/ costura  5"</v>
          </cell>
          <cell r="C6571" t="str">
            <v>m</v>
          </cell>
          <cell r="D6571">
            <v>0</v>
          </cell>
        </row>
        <row r="6572">
          <cell r="A6572" t="str">
            <v>231230</v>
          </cell>
          <cell r="B6572" t="str">
            <v>Tubo FG classe leve s/ costura  6"</v>
          </cell>
          <cell r="C6572" t="str">
            <v>m</v>
          </cell>
          <cell r="D6572">
            <v>0</v>
          </cell>
        </row>
        <row r="6573">
          <cell r="A6573" t="str">
            <v>2313</v>
          </cell>
          <cell r="B6573" t="str">
            <v>TUBO FG - CLASSE MÉDIA</v>
          </cell>
        </row>
        <row r="6574">
          <cell r="A6574" t="str">
            <v>231310</v>
          </cell>
          <cell r="B6574" t="str">
            <v>Tubo FG classe média c/ costura  2.1/2"</v>
          </cell>
          <cell r="C6574" t="str">
            <v>m</v>
          </cell>
          <cell r="D6574">
            <v>0</v>
          </cell>
          <cell r="E6574">
            <v>52.31</v>
          </cell>
          <cell r="F6574">
            <v>52.31</v>
          </cell>
          <cell r="G6574">
            <v>7701</v>
          </cell>
        </row>
        <row r="6575">
          <cell r="A6575" t="str">
            <v>231311</v>
          </cell>
          <cell r="B6575" t="str">
            <v>Tubo FG classe média c/ costura  3"</v>
          </cell>
          <cell r="C6575" t="str">
            <v>m</v>
          </cell>
          <cell r="D6575">
            <v>0</v>
          </cell>
          <cell r="E6575">
            <v>70.39</v>
          </cell>
          <cell r="F6575">
            <v>70.39</v>
          </cell>
          <cell r="G6575">
            <v>7694</v>
          </cell>
        </row>
        <row r="6576">
          <cell r="A6576" t="str">
            <v>231312</v>
          </cell>
          <cell r="B6576" t="str">
            <v>Tubo FG classe média c/ costura  3.1/2"</v>
          </cell>
          <cell r="C6576" t="str">
            <v>m</v>
          </cell>
          <cell r="D6576">
            <v>0</v>
          </cell>
        </row>
        <row r="6577">
          <cell r="A6577" t="str">
            <v>231313</v>
          </cell>
          <cell r="B6577" t="str">
            <v>Tubo FG classe média c/ costura  4'</v>
          </cell>
          <cell r="C6577" t="str">
            <v>m</v>
          </cell>
          <cell r="D6577">
            <v>0</v>
          </cell>
          <cell r="E6577">
            <v>96.94</v>
          </cell>
          <cell r="F6577">
            <v>96.94</v>
          </cell>
          <cell r="G6577">
            <v>7693</v>
          </cell>
        </row>
        <row r="6578">
          <cell r="A6578" t="str">
            <v>231314</v>
          </cell>
          <cell r="B6578" t="str">
            <v>Tubo FG classe média c/ costura  5"</v>
          </cell>
          <cell r="C6578" t="str">
            <v>m</v>
          </cell>
          <cell r="D6578">
            <v>0</v>
          </cell>
          <cell r="E6578">
            <v>145.13999999999999</v>
          </cell>
          <cell r="F6578">
            <v>145.13999999999999</v>
          </cell>
          <cell r="G6578">
            <v>7692</v>
          </cell>
        </row>
        <row r="6579">
          <cell r="A6579" t="str">
            <v>231315</v>
          </cell>
          <cell r="B6579" t="str">
            <v>Tubo FG classe média c/ costura  6"</v>
          </cell>
          <cell r="C6579" t="str">
            <v>m</v>
          </cell>
          <cell r="D6579">
            <v>0</v>
          </cell>
          <cell r="E6579">
            <v>157.4</v>
          </cell>
          <cell r="F6579">
            <v>157.4</v>
          </cell>
        </row>
        <row r="6580">
          <cell r="A6580" t="str">
            <v>231316</v>
          </cell>
          <cell r="B6580" t="str">
            <v>Tubo FG classe média s/ costura  1/8"</v>
          </cell>
          <cell r="C6580" t="str">
            <v>m</v>
          </cell>
          <cell r="D6580">
            <v>0</v>
          </cell>
        </row>
        <row r="6581">
          <cell r="A6581" t="str">
            <v>231317</v>
          </cell>
          <cell r="B6581" t="str">
            <v>Tubo FG classe média s/ costura  1/4"</v>
          </cell>
          <cell r="C6581" t="str">
            <v>m</v>
          </cell>
          <cell r="D6581">
            <v>0</v>
          </cell>
          <cell r="E6581">
            <v>0</v>
          </cell>
          <cell r="F6581">
            <v>0</v>
          </cell>
          <cell r="G6581">
            <v>0</v>
          </cell>
        </row>
        <row r="6582">
          <cell r="A6582" t="str">
            <v>231318</v>
          </cell>
          <cell r="B6582" t="str">
            <v>Tubo FG classe média s/ costura  3/8"</v>
          </cell>
          <cell r="C6582" t="str">
            <v>m</v>
          </cell>
          <cell r="D6582">
            <v>0</v>
          </cell>
          <cell r="E6582">
            <v>0</v>
          </cell>
          <cell r="F6582">
            <v>0</v>
          </cell>
          <cell r="G6582">
            <v>0</v>
          </cell>
        </row>
        <row r="6583">
          <cell r="A6583" t="str">
            <v>231319</v>
          </cell>
          <cell r="B6583" t="str">
            <v>Tubo FG classe média s/ costura  1/2"</v>
          </cell>
          <cell r="C6583" t="str">
            <v>m</v>
          </cell>
          <cell r="D6583">
            <v>0</v>
          </cell>
        </row>
        <row r="6584">
          <cell r="A6584" t="str">
            <v>231320</v>
          </cell>
          <cell r="B6584" t="str">
            <v>Tubo FG classe média s/ costura  3/4"</v>
          </cell>
          <cell r="C6584" t="str">
            <v>m</v>
          </cell>
          <cell r="D6584">
            <v>0</v>
          </cell>
          <cell r="E6584">
            <v>0</v>
          </cell>
          <cell r="F6584">
            <v>0</v>
          </cell>
          <cell r="G6584">
            <v>0</v>
          </cell>
        </row>
        <row r="6585">
          <cell r="A6585" t="str">
            <v>231321</v>
          </cell>
          <cell r="B6585" t="str">
            <v>Tubo FG classe média s/ costura  1"</v>
          </cell>
          <cell r="C6585" t="str">
            <v>m</v>
          </cell>
          <cell r="D6585">
            <v>0</v>
          </cell>
          <cell r="E6585">
            <v>0</v>
          </cell>
          <cell r="F6585">
            <v>0</v>
          </cell>
          <cell r="G6585">
            <v>0</v>
          </cell>
        </row>
        <row r="6586">
          <cell r="A6586" t="str">
            <v>231322</v>
          </cell>
          <cell r="B6586" t="str">
            <v>Tubo FG classe média s/ costura  1.1/4"</v>
          </cell>
          <cell r="C6586" t="str">
            <v>m</v>
          </cell>
          <cell r="D6586">
            <v>0</v>
          </cell>
          <cell r="E6586">
            <v>0</v>
          </cell>
          <cell r="F6586">
            <v>0</v>
          </cell>
          <cell r="G6586">
            <v>0</v>
          </cell>
        </row>
        <row r="6587">
          <cell r="A6587" t="str">
            <v>231323</v>
          </cell>
          <cell r="B6587" t="str">
            <v>Tubo FG classe média s/ costura  1.1/2"</v>
          </cell>
          <cell r="C6587" t="str">
            <v>m</v>
          </cell>
          <cell r="D6587">
            <v>0</v>
          </cell>
          <cell r="E6587">
            <v>0</v>
          </cell>
          <cell r="F6587">
            <v>0</v>
          </cell>
          <cell r="G6587">
            <v>0</v>
          </cell>
        </row>
        <row r="6588">
          <cell r="A6588" t="str">
            <v>231324</v>
          </cell>
          <cell r="B6588" t="str">
            <v>Tubo FG classe média s/ costura  2"</v>
          </cell>
          <cell r="C6588" t="str">
            <v>m</v>
          </cell>
          <cell r="D6588">
            <v>0</v>
          </cell>
          <cell r="E6588">
            <v>0</v>
          </cell>
          <cell r="F6588">
            <v>0</v>
          </cell>
          <cell r="G6588">
            <v>0</v>
          </cell>
        </row>
        <row r="6589">
          <cell r="A6589" t="str">
            <v>231325</v>
          </cell>
          <cell r="B6589" t="str">
            <v>Tubo FG classe média s/ costura  2.1/2"</v>
          </cell>
          <cell r="C6589" t="str">
            <v>m</v>
          </cell>
          <cell r="D6589">
            <v>0</v>
          </cell>
        </row>
        <row r="6590">
          <cell r="A6590" t="str">
            <v>231326</v>
          </cell>
          <cell r="B6590" t="str">
            <v>Tubo FG classe média s/ costura  3"</v>
          </cell>
          <cell r="C6590" t="str">
            <v>m</v>
          </cell>
          <cell r="D6590">
            <v>0</v>
          </cell>
          <cell r="E6590">
            <v>0</v>
          </cell>
          <cell r="F6590">
            <v>0</v>
          </cell>
          <cell r="G6590">
            <v>0</v>
          </cell>
        </row>
        <row r="6591">
          <cell r="A6591" t="str">
            <v>231327</v>
          </cell>
          <cell r="B6591" t="str">
            <v>Tubo FG classe média s/ costura  3.1/2"</v>
          </cell>
          <cell r="C6591" t="str">
            <v>m</v>
          </cell>
          <cell r="D6591">
            <v>0</v>
          </cell>
          <cell r="E6591">
            <v>0</v>
          </cell>
          <cell r="F6591">
            <v>0</v>
          </cell>
          <cell r="G6591">
            <v>0</v>
          </cell>
        </row>
        <row r="6592">
          <cell r="A6592" t="str">
            <v>231328</v>
          </cell>
          <cell r="B6592" t="str">
            <v>Tubo FG classe média s/ costura  4'</v>
          </cell>
          <cell r="C6592" t="str">
            <v>m</v>
          </cell>
          <cell r="D6592">
            <v>0</v>
          </cell>
        </row>
        <row r="6593">
          <cell r="A6593" t="str">
            <v>231329</v>
          </cell>
          <cell r="B6593" t="str">
            <v>Tubo FG classe média s/ costura  5"</v>
          </cell>
          <cell r="C6593" t="str">
            <v>m</v>
          </cell>
          <cell r="D6593">
            <v>0</v>
          </cell>
        </row>
        <row r="6594">
          <cell r="A6594" t="str">
            <v>231330</v>
          </cell>
          <cell r="B6594" t="str">
            <v>Tubo FG classe média s/ costura  6"</v>
          </cell>
          <cell r="C6594" t="str">
            <v>m</v>
          </cell>
          <cell r="D6594">
            <v>0</v>
          </cell>
        </row>
        <row r="6595">
          <cell r="A6595" t="str">
            <v>231301</v>
          </cell>
          <cell r="B6595" t="str">
            <v>Tubo FG classe média c/ costura  1/8"</v>
          </cell>
          <cell r="C6595" t="str">
            <v>m</v>
          </cell>
          <cell r="D6595">
            <v>0</v>
          </cell>
        </row>
        <row r="6596">
          <cell r="A6596" t="str">
            <v>231302</v>
          </cell>
          <cell r="B6596" t="str">
            <v>Tubo FG classe média c/ costura  1/4"</v>
          </cell>
          <cell r="C6596" t="str">
            <v>m</v>
          </cell>
          <cell r="D6596">
            <v>0</v>
          </cell>
        </row>
        <row r="6597">
          <cell r="A6597" t="str">
            <v>231303</v>
          </cell>
          <cell r="B6597" t="str">
            <v>Tubo FG classe média c/ costura  3/8"</v>
          </cell>
          <cell r="C6597" t="str">
            <v>m</v>
          </cell>
          <cell r="D6597">
            <v>0</v>
          </cell>
        </row>
        <row r="6598">
          <cell r="A6598" t="str">
            <v>231304</v>
          </cell>
          <cell r="B6598" t="str">
            <v>Tubo FG classe média c/ costura  1/2"</v>
          </cell>
          <cell r="C6598" t="str">
            <v>m</v>
          </cell>
          <cell r="D6598">
            <v>0</v>
          </cell>
          <cell r="E6598">
            <v>10.63</v>
          </cell>
          <cell r="F6598">
            <v>10.63</v>
          </cell>
          <cell r="G6598">
            <v>7691</v>
          </cell>
        </row>
        <row r="6599">
          <cell r="A6599" t="str">
            <v>231305</v>
          </cell>
          <cell r="B6599" t="str">
            <v>Tubo FG classe média c/ costura  3/4"</v>
          </cell>
          <cell r="C6599" t="str">
            <v>m</v>
          </cell>
          <cell r="D6599">
            <v>0</v>
          </cell>
          <cell r="E6599">
            <v>13.44</v>
          </cell>
          <cell r="F6599">
            <v>13.44</v>
          </cell>
          <cell r="G6599">
            <v>7700</v>
          </cell>
        </row>
        <row r="6600">
          <cell r="A6600" t="str">
            <v>231306</v>
          </cell>
          <cell r="B6600" t="str">
            <v>Tubo FG classe média c/ costura  1"</v>
          </cell>
          <cell r="C6600" t="str">
            <v>m</v>
          </cell>
          <cell r="D6600">
            <v>0</v>
          </cell>
        </row>
        <row r="6601">
          <cell r="A6601" t="str">
            <v>231307</v>
          </cell>
          <cell r="B6601" t="str">
            <v>Tubo FG classe média c/ costura  1.1/4"</v>
          </cell>
          <cell r="C6601" t="str">
            <v>m</v>
          </cell>
          <cell r="D6601">
            <v>0</v>
          </cell>
          <cell r="E6601">
            <v>25.16</v>
          </cell>
          <cell r="F6601">
            <v>25.16</v>
          </cell>
          <cell r="G6601">
            <v>7698</v>
          </cell>
        </row>
        <row r="6602">
          <cell r="A6602" t="str">
            <v>231308</v>
          </cell>
          <cell r="B6602" t="str">
            <v>Tubo FG classe média c/ costura  1.1/2"</v>
          </cell>
          <cell r="C6602" t="str">
            <v>m</v>
          </cell>
          <cell r="D6602">
            <v>0</v>
          </cell>
          <cell r="E6602">
            <v>29.23</v>
          </cell>
          <cell r="F6602">
            <v>29.23</v>
          </cell>
          <cell r="G6602">
            <v>7697</v>
          </cell>
        </row>
        <row r="6603">
          <cell r="A6603" t="str">
            <v>231309</v>
          </cell>
          <cell r="B6603" t="str">
            <v>Tubo FG classe média c/ costura  2"</v>
          </cell>
          <cell r="C6603" t="str">
            <v>m</v>
          </cell>
          <cell r="D6603">
            <v>0</v>
          </cell>
          <cell r="E6603">
            <v>42.15</v>
          </cell>
          <cell r="F6603">
            <v>42.15</v>
          </cell>
          <cell r="G6603">
            <v>7696</v>
          </cell>
        </row>
        <row r="6604">
          <cell r="A6604" t="str">
            <v>2314</v>
          </cell>
          <cell r="B6604" t="str">
            <v>TUBO FG - SCHEDULE 40</v>
          </cell>
        </row>
        <row r="6605">
          <cell r="A6605" t="str">
            <v>231401</v>
          </cell>
          <cell r="B6605" t="str">
            <v>Tubo FG SCHEDULE 40  rebarba interna removida - rosca BSP  1/2"</v>
          </cell>
          <cell r="C6605" t="str">
            <v>m</v>
          </cell>
          <cell r="D6605">
            <v>0</v>
          </cell>
        </row>
        <row r="6606">
          <cell r="A6606" t="str">
            <v>231402</v>
          </cell>
          <cell r="B6606" t="str">
            <v>Tubo FG SCHEDULE 40  rebarba interna removida - rosca BSP  3/4" (79928)</v>
          </cell>
          <cell r="C6606" t="str">
            <v>m</v>
          </cell>
          <cell r="D6606">
            <v>0</v>
          </cell>
        </row>
        <row r="6607">
          <cell r="A6607" t="str">
            <v>231403</v>
          </cell>
          <cell r="B6607" t="str">
            <v>Tubo FG SCHEDULE 40  rebarba interna removida - rosca BSP    1" (139181)</v>
          </cell>
          <cell r="C6607" t="str">
            <v>m</v>
          </cell>
          <cell r="D6607">
            <v>0</v>
          </cell>
        </row>
        <row r="6608">
          <cell r="A6608" t="str">
            <v>231404</v>
          </cell>
          <cell r="B6608" t="str">
            <v>Tubo FG SCHEDULE 40  rebarba interna removida - rosca BSP 1.1/2" (133515)</v>
          </cell>
          <cell r="C6608" t="str">
            <v>m</v>
          </cell>
          <cell r="D6608">
            <v>0</v>
          </cell>
        </row>
        <row r="6609">
          <cell r="A6609" t="str">
            <v>231405</v>
          </cell>
          <cell r="B6609" t="str">
            <v>Tubo FG SCHEDULE 40  rebarba interna removida - rosca BSP 1.1/4"</v>
          </cell>
          <cell r="C6609" t="str">
            <v>m</v>
          </cell>
          <cell r="D6609">
            <v>0</v>
          </cell>
        </row>
        <row r="6610">
          <cell r="A6610" t="str">
            <v>231406</v>
          </cell>
          <cell r="B6610" t="str">
            <v>Tubo FG SCHEDULE 40  rebarba interna removida - rosca BSP    2" (139025)</v>
          </cell>
          <cell r="C6610" t="str">
            <v>m</v>
          </cell>
          <cell r="D6610">
            <v>0</v>
          </cell>
          <cell r="E6610">
            <v>0</v>
          </cell>
          <cell r="F6610">
            <v>0</v>
          </cell>
        </row>
        <row r="6611">
          <cell r="A6611" t="str">
            <v>231407</v>
          </cell>
          <cell r="B6611" t="str">
            <v>Tubo FG SCHEDULE 40  rebarba interna removida - rosca BSP 2.1/2" (288901)</v>
          </cell>
          <cell r="C6611" t="str">
            <v>m</v>
          </cell>
          <cell r="D6611">
            <v>0</v>
          </cell>
        </row>
        <row r="6612">
          <cell r="A6612" t="str">
            <v>231408</v>
          </cell>
          <cell r="B6612" t="str">
            <v>Tubo FG SCHEDULE 40  rebarba interna removida - rosca BSP    3" (155942)</v>
          </cell>
          <cell r="C6612" t="str">
            <v>m</v>
          </cell>
          <cell r="D6612">
            <v>0</v>
          </cell>
        </row>
        <row r="6613">
          <cell r="A6613" t="str">
            <v>231409</v>
          </cell>
          <cell r="B6613" t="str">
            <v>Tubo FG SCHEDULE 40  rebarba interna removida - rosca BSP 3.1/2"</v>
          </cell>
          <cell r="C6613" t="str">
            <v>m</v>
          </cell>
          <cell r="D6613">
            <v>0</v>
          </cell>
        </row>
        <row r="6614">
          <cell r="A6614" t="str">
            <v>231410</v>
          </cell>
          <cell r="B6614" t="str">
            <v>Tubo FG SCHEDULE 40  rebarba interna removida - rosca BSP    4" (146196)</v>
          </cell>
          <cell r="C6614" t="str">
            <v>m</v>
          </cell>
          <cell r="D6614">
            <v>0</v>
          </cell>
          <cell r="E6614">
            <v>0</v>
          </cell>
          <cell r="F6614">
            <v>0</v>
          </cell>
        </row>
        <row r="6615">
          <cell r="A6615" t="str">
            <v>231411</v>
          </cell>
          <cell r="B6615" t="str">
            <v>Tubo FG SCHEDULE 40  rebarba interna removida - rosca BSP    5"</v>
          </cell>
          <cell r="C6615" t="str">
            <v>m</v>
          </cell>
          <cell r="D6615">
            <v>0</v>
          </cell>
        </row>
        <row r="6616">
          <cell r="A6616" t="str">
            <v>231412</v>
          </cell>
          <cell r="B6616" t="str">
            <v>Tubo FG SCHEDULE 40  rebarba interna removida - rosca BSP    6" (179175)</v>
          </cell>
          <cell r="C6616" t="str">
            <v>m</v>
          </cell>
          <cell r="D6616">
            <v>0</v>
          </cell>
        </row>
        <row r="6617">
          <cell r="A6617" t="str">
            <v>2315</v>
          </cell>
          <cell r="B6617" t="str">
            <v>UNIÃO FG</v>
          </cell>
        </row>
        <row r="6618">
          <cell r="A6618" t="str">
            <v>231501</v>
          </cell>
          <cell r="B6618" t="str">
            <v>União FG c/ flanges ovais 3/4"</v>
          </cell>
          <cell r="C6618" t="str">
            <v>ud</v>
          </cell>
          <cell r="D6618">
            <v>0</v>
          </cell>
        </row>
        <row r="6619">
          <cell r="A6619" t="str">
            <v>231502</v>
          </cell>
          <cell r="B6619" t="str">
            <v>União FG c/ assento de ferro cônico longo  1/4"</v>
          </cell>
          <cell r="C6619" t="str">
            <v>ud</v>
          </cell>
          <cell r="D6619">
            <v>0</v>
          </cell>
        </row>
        <row r="6620">
          <cell r="A6620" t="str">
            <v>231503</v>
          </cell>
          <cell r="B6620" t="str">
            <v>União FG c/ assento de ferro cônico longo  3/8"</v>
          </cell>
          <cell r="C6620" t="str">
            <v>ud</v>
          </cell>
          <cell r="D6620">
            <v>0</v>
          </cell>
        </row>
        <row r="6621">
          <cell r="A6621" t="str">
            <v>231504</v>
          </cell>
          <cell r="B6621" t="str">
            <v>União FG c/ assento de ferro cônico longo  1/2"</v>
          </cell>
          <cell r="C6621" t="str">
            <v>ud</v>
          </cell>
          <cell r="D6621">
            <v>0</v>
          </cell>
          <cell r="E6621">
            <v>26.4</v>
          </cell>
          <cell r="F6621">
            <v>26.4</v>
          </cell>
          <cell r="G6621">
            <v>12434</v>
          </cell>
        </row>
        <row r="6622">
          <cell r="A6622" t="str">
            <v>231505</v>
          </cell>
          <cell r="B6622" t="str">
            <v>União FG c/ assento de ferro cônico longo  3/4"</v>
          </cell>
          <cell r="C6622" t="str">
            <v>ud</v>
          </cell>
          <cell r="D6622">
            <v>0</v>
          </cell>
          <cell r="E6622">
            <v>41.37</v>
          </cell>
          <cell r="F6622">
            <v>41.37</v>
          </cell>
          <cell r="G6622">
            <v>12439</v>
          </cell>
        </row>
        <row r="6623">
          <cell r="A6623" t="str">
            <v>231506</v>
          </cell>
          <cell r="B6623" t="str">
            <v>União FG c/ assento de ferro cônico longo  1"</v>
          </cell>
          <cell r="C6623" t="str">
            <v>ud</v>
          </cell>
          <cell r="D6623">
            <v>0</v>
          </cell>
          <cell r="E6623">
            <v>51.57</v>
          </cell>
          <cell r="F6623">
            <v>51.57</v>
          </cell>
          <cell r="G6623">
            <v>12433</v>
          </cell>
        </row>
        <row r="6624">
          <cell r="A6624" t="str">
            <v>231507</v>
          </cell>
          <cell r="B6624" t="str">
            <v>União FG c/ assento de ferro cônico longo  1.1/4"</v>
          </cell>
          <cell r="C6624" t="str">
            <v>ud</v>
          </cell>
          <cell r="D6624">
            <v>0</v>
          </cell>
        </row>
        <row r="6625">
          <cell r="A6625" t="str">
            <v>231508</v>
          </cell>
          <cell r="B6625" t="str">
            <v>União FG c/ assento de ferro cônico longo  1.1/2"</v>
          </cell>
          <cell r="C6625" t="str">
            <v>ud</v>
          </cell>
          <cell r="D6625">
            <v>0</v>
          </cell>
          <cell r="E6625">
            <v>81.010000000000005</v>
          </cell>
          <cell r="F6625">
            <v>81.010000000000005</v>
          </cell>
          <cell r="G6625">
            <v>12432</v>
          </cell>
        </row>
        <row r="6626">
          <cell r="A6626" t="str">
            <v>231509</v>
          </cell>
          <cell r="B6626" t="str">
            <v>União FG c/ assento de ferro cônico longo  2"</v>
          </cell>
          <cell r="C6626" t="str">
            <v>ud</v>
          </cell>
          <cell r="D6626">
            <v>0</v>
          </cell>
          <cell r="E6626">
            <v>128.9</v>
          </cell>
          <cell r="F6626">
            <v>128.9</v>
          </cell>
          <cell r="G6626">
            <v>12437</v>
          </cell>
        </row>
        <row r="6627">
          <cell r="A6627" t="str">
            <v>231510</v>
          </cell>
          <cell r="B6627" t="str">
            <v>União FG c/ assento de ferro cônico longo  2.1/2"</v>
          </cell>
          <cell r="C6627" t="str">
            <v>ud</v>
          </cell>
          <cell r="D6627">
            <v>0</v>
          </cell>
          <cell r="E6627">
            <v>159.6</v>
          </cell>
          <cell r="F6627">
            <v>159.6</v>
          </cell>
          <cell r="G6627">
            <v>12435</v>
          </cell>
        </row>
        <row r="6628">
          <cell r="A6628" t="str">
            <v>231511</v>
          </cell>
          <cell r="B6628" t="str">
            <v>União FG c/ assento de ferro cônico longo  3"</v>
          </cell>
          <cell r="C6628" t="str">
            <v>ud</v>
          </cell>
          <cell r="D6628">
            <v>0</v>
          </cell>
          <cell r="E6628">
            <v>233.26</v>
          </cell>
          <cell r="F6628">
            <v>233.26</v>
          </cell>
          <cell r="G6628">
            <v>12438</v>
          </cell>
        </row>
        <row r="6629">
          <cell r="A6629" t="str">
            <v>231512</v>
          </cell>
          <cell r="B6629" t="str">
            <v>União FG c/ assento de ferro cônico longo  4"</v>
          </cell>
          <cell r="C6629" t="str">
            <v>ud</v>
          </cell>
          <cell r="D6629">
            <v>0</v>
          </cell>
          <cell r="E6629">
            <v>294.66000000000003</v>
          </cell>
          <cell r="F6629">
            <v>294.66000000000003</v>
          </cell>
          <cell r="G6629">
            <v>12436</v>
          </cell>
        </row>
        <row r="6630">
          <cell r="A6630" t="str">
            <v>231513</v>
          </cell>
          <cell r="B6630" t="str">
            <v>União FG c/ assento de ferro cônico longo macho / fêmea  1/4"</v>
          </cell>
          <cell r="C6630" t="str">
            <v>ud</v>
          </cell>
          <cell r="D6630">
            <v>0</v>
          </cell>
        </row>
        <row r="6631">
          <cell r="A6631" t="str">
            <v>231514</v>
          </cell>
          <cell r="B6631" t="str">
            <v>União FG c/ assento de ferro cônico longo macho / fêmea  3/8"</v>
          </cell>
          <cell r="C6631" t="str">
            <v>ud</v>
          </cell>
          <cell r="D6631">
            <v>0</v>
          </cell>
        </row>
        <row r="6632">
          <cell r="A6632" t="str">
            <v>231515</v>
          </cell>
          <cell r="B6632" t="str">
            <v>União FG c/ assento de ferro cônico longo macho / fêmea  1/2"</v>
          </cell>
          <cell r="C6632" t="str">
            <v>ud</v>
          </cell>
          <cell r="D6632">
            <v>0</v>
          </cell>
        </row>
        <row r="6633">
          <cell r="A6633" t="str">
            <v>231516</v>
          </cell>
          <cell r="B6633" t="str">
            <v>União FG c/ assento de ferro cônico longo macho / fêmea  3/4"</v>
          </cell>
          <cell r="C6633" t="str">
            <v>ud</v>
          </cell>
          <cell r="D6633">
            <v>0</v>
          </cell>
        </row>
        <row r="6634">
          <cell r="A6634" t="str">
            <v>231517</v>
          </cell>
          <cell r="B6634" t="str">
            <v>União FG c/ assento de ferro cônico longo macho / fêmea  1"</v>
          </cell>
          <cell r="C6634" t="str">
            <v>ud</v>
          </cell>
          <cell r="D6634">
            <v>0</v>
          </cell>
        </row>
        <row r="6635">
          <cell r="A6635" t="str">
            <v>231518</v>
          </cell>
          <cell r="B6635" t="str">
            <v>União FG c/ assento de ferro cônico longo macho / fêmea  1.1/4"</v>
          </cell>
          <cell r="C6635" t="str">
            <v>ud</v>
          </cell>
          <cell r="D6635">
            <v>0</v>
          </cell>
        </row>
        <row r="6636">
          <cell r="A6636" t="str">
            <v>231519</v>
          </cell>
          <cell r="B6636" t="str">
            <v>União FG c/ assento de ferro cônico longo macho / fêmea  1.1/2"</v>
          </cell>
          <cell r="C6636" t="str">
            <v>ud</v>
          </cell>
          <cell r="D6636">
            <v>0</v>
          </cell>
        </row>
        <row r="6637">
          <cell r="A6637" t="str">
            <v>231520</v>
          </cell>
          <cell r="B6637" t="str">
            <v>União FG c/ assento de ferro cônico longo macho / fêmea  2"</v>
          </cell>
          <cell r="C6637" t="str">
            <v>ud</v>
          </cell>
          <cell r="D6637">
            <v>0</v>
          </cell>
        </row>
        <row r="6638">
          <cell r="A6638" t="str">
            <v>231521</v>
          </cell>
          <cell r="B6638" t="str">
            <v>União FG c/ assento de ferro cônico longo macho / fêmea  2.1/2"</v>
          </cell>
          <cell r="C6638" t="str">
            <v>ud</v>
          </cell>
          <cell r="D6638">
            <v>0</v>
          </cell>
        </row>
        <row r="6639">
          <cell r="A6639" t="str">
            <v>231522</v>
          </cell>
          <cell r="B6639" t="str">
            <v>União FG c/ assento de ferro cônico longo macho / fêmea  3"</v>
          </cell>
          <cell r="C6639" t="str">
            <v>ud</v>
          </cell>
          <cell r="D6639">
            <v>0</v>
          </cell>
        </row>
        <row r="6640">
          <cell r="A6640" t="str">
            <v>231523</v>
          </cell>
          <cell r="B6640" t="str">
            <v>União FG c/ assento de ferro cônico longo macho / fêmea  4"</v>
          </cell>
          <cell r="C6640" t="str">
            <v>ud</v>
          </cell>
          <cell r="D6640">
            <v>0</v>
          </cell>
        </row>
        <row r="6641">
          <cell r="A6641" t="str">
            <v>231524</v>
          </cell>
          <cell r="B6641" t="str">
            <v>União FG c/ assento cônico de bronze  1/4"</v>
          </cell>
          <cell r="C6641" t="str">
            <v>ud</v>
          </cell>
          <cell r="D6641">
            <v>0</v>
          </cell>
        </row>
        <row r="6642">
          <cell r="A6642" t="str">
            <v>231525</v>
          </cell>
          <cell r="B6642" t="str">
            <v>União FG c/ assento cônico de bronze  3/8"</v>
          </cell>
          <cell r="C6642" t="str">
            <v>ud</v>
          </cell>
          <cell r="D6642">
            <v>0</v>
          </cell>
        </row>
        <row r="6643">
          <cell r="A6643" t="str">
            <v>231526</v>
          </cell>
          <cell r="B6643" t="str">
            <v>União FG c/ assento cônico de bronze  1/2"</v>
          </cell>
          <cell r="C6643" t="str">
            <v>ud</v>
          </cell>
          <cell r="D6643">
            <v>0</v>
          </cell>
          <cell r="E6643">
            <v>25.1</v>
          </cell>
          <cell r="F6643">
            <v>25.1</v>
          </cell>
          <cell r="G6643">
            <v>12426</v>
          </cell>
        </row>
        <row r="6644">
          <cell r="A6644" t="str">
            <v>231527</v>
          </cell>
          <cell r="B6644" t="str">
            <v>União FG c/ assento cônico de bronze  3/4"</v>
          </cell>
          <cell r="C6644" t="str">
            <v>ud</v>
          </cell>
          <cell r="D6644">
            <v>0</v>
          </cell>
          <cell r="E6644">
            <v>30.77</v>
          </cell>
          <cell r="F6644">
            <v>30.77</v>
          </cell>
          <cell r="G6644">
            <v>12430</v>
          </cell>
        </row>
        <row r="6645">
          <cell r="A6645" t="str">
            <v>231528</v>
          </cell>
          <cell r="B6645" t="str">
            <v>União FG c/ assento cônico de bronze  1"</v>
          </cell>
          <cell r="C6645" t="str">
            <v>ud</v>
          </cell>
          <cell r="D6645">
            <v>0</v>
          </cell>
          <cell r="E6645">
            <v>34.479999999999997</v>
          </cell>
          <cell r="F6645">
            <v>34.479999999999997</v>
          </cell>
          <cell r="G6645">
            <v>12425</v>
          </cell>
        </row>
        <row r="6646">
          <cell r="A6646" t="str">
            <v>231529</v>
          </cell>
          <cell r="B6646" t="str">
            <v>União FG c/ assento cônico de bronze  1.1/4"</v>
          </cell>
          <cell r="C6646" t="str">
            <v>ud</v>
          </cell>
          <cell r="D6646">
            <v>0</v>
          </cell>
        </row>
        <row r="6647">
          <cell r="A6647" t="str">
            <v>231530</v>
          </cell>
          <cell r="B6647" t="str">
            <v>União FG c/ assento cônico de bronze  1.1/2"</v>
          </cell>
          <cell r="C6647" t="str">
            <v>ud</v>
          </cell>
          <cell r="D6647">
            <v>0</v>
          </cell>
          <cell r="E6647">
            <v>53.09</v>
          </cell>
          <cell r="F6647">
            <v>53.09</v>
          </cell>
          <cell r="G6647">
            <v>12424</v>
          </cell>
        </row>
        <row r="6648">
          <cell r="A6648" t="str">
            <v>231531</v>
          </cell>
          <cell r="B6648" t="str">
            <v>União FG c/ assento cônico de bronze  2"</v>
          </cell>
          <cell r="C6648" t="str">
            <v>ud</v>
          </cell>
          <cell r="D6648">
            <v>0</v>
          </cell>
          <cell r="E6648">
            <v>91.87</v>
          </cell>
          <cell r="F6648">
            <v>91.87</v>
          </cell>
          <cell r="G6648">
            <v>12428</v>
          </cell>
        </row>
        <row r="6649">
          <cell r="A6649" t="str">
            <v>231532</v>
          </cell>
          <cell r="B6649" t="str">
            <v>União FG c/ assento cônico de bronze  2.1/2"</v>
          </cell>
          <cell r="C6649" t="str">
            <v>ud</v>
          </cell>
          <cell r="D6649">
            <v>0</v>
          </cell>
          <cell r="E6649">
            <v>143.13</v>
          </cell>
          <cell r="F6649">
            <v>143.13</v>
          </cell>
          <cell r="G6649">
            <v>12427</v>
          </cell>
        </row>
        <row r="6650">
          <cell r="A6650" t="str">
            <v>231533</v>
          </cell>
          <cell r="B6650" t="str">
            <v>União FG c/ assento cônico de bronze  3"</v>
          </cell>
          <cell r="C6650" t="str">
            <v>ud</v>
          </cell>
          <cell r="D6650">
            <v>0</v>
          </cell>
          <cell r="E6650">
            <v>231.45</v>
          </cell>
          <cell r="F6650">
            <v>231.45</v>
          </cell>
          <cell r="G6650">
            <v>12429</v>
          </cell>
        </row>
        <row r="6651">
          <cell r="A6651" t="str">
            <v>231534</v>
          </cell>
          <cell r="B6651" t="str">
            <v>União FG c/ assento cônico de bronze  4"</v>
          </cell>
          <cell r="C6651" t="str">
            <v>ud</v>
          </cell>
          <cell r="D6651">
            <v>0</v>
          </cell>
          <cell r="E6651">
            <v>393.88</v>
          </cell>
          <cell r="F6651">
            <v>393.88</v>
          </cell>
          <cell r="G6651">
            <v>12431</v>
          </cell>
        </row>
        <row r="6652">
          <cell r="A6652" t="str">
            <v>231535</v>
          </cell>
          <cell r="B6652" t="str">
            <v>União c/ cot FG c/ assento de ferro cônico longo  1/4"</v>
          </cell>
          <cell r="C6652" t="str">
            <v>ud</v>
          </cell>
          <cell r="D6652">
            <v>0</v>
          </cell>
        </row>
        <row r="6653">
          <cell r="A6653" t="str">
            <v>231536</v>
          </cell>
          <cell r="B6653" t="str">
            <v>União c/ cot FG c/ assento de ferro cônico longo  3/8"</v>
          </cell>
          <cell r="C6653" t="str">
            <v>ud</v>
          </cell>
          <cell r="D6653">
            <v>0</v>
          </cell>
        </row>
        <row r="6654">
          <cell r="A6654" t="str">
            <v>231537</v>
          </cell>
          <cell r="B6654" t="str">
            <v>União c/ cot FG c/ assento de ferro cônico longo  1/2"</v>
          </cell>
          <cell r="C6654" t="str">
            <v>ud</v>
          </cell>
          <cell r="D6654">
            <v>0</v>
          </cell>
        </row>
        <row r="6655">
          <cell r="A6655" t="str">
            <v>231538</v>
          </cell>
          <cell r="B6655" t="str">
            <v>União c/ cot FG c/ assento de ferro cônico longo  3/4"</v>
          </cell>
          <cell r="C6655" t="str">
            <v>ud</v>
          </cell>
          <cell r="D6655">
            <v>0</v>
          </cell>
        </row>
        <row r="6656">
          <cell r="A6656" t="str">
            <v>231539</v>
          </cell>
          <cell r="B6656" t="str">
            <v>União c/ cot FG c/ assento de ferro cônico longo  1"</v>
          </cell>
          <cell r="C6656" t="str">
            <v>ud</v>
          </cell>
          <cell r="D6656">
            <v>0</v>
          </cell>
        </row>
        <row r="6657">
          <cell r="A6657" t="str">
            <v>231540</v>
          </cell>
          <cell r="B6657" t="str">
            <v>União c/ cot FG c/ assento de ferro cônico longo  1.1/4"</v>
          </cell>
          <cell r="C6657" t="str">
            <v>ud</v>
          </cell>
          <cell r="D6657">
            <v>0</v>
          </cell>
        </row>
        <row r="6658">
          <cell r="A6658" t="str">
            <v>231541</v>
          </cell>
          <cell r="B6658" t="str">
            <v>União c/ cot FG c/ assento de ferro cônico longo  1.1/2"</v>
          </cell>
          <cell r="C6658" t="str">
            <v>ud</v>
          </cell>
          <cell r="D6658">
            <v>0</v>
          </cell>
        </row>
        <row r="6659">
          <cell r="A6659" t="str">
            <v>231542</v>
          </cell>
          <cell r="B6659" t="str">
            <v>União c/ cot FG c/ assento de ferro cônico longo  2"</v>
          </cell>
          <cell r="C6659" t="str">
            <v>ud</v>
          </cell>
          <cell r="D6659">
            <v>0</v>
          </cell>
        </row>
        <row r="6660">
          <cell r="A6660" t="str">
            <v>231543</v>
          </cell>
          <cell r="B6660" t="str">
            <v>União c/ cot FG c/ assento de ferro cônico longo  2.1/2"</v>
          </cell>
          <cell r="C6660" t="str">
            <v>ud</v>
          </cell>
          <cell r="D6660">
            <v>0</v>
          </cell>
        </row>
        <row r="6661">
          <cell r="A6661" t="str">
            <v>231544</v>
          </cell>
          <cell r="B6661" t="str">
            <v>União c/ cot FG c/ assento de ferro cônico longo  3"</v>
          </cell>
          <cell r="C6661" t="str">
            <v>ud</v>
          </cell>
          <cell r="D6661">
            <v>0</v>
          </cell>
        </row>
        <row r="6662">
          <cell r="A6662" t="str">
            <v>231545</v>
          </cell>
          <cell r="B6662" t="str">
            <v>União c/ cot FG c/ assento de ferro cônico longo macho / fêmea  1/4"</v>
          </cell>
          <cell r="C6662" t="str">
            <v>ud</v>
          </cell>
          <cell r="D6662">
            <v>0</v>
          </cell>
        </row>
        <row r="6663">
          <cell r="A6663" t="str">
            <v>231546</v>
          </cell>
          <cell r="B6663" t="str">
            <v>União c/ cot FG c/ assento de ferro cônico longo macho / fêmea  3/8"</v>
          </cell>
          <cell r="C6663" t="str">
            <v>ud</v>
          </cell>
          <cell r="D6663">
            <v>0</v>
          </cell>
        </row>
        <row r="6664">
          <cell r="A6664" t="str">
            <v>231547</v>
          </cell>
          <cell r="B6664" t="str">
            <v>União c/ cot FG c/ assento de ferro cônico longo macho / fêmea  1/2"</v>
          </cell>
          <cell r="C6664" t="str">
            <v>ud</v>
          </cell>
          <cell r="D6664">
            <v>0</v>
          </cell>
        </row>
        <row r="6665">
          <cell r="A6665" t="str">
            <v>231548</v>
          </cell>
          <cell r="B6665" t="str">
            <v>União c/ cot FG c/ assento de ferro cônico longo macho / fêmea  3/4"</v>
          </cell>
          <cell r="C6665" t="str">
            <v>ud</v>
          </cell>
          <cell r="D6665">
            <v>0</v>
          </cell>
        </row>
        <row r="6666">
          <cell r="A6666" t="str">
            <v>231549</v>
          </cell>
          <cell r="B6666" t="str">
            <v>União c/ cot FG c/ assento de ferro cônico longo macho / fêmea  1"</v>
          </cell>
          <cell r="C6666" t="str">
            <v>ud</v>
          </cell>
          <cell r="D6666">
            <v>0</v>
          </cell>
        </row>
        <row r="6667">
          <cell r="A6667" t="str">
            <v>231550</v>
          </cell>
          <cell r="B6667" t="str">
            <v>União c/ cot FG c/ assento de ferro cônico longo macho / fêmea  1.1/4"</v>
          </cell>
          <cell r="C6667" t="str">
            <v>ud</v>
          </cell>
          <cell r="D6667">
            <v>0</v>
          </cell>
        </row>
        <row r="6668">
          <cell r="A6668" t="str">
            <v>231551</v>
          </cell>
          <cell r="B6668" t="str">
            <v>União c/ cot FG c/ assento de ferro cônico longo macho / fêmea  1.1/2"</v>
          </cell>
          <cell r="C6668" t="str">
            <v>ud</v>
          </cell>
          <cell r="D6668">
            <v>0</v>
          </cell>
        </row>
        <row r="6669">
          <cell r="A6669" t="str">
            <v>231552</v>
          </cell>
          <cell r="B6669" t="str">
            <v>União c/ cot FG c/ assento de ferro cônico longo macho / fêmea  2"</v>
          </cell>
          <cell r="C6669" t="str">
            <v>ud</v>
          </cell>
          <cell r="D6669">
            <v>0</v>
          </cell>
        </row>
        <row r="6670">
          <cell r="A6670" t="str">
            <v>231553</v>
          </cell>
          <cell r="B6670" t="str">
            <v>União c/ cot FG c/ assento de ferro cônico longo macho / fêmea  2.1/2"</v>
          </cell>
          <cell r="C6670" t="str">
            <v>ud</v>
          </cell>
          <cell r="D6670">
            <v>0</v>
          </cell>
        </row>
        <row r="6671">
          <cell r="A6671" t="str">
            <v>231554</v>
          </cell>
          <cell r="B6671" t="str">
            <v>União c/ cot FG c/ assento de ferro cônico longo macho / fêmea  3"</v>
          </cell>
          <cell r="C6671" t="str">
            <v>ud</v>
          </cell>
          <cell r="D6671">
            <v>0</v>
          </cell>
        </row>
        <row r="6672">
          <cell r="A6672" t="str">
            <v>24</v>
          </cell>
          <cell r="B6672" t="str">
            <v>MATERIAL DE PVC - ÁGUA</v>
          </cell>
        </row>
        <row r="6673">
          <cell r="A6673" t="str">
            <v>2401</v>
          </cell>
          <cell r="B6673" t="str">
            <v>ADAPTADOR PVC</v>
          </cell>
        </row>
        <row r="6674">
          <cell r="A6674" t="str">
            <v>240101</v>
          </cell>
          <cell r="B6674" t="str">
            <v>Adaptador PVC JE PBA bolsa / rosca DN   50 (20117)</v>
          </cell>
          <cell r="C6674" t="str">
            <v>ud</v>
          </cell>
          <cell r="D6674">
            <v>0</v>
          </cell>
          <cell r="E6674">
            <v>8.85</v>
          </cell>
          <cell r="F6674">
            <v>8.85</v>
          </cell>
          <cell r="G6674">
            <v>48</v>
          </cell>
        </row>
        <row r="6675">
          <cell r="A6675" t="str">
            <v>240103</v>
          </cell>
          <cell r="B6675" t="str">
            <v>Adaptador PVC JE PBA bolsa / rosca DN   75 (20176)</v>
          </cell>
          <cell r="C6675" t="str">
            <v>ud</v>
          </cell>
          <cell r="D6675">
            <v>0</v>
          </cell>
          <cell r="E6675">
            <v>18.97</v>
          </cell>
          <cell r="F6675">
            <v>18.97</v>
          </cell>
          <cell r="G6675">
            <v>46</v>
          </cell>
        </row>
        <row r="6676">
          <cell r="A6676" t="str">
            <v>240104</v>
          </cell>
          <cell r="B6676" t="str">
            <v>Adaptador PVC JE PBA bolsa / rosca DN 100 (20206)</v>
          </cell>
          <cell r="C6676" t="str">
            <v>ud</v>
          </cell>
          <cell r="D6676">
            <v>0</v>
          </cell>
          <cell r="E6676">
            <v>22.68</v>
          </cell>
          <cell r="F6676">
            <v>22.68</v>
          </cell>
          <cell r="G6676">
            <v>47</v>
          </cell>
        </row>
        <row r="6677">
          <cell r="A6677" t="str">
            <v>240105</v>
          </cell>
          <cell r="B6677" t="str">
            <v>Adaptador PVC PBA ponta / rosca DN   50 (20036)</v>
          </cell>
          <cell r="C6677" t="str">
            <v>ud</v>
          </cell>
          <cell r="D6677">
            <v>0</v>
          </cell>
          <cell r="E6677">
            <v>4.42</v>
          </cell>
          <cell r="F6677">
            <v>4.42</v>
          </cell>
          <cell r="G6677">
            <v>52</v>
          </cell>
        </row>
        <row r="6678">
          <cell r="A6678" t="str">
            <v>240106</v>
          </cell>
          <cell r="B6678" t="str">
            <v>Adaptador PVC PBA ponta / rosca DN   75 (20184)</v>
          </cell>
          <cell r="C6678" t="str">
            <v>ud</v>
          </cell>
          <cell r="D6678">
            <v>0</v>
          </cell>
          <cell r="E6678">
            <v>11.63</v>
          </cell>
          <cell r="F6678">
            <v>11.63</v>
          </cell>
          <cell r="G6678">
            <v>43</v>
          </cell>
        </row>
        <row r="6679">
          <cell r="A6679" t="str">
            <v>240107</v>
          </cell>
          <cell r="B6679" t="str">
            <v>Adaptador PVC PBA p/ FD JE DN   50 (27928)</v>
          </cell>
          <cell r="C6679" t="str">
            <v>ud</v>
          </cell>
          <cell r="D6679">
            <v>0</v>
          </cell>
          <cell r="E6679">
            <v>12.4</v>
          </cell>
          <cell r="F6679">
            <v>12.4</v>
          </cell>
          <cell r="G6679">
            <v>12863</v>
          </cell>
        </row>
        <row r="6680">
          <cell r="A6680" t="str">
            <v>240109</v>
          </cell>
          <cell r="B6680" t="str">
            <v>Adaptador PVC PBA p/ FD JE DN   75 (27944)</v>
          </cell>
          <cell r="C6680" t="str">
            <v>ud</v>
          </cell>
          <cell r="D6680">
            <v>0</v>
          </cell>
          <cell r="E6680">
            <v>27.3</v>
          </cell>
          <cell r="F6680">
            <v>27.3</v>
          </cell>
          <cell r="G6680">
            <v>50</v>
          </cell>
        </row>
        <row r="6681">
          <cell r="A6681" t="str">
            <v>240110</v>
          </cell>
          <cell r="B6681" t="str">
            <v>Adaptador PVC PBA p/ FD JE DN 100 (27952)</v>
          </cell>
          <cell r="C6681" t="str">
            <v>ud</v>
          </cell>
          <cell r="D6681">
            <v>0</v>
          </cell>
          <cell r="E6681">
            <v>43.1</v>
          </cell>
          <cell r="F6681">
            <v>43.1</v>
          </cell>
          <cell r="G6681">
            <v>51</v>
          </cell>
        </row>
        <row r="6682">
          <cell r="A6682" t="str">
            <v>2402</v>
          </cell>
          <cell r="B6682" t="str">
            <v>CAP PVC</v>
          </cell>
        </row>
        <row r="6683">
          <cell r="A6683" t="str">
            <v>240201</v>
          </cell>
          <cell r="B6683" t="str">
            <v>Cap PVC JE PBA  DN   50 (277428)</v>
          </cell>
          <cell r="C6683" t="str">
            <v>ud</v>
          </cell>
          <cell r="D6683">
            <v>0</v>
          </cell>
          <cell r="E6683">
            <v>6.26</v>
          </cell>
          <cell r="F6683">
            <v>6.26</v>
          </cell>
          <cell r="G6683">
            <v>1206</v>
          </cell>
        </row>
        <row r="6684">
          <cell r="A6684" t="str">
            <v>240203</v>
          </cell>
          <cell r="B6684" t="str">
            <v>Cap PVC JE PBA  DN   75 (277436)</v>
          </cell>
          <cell r="C6684" t="str">
            <v>ud</v>
          </cell>
          <cell r="D6684">
            <v>0</v>
          </cell>
          <cell r="E6684">
            <v>14</v>
          </cell>
          <cell r="F6684">
            <v>14</v>
          </cell>
          <cell r="G6684">
            <v>1183</v>
          </cell>
        </row>
        <row r="6685">
          <cell r="A6685" t="str">
            <v>240204</v>
          </cell>
          <cell r="B6685" t="str">
            <v>Cap PVC JE PBA  DN 100 (277444)</v>
          </cell>
          <cell r="C6685" t="str">
            <v>ud</v>
          </cell>
          <cell r="D6685">
            <v>0</v>
          </cell>
          <cell r="E6685">
            <v>26.09</v>
          </cell>
          <cell r="F6685">
            <v>26.09</v>
          </cell>
          <cell r="G6685">
            <v>1207</v>
          </cell>
        </row>
        <row r="6686">
          <cell r="A6686" t="str">
            <v>240205</v>
          </cell>
          <cell r="B6686" t="str">
            <v>Cap PVC JS   20 mm (20710)</v>
          </cell>
          <cell r="C6686" t="str">
            <v>ud</v>
          </cell>
          <cell r="D6686">
            <v>0</v>
          </cell>
          <cell r="E6686">
            <v>0.9</v>
          </cell>
          <cell r="F6686">
            <v>0.9</v>
          </cell>
          <cell r="G6686">
            <v>1191</v>
          </cell>
        </row>
        <row r="6687">
          <cell r="A6687" t="str">
            <v>240206</v>
          </cell>
          <cell r="B6687" t="str">
            <v>Cap PVC JS   25 mm (20729)</v>
          </cell>
          <cell r="C6687" t="str">
            <v>ud</v>
          </cell>
          <cell r="D6687">
            <v>0</v>
          </cell>
          <cell r="E6687">
            <v>0.97</v>
          </cell>
          <cell r="F6687">
            <v>0.97</v>
          </cell>
          <cell r="G6687">
            <v>1185</v>
          </cell>
        </row>
        <row r="6688">
          <cell r="A6688" t="str">
            <v>240207</v>
          </cell>
          <cell r="B6688" t="str">
            <v>Cap PVC JS   32 mm (20737)</v>
          </cell>
          <cell r="C6688" t="str">
            <v>ud</v>
          </cell>
          <cell r="D6688">
            <v>0</v>
          </cell>
          <cell r="E6688">
            <v>1.38</v>
          </cell>
          <cell r="F6688">
            <v>1.38</v>
          </cell>
          <cell r="G6688">
            <v>1189</v>
          </cell>
        </row>
        <row r="6689">
          <cell r="A6689" t="str">
            <v>240208</v>
          </cell>
          <cell r="B6689" t="str">
            <v>Cap PVC JS   40 mm (20745)</v>
          </cell>
          <cell r="C6689" t="str">
            <v>ud</v>
          </cell>
          <cell r="D6689">
            <v>0</v>
          </cell>
          <cell r="E6689">
            <v>2.73</v>
          </cell>
          <cell r="F6689">
            <v>2.73</v>
          </cell>
          <cell r="G6689">
            <v>1193</v>
          </cell>
        </row>
        <row r="6690">
          <cell r="A6690" t="str">
            <v>240209</v>
          </cell>
          <cell r="B6690" t="str">
            <v>Cap PVC JS   50 mm (20753)</v>
          </cell>
          <cell r="C6690" t="str">
            <v>ud</v>
          </cell>
          <cell r="D6690">
            <v>0</v>
          </cell>
          <cell r="E6690">
            <v>5.0599999999999996</v>
          </cell>
          <cell r="F6690">
            <v>5.0599999999999996</v>
          </cell>
          <cell r="G6690">
            <v>1194</v>
          </cell>
        </row>
        <row r="6691">
          <cell r="A6691" t="str">
            <v>240210</v>
          </cell>
          <cell r="B6691" t="str">
            <v>Cap PVC JS   60 mm (20761)</v>
          </cell>
          <cell r="C6691" t="str">
            <v>ud</v>
          </cell>
          <cell r="D6691">
            <v>0</v>
          </cell>
          <cell r="E6691">
            <v>7.73</v>
          </cell>
          <cell r="F6691">
            <v>7.73</v>
          </cell>
          <cell r="G6691">
            <v>1195</v>
          </cell>
        </row>
        <row r="6692">
          <cell r="A6692" t="str">
            <v>240211</v>
          </cell>
          <cell r="B6692" t="str">
            <v>Cap PVC JS   75 mm</v>
          </cell>
          <cell r="C6692" t="str">
            <v>ud</v>
          </cell>
          <cell r="D6692">
            <v>0</v>
          </cell>
          <cell r="E6692">
            <v>14.27</v>
          </cell>
          <cell r="F6692">
            <v>14.27</v>
          </cell>
          <cell r="G6692">
            <v>1204</v>
          </cell>
        </row>
        <row r="6693">
          <cell r="A6693" t="str">
            <v>240212</v>
          </cell>
          <cell r="B6693" t="str">
            <v>Cap PVC JS   85 mm</v>
          </cell>
          <cell r="C6693" t="str">
            <v>ud</v>
          </cell>
          <cell r="D6693">
            <v>0</v>
          </cell>
          <cell r="E6693">
            <v>32.18</v>
          </cell>
          <cell r="F6693">
            <v>32.18</v>
          </cell>
          <cell r="G6693">
            <v>1205</v>
          </cell>
        </row>
        <row r="6694">
          <cell r="A6694" t="str">
            <v>240213</v>
          </cell>
          <cell r="B6694" t="str">
            <v>Cap PVC JS 110 mm (20796)</v>
          </cell>
          <cell r="C6694" t="str">
            <v>ud</v>
          </cell>
          <cell r="D6694">
            <v>0</v>
          </cell>
          <cell r="E6694">
            <v>55.74</v>
          </cell>
          <cell r="F6694">
            <v>55.74</v>
          </cell>
          <cell r="G6694">
            <v>1184</v>
          </cell>
        </row>
        <row r="6695">
          <cell r="A6695" t="str">
            <v>2403</v>
          </cell>
          <cell r="B6695" t="str">
            <v>COLAR DE TOMADA PVC</v>
          </cell>
        </row>
        <row r="6696">
          <cell r="A6696" t="str">
            <v>240301</v>
          </cell>
          <cell r="B6696" t="str">
            <v>Colar de tomada PVC  DN   32  1/2"</v>
          </cell>
          <cell r="C6696" t="str">
            <v>ud</v>
          </cell>
          <cell r="D6696">
            <v>0</v>
          </cell>
          <cell r="E6696">
            <v>10.199999999999999</v>
          </cell>
          <cell r="F6696">
            <v>10.199999999999999</v>
          </cell>
        </row>
        <row r="6697">
          <cell r="A6697" t="str">
            <v>240302</v>
          </cell>
          <cell r="B6697" t="str">
            <v>Colar de tomada PVC  DN   32  3/4" (62545)</v>
          </cell>
          <cell r="C6697" t="str">
            <v>ud</v>
          </cell>
          <cell r="D6697">
            <v>0</v>
          </cell>
          <cell r="E6697">
            <v>2.57</v>
          </cell>
          <cell r="F6697">
            <v>2.57</v>
          </cell>
          <cell r="G6697">
            <v>1423</v>
          </cell>
        </row>
        <row r="6698">
          <cell r="A6698" t="str">
            <v>240303</v>
          </cell>
          <cell r="B6698" t="str">
            <v>Colar de tomada PVC  DN   40  1/2"</v>
          </cell>
          <cell r="C6698" t="str">
            <v>ud</v>
          </cell>
          <cell r="D6698">
            <v>0</v>
          </cell>
          <cell r="E6698">
            <v>3.07</v>
          </cell>
          <cell r="F6698">
            <v>3.07</v>
          </cell>
          <cell r="G6698">
            <v>1421</v>
          </cell>
        </row>
        <row r="6699">
          <cell r="A6699" t="str">
            <v>240304</v>
          </cell>
          <cell r="B6699" t="str">
            <v>Colar de tomada PVC  DN   40  3/4" (57592)</v>
          </cell>
          <cell r="C6699" t="str">
            <v>ud</v>
          </cell>
          <cell r="D6699">
            <v>0</v>
          </cell>
          <cell r="E6699">
            <v>10.59</v>
          </cell>
          <cell r="F6699">
            <v>10.59</v>
          </cell>
          <cell r="G6699">
            <v>1420</v>
          </cell>
        </row>
        <row r="6700">
          <cell r="A6700" t="str">
            <v>240305</v>
          </cell>
          <cell r="B6700" t="str">
            <v>Colar de tomada PVC  DN   50  1/2"</v>
          </cell>
          <cell r="C6700" t="str">
            <v>ud</v>
          </cell>
          <cell r="D6700">
            <v>0</v>
          </cell>
          <cell r="E6700">
            <v>11.47</v>
          </cell>
          <cell r="F6700">
            <v>11.47</v>
          </cell>
          <cell r="G6700">
            <v>1419</v>
          </cell>
        </row>
        <row r="6701">
          <cell r="A6701" t="str">
            <v>240306</v>
          </cell>
          <cell r="B6701" t="str">
            <v>Colar de tomada PVC  DN   50  3/4"</v>
          </cell>
          <cell r="C6701" t="str">
            <v>ud</v>
          </cell>
          <cell r="D6701">
            <v>0</v>
          </cell>
          <cell r="E6701">
            <v>5.17</v>
          </cell>
          <cell r="F6701">
            <v>5.17</v>
          </cell>
          <cell r="G6701">
            <v>1439</v>
          </cell>
        </row>
        <row r="6702">
          <cell r="A6702" t="str">
            <v>240307</v>
          </cell>
          <cell r="B6702" t="str">
            <v>Colar de tomada PVC  DN   60  1/2"</v>
          </cell>
          <cell r="C6702" t="str">
            <v>ud</v>
          </cell>
          <cell r="D6702">
            <v>0</v>
          </cell>
          <cell r="E6702">
            <v>7.85</v>
          </cell>
          <cell r="F6702">
            <v>7.85</v>
          </cell>
          <cell r="G6702">
            <v>1415</v>
          </cell>
        </row>
        <row r="6703">
          <cell r="A6703" t="str">
            <v>240308</v>
          </cell>
          <cell r="B6703" t="str">
            <v>Colar de tomada PVC  DN   60  3/4"</v>
          </cell>
          <cell r="C6703" t="str">
            <v>ud</v>
          </cell>
          <cell r="D6703">
            <v>0</v>
          </cell>
          <cell r="E6703">
            <v>12.88</v>
          </cell>
          <cell r="F6703">
            <v>12.88</v>
          </cell>
          <cell r="G6703">
            <v>1414</v>
          </cell>
        </row>
        <row r="6704">
          <cell r="A6704" t="str">
            <v>240309</v>
          </cell>
          <cell r="B6704" t="str">
            <v>Colar de tomada PVC  DN   75  1/2"</v>
          </cell>
          <cell r="C6704" t="str">
            <v>ud</v>
          </cell>
          <cell r="D6704">
            <v>0</v>
          </cell>
          <cell r="E6704">
            <v>15.58</v>
          </cell>
          <cell r="F6704">
            <v>15.58</v>
          </cell>
          <cell r="G6704">
            <v>1413</v>
          </cell>
        </row>
        <row r="6705">
          <cell r="A6705" t="str">
            <v>240310</v>
          </cell>
          <cell r="B6705" t="str">
            <v>Colar de tomada PVC  DN   75  3/4"</v>
          </cell>
          <cell r="C6705" t="str">
            <v>ud</v>
          </cell>
          <cell r="D6705">
            <v>0</v>
          </cell>
          <cell r="E6705">
            <v>7.42</v>
          </cell>
          <cell r="F6705">
            <v>7.42</v>
          </cell>
          <cell r="G6705">
            <v>1417</v>
          </cell>
        </row>
        <row r="6706">
          <cell r="A6706" t="str">
            <v>240311</v>
          </cell>
          <cell r="B6706" t="str">
            <v>Colar de tomada PVC  DN   85  1/2"</v>
          </cell>
          <cell r="C6706" t="str">
            <v>ud</v>
          </cell>
          <cell r="D6706">
            <v>0</v>
          </cell>
          <cell r="E6706">
            <v>16.16</v>
          </cell>
          <cell r="F6706">
            <v>16.16</v>
          </cell>
          <cell r="G6706">
            <v>1412</v>
          </cell>
        </row>
        <row r="6707">
          <cell r="A6707" t="str">
            <v>240312</v>
          </cell>
          <cell r="B6707" t="str">
            <v>Colar de tomada PVC  DN   85  3/4"</v>
          </cell>
          <cell r="C6707" t="str">
            <v>ud</v>
          </cell>
          <cell r="D6707">
            <v>0</v>
          </cell>
          <cell r="E6707">
            <v>9.7899999999999991</v>
          </cell>
          <cell r="F6707">
            <v>9.7899999999999991</v>
          </cell>
          <cell r="G6707">
            <v>1416</v>
          </cell>
        </row>
        <row r="6708">
          <cell r="A6708" t="str">
            <v>240313</v>
          </cell>
          <cell r="B6708" t="str">
            <v>Colar de tomada PVC  DN 110  1/2"</v>
          </cell>
          <cell r="C6708" t="str">
            <v>ud</v>
          </cell>
          <cell r="D6708">
            <v>0</v>
          </cell>
          <cell r="E6708">
            <v>9.02</v>
          </cell>
          <cell r="F6708">
            <v>9.02</v>
          </cell>
          <cell r="G6708">
            <v>1436</v>
          </cell>
        </row>
        <row r="6709">
          <cell r="A6709" t="str">
            <v>240314</v>
          </cell>
          <cell r="B6709" t="str">
            <v>Colar de tomada PVC  DN 110  3/4"</v>
          </cell>
          <cell r="C6709" t="str">
            <v>ud</v>
          </cell>
          <cell r="D6709">
            <v>0</v>
          </cell>
          <cell r="E6709">
            <v>19.329999999999998</v>
          </cell>
          <cell r="F6709">
            <v>19.329999999999998</v>
          </cell>
          <cell r="G6709">
            <v>1427</v>
          </cell>
        </row>
        <row r="6710">
          <cell r="A6710" t="str">
            <v>2404</v>
          </cell>
          <cell r="B6710" t="str">
            <v>CRUZETA PVC</v>
          </cell>
        </row>
        <row r="6711">
          <cell r="A6711" t="str">
            <v>240401</v>
          </cell>
          <cell r="B6711" t="str">
            <v>Cruzeta PVC JE PBA BBBB DN   50 (21261)</v>
          </cell>
          <cell r="C6711" t="str">
            <v>ud</v>
          </cell>
          <cell r="D6711">
            <v>0</v>
          </cell>
          <cell r="E6711">
            <v>18.39</v>
          </cell>
          <cell r="F6711">
            <v>18.39</v>
          </cell>
          <cell r="G6711">
            <v>1725</v>
          </cell>
        </row>
        <row r="6712">
          <cell r="A6712" t="str">
            <v>240403</v>
          </cell>
          <cell r="B6712" t="str">
            <v>Cruzeta PVC JE PBA BBBB DN   75 (21296)</v>
          </cell>
          <cell r="C6712" t="str">
            <v>ud</v>
          </cell>
          <cell r="D6712">
            <v>0</v>
          </cell>
          <cell r="E6712">
            <v>45.39</v>
          </cell>
          <cell r="F6712">
            <v>45.39</v>
          </cell>
          <cell r="G6712">
            <v>12943</v>
          </cell>
        </row>
        <row r="6713">
          <cell r="A6713" t="str">
            <v>240404</v>
          </cell>
          <cell r="B6713" t="str">
            <v>Cruzeta PVC JE PBA BBBB DN 100 (21326)</v>
          </cell>
          <cell r="C6713" t="str">
            <v>ud</v>
          </cell>
          <cell r="D6713">
            <v>0</v>
          </cell>
          <cell r="E6713">
            <v>84.25</v>
          </cell>
          <cell r="F6713">
            <v>84.25</v>
          </cell>
          <cell r="G6713">
            <v>12920</v>
          </cell>
        </row>
        <row r="6714">
          <cell r="A6714" t="str">
            <v>240410</v>
          </cell>
          <cell r="B6714" t="str">
            <v>Cruzeta red PVC JE PBA BBBB DN   75   50 (21512)</v>
          </cell>
          <cell r="C6714" t="str">
            <v>ud</v>
          </cell>
          <cell r="D6714">
            <v>0</v>
          </cell>
          <cell r="E6714">
            <v>63.75</v>
          </cell>
          <cell r="F6714">
            <v>63.75</v>
          </cell>
          <cell r="G6714">
            <v>1727</v>
          </cell>
        </row>
        <row r="6715">
          <cell r="A6715" t="str">
            <v>240411</v>
          </cell>
          <cell r="B6715" t="str">
            <v>Cruzeta red PVC JE PBA BBBB DN 100   50 (21555)</v>
          </cell>
          <cell r="C6715" t="str">
            <v>ud</v>
          </cell>
          <cell r="D6715">
            <v>0</v>
          </cell>
          <cell r="E6715">
            <v>85.67</v>
          </cell>
          <cell r="F6715">
            <v>85.67</v>
          </cell>
        </row>
        <row r="6716">
          <cell r="A6716" t="str">
            <v>240412</v>
          </cell>
          <cell r="B6716" t="str">
            <v>Cruzeta red PVC JE PBA BBBB DN 100   75 (21571)</v>
          </cell>
          <cell r="C6716" t="str">
            <v>ud</v>
          </cell>
          <cell r="D6716">
            <v>0</v>
          </cell>
          <cell r="E6716">
            <v>0</v>
          </cell>
          <cell r="F6716">
            <v>0</v>
          </cell>
        </row>
        <row r="6717">
          <cell r="A6717" t="str">
            <v>240425</v>
          </cell>
          <cell r="B6717" t="str">
            <v>Cruzeta red PVC JE PBA BBPP DN   75   50</v>
          </cell>
          <cell r="C6717" t="str">
            <v>ud</v>
          </cell>
          <cell r="D6717">
            <v>0</v>
          </cell>
        </row>
        <row r="6718">
          <cell r="A6718" t="str">
            <v>240426</v>
          </cell>
          <cell r="B6718" t="str">
            <v>Cruzeta red PVC JE PBA BBPP DN 100   50</v>
          </cell>
          <cell r="C6718" t="str">
            <v>ud</v>
          </cell>
          <cell r="D6718">
            <v>0</v>
          </cell>
        </row>
        <row r="6719">
          <cell r="A6719" t="str">
            <v>240427</v>
          </cell>
          <cell r="B6719" t="str">
            <v>Cruzeta red PVC JE PBA BBPP DN 100   75</v>
          </cell>
          <cell r="C6719" t="str">
            <v>ud</v>
          </cell>
          <cell r="D6719">
            <v>0</v>
          </cell>
        </row>
        <row r="6720">
          <cell r="A6720" t="str">
            <v>240436</v>
          </cell>
          <cell r="B6720" t="str">
            <v>Cruzeta PVC JS  25 mm</v>
          </cell>
          <cell r="C6720" t="str">
            <v>ud</v>
          </cell>
          <cell r="D6720">
            <v>0</v>
          </cell>
          <cell r="E6720">
            <v>3.2</v>
          </cell>
          <cell r="F6720">
            <v>3.2</v>
          </cell>
        </row>
        <row r="6721">
          <cell r="A6721" t="str">
            <v>240437</v>
          </cell>
          <cell r="B6721" t="str">
            <v>Cruzeta PVC JS  50 mm</v>
          </cell>
          <cell r="C6721" t="str">
            <v>ud</v>
          </cell>
          <cell r="D6721">
            <v>0</v>
          </cell>
          <cell r="E6721">
            <v>10.79</v>
          </cell>
          <cell r="F6721">
            <v>10.79</v>
          </cell>
        </row>
        <row r="6722">
          <cell r="A6722" t="str">
            <v>2405</v>
          </cell>
          <cell r="B6722" t="str">
            <v>CURVA PVC</v>
          </cell>
        </row>
        <row r="6723">
          <cell r="A6723" t="str">
            <v>240501</v>
          </cell>
          <cell r="B6723" t="str">
            <v>Curva PVC 11º 15' JE PBA   DN  50 (22292)</v>
          </cell>
          <cell r="C6723" t="str">
            <v>ud</v>
          </cell>
          <cell r="D6723">
            <v>0</v>
          </cell>
        </row>
        <row r="6724">
          <cell r="A6724" t="str">
            <v>240503</v>
          </cell>
          <cell r="B6724" t="str">
            <v>Curva PVC 11º 15' JE PBA   DN  75 (22322)</v>
          </cell>
          <cell r="C6724" t="str">
            <v>ud</v>
          </cell>
          <cell r="D6724">
            <v>0</v>
          </cell>
          <cell r="E6724">
            <v>18.61</v>
          </cell>
          <cell r="F6724">
            <v>18.61</v>
          </cell>
        </row>
        <row r="6725">
          <cell r="A6725" t="str">
            <v>240504</v>
          </cell>
          <cell r="B6725" t="str">
            <v>Curva PVC 11º 15' JE PBA   DN 100 (22330)</v>
          </cell>
          <cell r="C6725" t="str">
            <v>ud</v>
          </cell>
          <cell r="D6725">
            <v>0</v>
          </cell>
        </row>
        <row r="6726">
          <cell r="A6726" t="str">
            <v>240510</v>
          </cell>
          <cell r="B6726" t="str">
            <v>Curva PVC 22º 30' JE PBA   DN  50 (22357)</v>
          </cell>
          <cell r="C6726" t="str">
            <v>ud</v>
          </cell>
          <cell r="D6726">
            <v>0</v>
          </cell>
          <cell r="E6726">
            <v>12.16</v>
          </cell>
          <cell r="F6726">
            <v>12.16</v>
          </cell>
          <cell r="G6726">
            <v>1835</v>
          </cell>
        </row>
        <row r="6727">
          <cell r="A6727" t="str">
            <v>240512</v>
          </cell>
          <cell r="B6727" t="str">
            <v>Curva PVC 22º 30' JE PBA   DN  75 (223900</v>
          </cell>
          <cell r="C6727" t="str">
            <v>ud</v>
          </cell>
          <cell r="D6727">
            <v>0</v>
          </cell>
          <cell r="E6727">
            <v>28.39</v>
          </cell>
          <cell r="F6727">
            <v>28.39</v>
          </cell>
          <cell r="G6727">
            <v>1823</v>
          </cell>
        </row>
        <row r="6728">
          <cell r="A6728" t="str">
            <v>240513</v>
          </cell>
          <cell r="B6728" t="str">
            <v>Curva PVC 22º 30' JE PBA   DN 100 (22411)</v>
          </cell>
          <cell r="C6728" t="str">
            <v>ud</v>
          </cell>
          <cell r="D6728">
            <v>0</v>
          </cell>
          <cell r="E6728">
            <v>49.64</v>
          </cell>
          <cell r="F6728">
            <v>49.64</v>
          </cell>
          <cell r="G6728">
            <v>1839</v>
          </cell>
        </row>
        <row r="6729">
          <cell r="A6729" t="str">
            <v>240520</v>
          </cell>
          <cell r="B6729" t="str">
            <v>Curva PVC 45º JE PBA  DN  50 (22454)</v>
          </cell>
          <cell r="C6729" t="str">
            <v>ud</v>
          </cell>
          <cell r="D6729">
            <v>0</v>
          </cell>
          <cell r="E6729">
            <v>12.63</v>
          </cell>
          <cell r="F6729">
            <v>12.63</v>
          </cell>
          <cell r="G6729">
            <v>1831</v>
          </cell>
        </row>
        <row r="6730">
          <cell r="A6730" t="str">
            <v>240522</v>
          </cell>
          <cell r="B6730" t="str">
            <v>Curva PVC 45º JE PBA  DN  75 (22489)</v>
          </cell>
          <cell r="C6730" t="str">
            <v>ud</v>
          </cell>
          <cell r="D6730">
            <v>0</v>
          </cell>
          <cell r="E6730">
            <v>28.34</v>
          </cell>
          <cell r="F6730">
            <v>28.34</v>
          </cell>
          <cell r="G6730">
            <v>1825</v>
          </cell>
        </row>
        <row r="6731">
          <cell r="A6731" t="str">
            <v>240523</v>
          </cell>
          <cell r="B6731" t="str">
            <v>Curva PVC 45º JE PBA  DN 100 (22500)</v>
          </cell>
          <cell r="C6731" t="str">
            <v>ud</v>
          </cell>
          <cell r="D6731">
            <v>0</v>
          </cell>
          <cell r="E6731">
            <v>51.08</v>
          </cell>
          <cell r="F6731">
            <v>51.08</v>
          </cell>
          <cell r="G6731">
            <v>1827</v>
          </cell>
        </row>
        <row r="6732">
          <cell r="A6732" t="str">
            <v>240530</v>
          </cell>
          <cell r="B6732" t="str">
            <v>Curva PVC 90º JE PBA  DN  50 (22543)</v>
          </cell>
          <cell r="C6732" t="str">
            <v>ud</v>
          </cell>
          <cell r="D6732">
            <v>0</v>
          </cell>
          <cell r="E6732">
            <v>13.84</v>
          </cell>
          <cell r="F6732">
            <v>13.84</v>
          </cell>
          <cell r="G6732">
            <v>1845</v>
          </cell>
        </row>
        <row r="6733">
          <cell r="A6733" t="str">
            <v>240532</v>
          </cell>
          <cell r="B6733" t="str">
            <v>Curva PVC 90º JE PBA  DN  75 (22586)</v>
          </cell>
          <cell r="C6733" t="str">
            <v>ud</v>
          </cell>
          <cell r="D6733">
            <v>0</v>
          </cell>
          <cell r="E6733">
            <v>32.29</v>
          </cell>
          <cell r="F6733">
            <v>32.29</v>
          </cell>
          <cell r="G6733">
            <v>1824</v>
          </cell>
        </row>
        <row r="6734">
          <cell r="A6734" t="str">
            <v>240533</v>
          </cell>
          <cell r="B6734" t="str">
            <v>Curva PVC 90º JE PBA  DN 100 (22608)</v>
          </cell>
          <cell r="C6734" t="str">
            <v>ud</v>
          </cell>
          <cell r="D6734">
            <v>0</v>
          </cell>
          <cell r="E6734">
            <v>57.87</v>
          </cell>
          <cell r="F6734">
            <v>57.87</v>
          </cell>
          <cell r="G6734">
            <v>1828</v>
          </cell>
        </row>
        <row r="6735">
          <cell r="A6735" t="str">
            <v>240535</v>
          </cell>
          <cell r="B6735" t="str">
            <v>Curva PVC 45º JS   20 mm</v>
          </cell>
          <cell r="C6735" t="str">
            <v>ud</v>
          </cell>
          <cell r="D6735">
            <v>0</v>
          </cell>
          <cell r="E6735">
            <v>1.1000000000000001</v>
          </cell>
          <cell r="F6735">
            <v>1.1000000000000001</v>
          </cell>
          <cell r="G6735">
            <v>1926</v>
          </cell>
        </row>
        <row r="6736">
          <cell r="A6736" t="str">
            <v>240536</v>
          </cell>
          <cell r="B6736" t="str">
            <v>Curva PVC 45º JS   25 mm</v>
          </cell>
          <cell r="C6736" t="str">
            <v>ud</v>
          </cell>
          <cell r="D6736">
            <v>0</v>
          </cell>
          <cell r="E6736">
            <v>1.33</v>
          </cell>
          <cell r="F6736">
            <v>1.33</v>
          </cell>
          <cell r="G6736">
            <v>1927</v>
          </cell>
        </row>
        <row r="6737">
          <cell r="A6737" t="str">
            <v>240537</v>
          </cell>
          <cell r="B6737" t="str">
            <v>Curva PVC 45º JS   32 mm (22012)</v>
          </cell>
          <cell r="C6737" t="str">
            <v>ud</v>
          </cell>
          <cell r="D6737">
            <v>0</v>
          </cell>
          <cell r="E6737">
            <v>2.17</v>
          </cell>
          <cell r="F6737">
            <v>2.17</v>
          </cell>
          <cell r="G6737">
            <v>1923</v>
          </cell>
        </row>
        <row r="6738">
          <cell r="A6738" t="str">
            <v>240538</v>
          </cell>
          <cell r="B6738" t="str">
            <v>Curva PVC 45º JS   40 mm (22039)</v>
          </cell>
          <cell r="C6738" t="str">
            <v>ud</v>
          </cell>
          <cell r="D6738">
            <v>0</v>
          </cell>
          <cell r="E6738">
            <v>2.74</v>
          </cell>
          <cell r="F6738">
            <v>2.74</v>
          </cell>
          <cell r="G6738">
            <v>1929</v>
          </cell>
        </row>
        <row r="6739">
          <cell r="A6739" t="str">
            <v>240539</v>
          </cell>
          <cell r="B6739" t="str">
            <v>Curva PVC 45º JS   50 mm (22055)</v>
          </cell>
          <cell r="C6739" t="str">
            <v>ud</v>
          </cell>
          <cell r="D6739">
            <v>0</v>
          </cell>
          <cell r="E6739">
            <v>5.7</v>
          </cell>
          <cell r="F6739">
            <v>5.7</v>
          </cell>
          <cell r="G6739">
            <v>1930</v>
          </cell>
        </row>
        <row r="6740">
          <cell r="A6740" t="str">
            <v>240540</v>
          </cell>
          <cell r="B6740" t="str">
            <v>Curva PVC 45º JS   60 mm</v>
          </cell>
          <cell r="C6740" t="str">
            <v>ud</v>
          </cell>
          <cell r="D6740">
            <v>0</v>
          </cell>
          <cell r="E6740">
            <v>9.66</v>
          </cell>
          <cell r="F6740">
            <v>9.66</v>
          </cell>
          <cell r="G6740">
            <v>1924</v>
          </cell>
        </row>
        <row r="6741">
          <cell r="A6741" t="str">
            <v>240541</v>
          </cell>
          <cell r="B6741" t="str">
            <v>Curva PVC 45º JS   75 mm</v>
          </cell>
          <cell r="C6741" t="str">
            <v>ud</v>
          </cell>
          <cell r="D6741">
            <v>0</v>
          </cell>
          <cell r="E6741">
            <v>19.59</v>
          </cell>
          <cell r="F6741">
            <v>19.59</v>
          </cell>
        </row>
        <row r="6742">
          <cell r="A6742" t="str">
            <v>240542</v>
          </cell>
          <cell r="B6742" t="str">
            <v>Curva PVC 45º JS   85 mm</v>
          </cell>
          <cell r="C6742" t="str">
            <v>ud</v>
          </cell>
          <cell r="D6742">
            <v>0</v>
          </cell>
          <cell r="E6742">
            <v>23.4</v>
          </cell>
          <cell r="F6742">
            <v>23.4</v>
          </cell>
          <cell r="G6742">
            <v>1953</v>
          </cell>
        </row>
        <row r="6743">
          <cell r="A6743" t="str">
            <v>240543</v>
          </cell>
          <cell r="B6743" t="str">
            <v>Curva PVC 45º JS 110 mm</v>
          </cell>
          <cell r="C6743" t="str">
            <v>ud</v>
          </cell>
          <cell r="D6743">
            <v>0</v>
          </cell>
          <cell r="E6743">
            <v>62.45</v>
          </cell>
          <cell r="F6743">
            <v>62.45</v>
          </cell>
          <cell r="G6743">
            <v>1954</v>
          </cell>
        </row>
        <row r="6744">
          <cell r="A6744" t="str">
            <v>240544</v>
          </cell>
          <cell r="B6744" t="str">
            <v>Curva PVC 90º JS   20 mm (22144)</v>
          </cell>
          <cell r="C6744" t="str">
            <v>ud</v>
          </cell>
          <cell r="D6744">
            <v>0</v>
          </cell>
          <cell r="E6744">
            <v>1.1499999999999999</v>
          </cell>
          <cell r="F6744">
            <v>1.1499999999999999</v>
          </cell>
          <cell r="G6744">
            <v>1955</v>
          </cell>
        </row>
        <row r="6745">
          <cell r="A6745" t="str">
            <v>240545</v>
          </cell>
          <cell r="B6745" t="str">
            <v>Curva PVC 90º JS   25 mm (22152)</v>
          </cell>
          <cell r="C6745" t="str">
            <v>ud</v>
          </cell>
          <cell r="D6745">
            <v>0</v>
          </cell>
          <cell r="E6745">
            <v>1.67</v>
          </cell>
          <cell r="F6745">
            <v>1.67</v>
          </cell>
          <cell r="G6745">
            <v>1956</v>
          </cell>
        </row>
        <row r="6746">
          <cell r="A6746" t="str">
            <v>240546</v>
          </cell>
          <cell r="B6746" t="str">
            <v>Curva PVC 90º JS   32 mm (22160)</v>
          </cell>
          <cell r="C6746" t="str">
            <v>ud</v>
          </cell>
          <cell r="D6746">
            <v>0</v>
          </cell>
          <cell r="E6746">
            <v>3.37</v>
          </cell>
          <cell r="F6746">
            <v>3.37</v>
          </cell>
          <cell r="G6746">
            <v>1957</v>
          </cell>
        </row>
        <row r="6747">
          <cell r="A6747" t="str">
            <v>240547</v>
          </cell>
          <cell r="B6747" t="str">
            <v>Curva PVC 90º JS   40 mm (22187)</v>
          </cell>
          <cell r="C6747" t="str">
            <v>ud</v>
          </cell>
          <cell r="D6747">
            <v>0</v>
          </cell>
          <cell r="E6747">
            <v>6.12</v>
          </cell>
          <cell r="F6747">
            <v>6.12</v>
          </cell>
          <cell r="G6747">
            <v>1958</v>
          </cell>
        </row>
        <row r="6748">
          <cell r="A6748" t="str">
            <v>240548</v>
          </cell>
          <cell r="B6748" t="str">
            <v>Curva PVC 90º JS   50 mm (22209)</v>
          </cell>
          <cell r="C6748" t="str">
            <v>ud</v>
          </cell>
          <cell r="D6748">
            <v>0</v>
          </cell>
          <cell r="E6748">
            <v>6.75</v>
          </cell>
          <cell r="F6748">
            <v>6.75</v>
          </cell>
          <cell r="G6748">
            <v>1959</v>
          </cell>
        </row>
        <row r="6749">
          <cell r="A6749" t="str">
            <v>240549</v>
          </cell>
          <cell r="B6749" t="str">
            <v>Curva PVC 90º JS   60 mm (22225)</v>
          </cell>
          <cell r="C6749" t="str">
            <v>ud</v>
          </cell>
          <cell r="D6749">
            <v>0</v>
          </cell>
          <cell r="E6749">
            <v>15.6</v>
          </cell>
          <cell r="F6749">
            <v>15.6</v>
          </cell>
          <cell r="G6749">
            <v>1925</v>
          </cell>
        </row>
        <row r="6750">
          <cell r="A6750" t="str">
            <v>240550</v>
          </cell>
          <cell r="B6750" t="str">
            <v>Curva PVC 90º JS   75 mm</v>
          </cell>
          <cell r="C6750" t="str">
            <v>ud</v>
          </cell>
          <cell r="D6750">
            <v>0</v>
          </cell>
          <cell r="E6750">
            <v>26.93</v>
          </cell>
          <cell r="F6750">
            <v>26.93</v>
          </cell>
          <cell r="G6750">
            <v>1960</v>
          </cell>
        </row>
        <row r="6751">
          <cell r="A6751" t="str">
            <v>240551</v>
          </cell>
          <cell r="B6751" t="str">
            <v>Curva PVC 90º JS   85 mm (22250)</v>
          </cell>
          <cell r="C6751" t="str">
            <v>ud</v>
          </cell>
          <cell r="D6751">
            <v>0</v>
          </cell>
          <cell r="E6751">
            <v>32.33</v>
          </cell>
          <cell r="F6751">
            <v>32.33</v>
          </cell>
          <cell r="G6751">
            <v>1961</v>
          </cell>
        </row>
        <row r="6752">
          <cell r="A6752" t="str">
            <v>240552</v>
          </cell>
          <cell r="B6752" t="str">
            <v>Curva PVC 90º JS 110 mm</v>
          </cell>
          <cell r="C6752" t="str">
            <v>ud</v>
          </cell>
          <cell r="D6752">
            <v>0</v>
          </cell>
          <cell r="E6752">
            <v>68.16</v>
          </cell>
          <cell r="F6752">
            <v>68.16</v>
          </cell>
          <cell r="G6752">
            <v>1962</v>
          </cell>
        </row>
        <row r="6753">
          <cell r="A6753" t="str">
            <v>2406</v>
          </cell>
          <cell r="B6753" t="str">
            <v>JUNÇÃO PVC</v>
          </cell>
        </row>
        <row r="6754">
          <cell r="A6754" t="str">
            <v>240601</v>
          </cell>
          <cell r="B6754" t="str">
            <v>Junção PVC JE BBB  PBA DN 50 (23680)</v>
          </cell>
          <cell r="C6754" t="str">
            <v>ud</v>
          </cell>
          <cell r="D6754">
            <v>0</v>
          </cell>
          <cell r="E6754">
            <v>10.08</v>
          </cell>
          <cell r="F6754">
            <v>10.08</v>
          </cell>
          <cell r="G6754">
            <v>10865</v>
          </cell>
        </row>
        <row r="6755">
          <cell r="A6755" t="str">
            <v>2407</v>
          </cell>
          <cell r="B6755" t="str">
            <v>LUVA PVC</v>
          </cell>
        </row>
        <row r="6756">
          <cell r="A6756" t="str">
            <v>240735</v>
          </cell>
          <cell r="B6756" t="str">
            <v>Luva simples PVC JS   60 mm (23922)</v>
          </cell>
          <cell r="C6756" t="str">
            <v>ud</v>
          </cell>
          <cell r="D6756">
            <v>0</v>
          </cell>
          <cell r="E6756">
            <v>8.85</v>
          </cell>
          <cell r="F6756">
            <v>8.85</v>
          </cell>
          <cell r="G6756">
            <v>3864</v>
          </cell>
        </row>
        <row r="6757">
          <cell r="A6757" t="str">
            <v>240736</v>
          </cell>
          <cell r="B6757" t="str">
            <v>Luva simples PVC JS   75 mm (23965)</v>
          </cell>
          <cell r="C6757" t="str">
            <v>ud</v>
          </cell>
          <cell r="D6757">
            <v>0</v>
          </cell>
          <cell r="E6757">
            <v>13.23</v>
          </cell>
          <cell r="F6757">
            <v>13.23</v>
          </cell>
          <cell r="G6757">
            <v>3865</v>
          </cell>
        </row>
        <row r="6758">
          <cell r="A6758" t="str">
            <v>240737</v>
          </cell>
          <cell r="B6758" t="str">
            <v>Luva simples PVC JS   85 mm (23981)</v>
          </cell>
          <cell r="C6758" t="str">
            <v>ud</v>
          </cell>
          <cell r="D6758">
            <v>0</v>
          </cell>
          <cell r="E6758">
            <v>30.15</v>
          </cell>
          <cell r="F6758">
            <v>30.15</v>
          </cell>
          <cell r="G6758">
            <v>3866</v>
          </cell>
        </row>
        <row r="6759">
          <cell r="A6759" t="str">
            <v>240738</v>
          </cell>
          <cell r="B6759" t="str">
            <v>Luva simples PVC JS 110 mm (24155)</v>
          </cell>
          <cell r="C6759" t="str">
            <v>ud</v>
          </cell>
          <cell r="D6759">
            <v>0</v>
          </cell>
          <cell r="E6759">
            <v>51.31</v>
          </cell>
          <cell r="F6759">
            <v>51.31</v>
          </cell>
          <cell r="G6759">
            <v>3867</v>
          </cell>
        </row>
        <row r="6760">
          <cell r="A6760" t="str">
            <v>240701</v>
          </cell>
          <cell r="B6760" t="str">
            <v>Luva de correr PVC JE DEFOFO DN 100 (83038)</v>
          </cell>
          <cell r="C6760" t="str">
            <v>ud</v>
          </cell>
          <cell r="D6760">
            <v>0</v>
          </cell>
          <cell r="E6760">
            <v>18.71</v>
          </cell>
          <cell r="F6760">
            <v>18.71</v>
          </cell>
          <cell r="G6760">
            <v>3840</v>
          </cell>
        </row>
        <row r="6761">
          <cell r="A6761" t="str">
            <v>240702</v>
          </cell>
          <cell r="B6761" t="str">
            <v>Luva de correr PVC JE DEFOFO DN 150 (40410)</v>
          </cell>
          <cell r="C6761" t="str">
            <v>ud</v>
          </cell>
          <cell r="D6761">
            <v>0</v>
          </cell>
          <cell r="E6761">
            <v>44.6</v>
          </cell>
          <cell r="F6761">
            <v>44.6</v>
          </cell>
          <cell r="G6761">
            <v>3838</v>
          </cell>
        </row>
        <row r="6762">
          <cell r="A6762" t="str">
            <v>240703</v>
          </cell>
          <cell r="B6762" t="str">
            <v>Luva de correr PVC JE DEFOFO DN 200 (28959)</v>
          </cell>
          <cell r="C6762" t="str">
            <v>ud</v>
          </cell>
          <cell r="D6762">
            <v>0</v>
          </cell>
          <cell r="E6762">
            <v>126.12</v>
          </cell>
          <cell r="F6762">
            <v>126.12</v>
          </cell>
          <cell r="G6762">
            <v>3844</v>
          </cell>
        </row>
        <row r="6763">
          <cell r="A6763" t="str">
            <v>240704</v>
          </cell>
          <cell r="B6763" t="str">
            <v>Luva de correr PVC JE DEFOFO DN 250 (28967)</v>
          </cell>
          <cell r="C6763" t="str">
            <v>ud</v>
          </cell>
          <cell r="D6763">
            <v>0</v>
          </cell>
          <cell r="E6763">
            <v>154.86000000000001</v>
          </cell>
          <cell r="F6763">
            <v>154.86000000000001</v>
          </cell>
          <cell r="G6763">
            <v>3839</v>
          </cell>
        </row>
        <row r="6764">
          <cell r="A6764" t="str">
            <v>240705</v>
          </cell>
          <cell r="B6764" t="str">
            <v>Luva de correr PVC JE DEFOFO DN 300 (28975)</v>
          </cell>
          <cell r="C6764" t="str">
            <v>ud</v>
          </cell>
          <cell r="D6764">
            <v>0</v>
          </cell>
          <cell r="E6764">
            <v>264.11</v>
          </cell>
          <cell r="F6764">
            <v>264.11</v>
          </cell>
          <cell r="G6764">
            <v>3843</v>
          </cell>
        </row>
        <row r="6765">
          <cell r="A6765" t="str">
            <v>240710</v>
          </cell>
          <cell r="B6765" t="str">
            <v>Luva de correr PVC JE PBA DN  50 (270547)</v>
          </cell>
          <cell r="C6765" t="str">
            <v>ud</v>
          </cell>
          <cell r="D6765">
            <v>0</v>
          </cell>
          <cell r="E6765">
            <v>7.29</v>
          </cell>
          <cell r="F6765">
            <v>7.29</v>
          </cell>
          <cell r="G6765">
            <v>3825</v>
          </cell>
        </row>
        <row r="6766">
          <cell r="A6766" t="str">
            <v>240712</v>
          </cell>
          <cell r="B6766" t="str">
            <v>Luva de correr PVC JE PBA DN  75 (270563)</v>
          </cell>
          <cell r="C6766" t="str">
            <v>ud</v>
          </cell>
          <cell r="D6766">
            <v>0</v>
          </cell>
          <cell r="E6766">
            <v>15.43</v>
          </cell>
          <cell r="F6766">
            <v>15.43</v>
          </cell>
          <cell r="G6766">
            <v>3827</v>
          </cell>
        </row>
        <row r="6767">
          <cell r="A6767" t="str">
            <v>240713</v>
          </cell>
          <cell r="B6767" t="str">
            <v>Luva de correr PVC JE PBA DN 100 (270571)</v>
          </cell>
          <cell r="C6767" t="str">
            <v>ud</v>
          </cell>
          <cell r="D6767">
            <v>0</v>
          </cell>
          <cell r="E6767">
            <v>27.98</v>
          </cell>
          <cell r="F6767">
            <v>27.98</v>
          </cell>
          <cell r="G6767">
            <v>3826</v>
          </cell>
        </row>
        <row r="6768">
          <cell r="A6768" t="str">
            <v>240720</v>
          </cell>
          <cell r="B6768" t="str">
            <v>Luva simples PVC JE PBA DN  50</v>
          </cell>
          <cell r="C6768" t="str">
            <v>ud</v>
          </cell>
          <cell r="D6768">
            <v>0</v>
          </cell>
          <cell r="E6768">
            <v>8.77</v>
          </cell>
          <cell r="F6768">
            <v>8.77</v>
          </cell>
          <cell r="G6768">
            <v>3845</v>
          </cell>
        </row>
        <row r="6769">
          <cell r="A6769" t="str">
            <v>240722</v>
          </cell>
          <cell r="B6769" t="str">
            <v>Luva simples PVC JE PBA DN  75</v>
          </cell>
          <cell r="C6769" t="str">
            <v>ud</v>
          </cell>
          <cell r="D6769">
            <v>0</v>
          </cell>
          <cell r="E6769">
            <v>18.28</v>
          </cell>
          <cell r="F6769">
            <v>18.28</v>
          </cell>
          <cell r="G6769">
            <v>11045</v>
          </cell>
        </row>
        <row r="6770">
          <cell r="A6770" t="str">
            <v>240723</v>
          </cell>
          <cell r="B6770" t="str">
            <v>Luva simples PVC JE PBA DN 100</v>
          </cell>
          <cell r="C6770" t="str">
            <v>ud</v>
          </cell>
          <cell r="D6770">
            <v>0</v>
          </cell>
          <cell r="E6770">
            <v>30.14</v>
          </cell>
          <cell r="F6770">
            <v>30.14</v>
          </cell>
          <cell r="G6770">
            <v>3837</v>
          </cell>
        </row>
        <row r="6771">
          <cell r="A6771" t="str">
            <v>240727</v>
          </cell>
          <cell r="B6771" t="str">
            <v>Luva de correr PVC JS  20 mm</v>
          </cell>
          <cell r="C6771" t="str">
            <v>ud</v>
          </cell>
          <cell r="D6771">
            <v>0</v>
          </cell>
          <cell r="E6771">
            <v>6.21</v>
          </cell>
          <cell r="F6771">
            <v>6.21</v>
          </cell>
          <cell r="G6771">
            <v>3854</v>
          </cell>
        </row>
        <row r="6772">
          <cell r="A6772" t="str">
            <v>240728</v>
          </cell>
          <cell r="B6772" t="str">
            <v>Luva de correr PVC JS  25 mm</v>
          </cell>
          <cell r="C6772" t="str">
            <v>ud</v>
          </cell>
          <cell r="D6772">
            <v>0</v>
          </cell>
          <cell r="E6772">
            <v>8.77</v>
          </cell>
          <cell r="F6772">
            <v>8.77</v>
          </cell>
          <cell r="G6772">
            <v>3873</v>
          </cell>
        </row>
        <row r="6773">
          <cell r="A6773" t="str">
            <v>240729</v>
          </cell>
          <cell r="B6773" t="str">
            <v>Luva de correr PVC JS  50 mm</v>
          </cell>
          <cell r="C6773" t="str">
            <v>ud</v>
          </cell>
          <cell r="D6773">
            <v>0</v>
          </cell>
          <cell r="E6773">
            <v>19.989999999999998</v>
          </cell>
          <cell r="F6773">
            <v>19.989999999999998</v>
          </cell>
          <cell r="G6773">
            <v>3847</v>
          </cell>
        </row>
        <row r="6774">
          <cell r="A6774" t="str">
            <v>240730</v>
          </cell>
          <cell r="B6774" t="str">
            <v>Luva simples PVC JS   20 mm (23760)</v>
          </cell>
          <cell r="C6774" t="str">
            <v>ud</v>
          </cell>
          <cell r="D6774">
            <v>0</v>
          </cell>
          <cell r="E6774">
            <v>0.52</v>
          </cell>
          <cell r="F6774">
            <v>0.52</v>
          </cell>
          <cell r="G6774">
            <v>3861</v>
          </cell>
        </row>
        <row r="6775">
          <cell r="A6775" t="str">
            <v>240731</v>
          </cell>
          <cell r="B6775" t="str">
            <v>Luva simples PVC JS   25 mm (23795)</v>
          </cell>
          <cell r="C6775" t="str">
            <v>ud</v>
          </cell>
          <cell r="D6775">
            <v>0</v>
          </cell>
          <cell r="E6775">
            <v>0.59</v>
          </cell>
          <cell r="F6775">
            <v>0.59</v>
          </cell>
          <cell r="G6775">
            <v>3904</v>
          </cell>
        </row>
        <row r="6776">
          <cell r="A6776" t="str">
            <v>240732</v>
          </cell>
          <cell r="B6776" t="str">
            <v>Luva simples PVC JS   32 mm (23825)</v>
          </cell>
          <cell r="C6776" t="str">
            <v>ud</v>
          </cell>
          <cell r="D6776">
            <v>0</v>
          </cell>
          <cell r="E6776">
            <v>1.24</v>
          </cell>
          <cell r="F6776">
            <v>1.24</v>
          </cell>
          <cell r="G6776">
            <v>3903</v>
          </cell>
        </row>
        <row r="6777">
          <cell r="A6777" t="str">
            <v>240733</v>
          </cell>
          <cell r="B6777" t="str">
            <v>Luva simples PVC JS   40 mm (23850)</v>
          </cell>
          <cell r="C6777" t="str">
            <v>ud</v>
          </cell>
          <cell r="D6777">
            <v>0</v>
          </cell>
          <cell r="E6777">
            <v>2.75</v>
          </cell>
          <cell r="F6777">
            <v>2.75</v>
          </cell>
          <cell r="G6777">
            <v>3862</v>
          </cell>
        </row>
        <row r="6778">
          <cell r="A6778" t="str">
            <v>240734</v>
          </cell>
          <cell r="B6778" t="str">
            <v>Luva simples PVC JS   50 mm (23876)</v>
          </cell>
          <cell r="C6778" t="str">
            <v>ud</v>
          </cell>
          <cell r="D6778">
            <v>0</v>
          </cell>
          <cell r="E6778">
            <v>3.23</v>
          </cell>
          <cell r="F6778">
            <v>3.23</v>
          </cell>
          <cell r="G6778">
            <v>3863</v>
          </cell>
        </row>
        <row r="6779">
          <cell r="A6779" t="str">
            <v>2408</v>
          </cell>
          <cell r="B6779" t="str">
            <v>REDUÇÃO PVC</v>
          </cell>
        </row>
        <row r="6780">
          <cell r="A6780" t="str">
            <v>240801</v>
          </cell>
          <cell r="B6780" t="str">
            <v>Redução PVC JE PB PBA DN   75  50 (40479)</v>
          </cell>
          <cell r="C6780" t="str">
            <v>ud</v>
          </cell>
          <cell r="D6780">
            <v>0</v>
          </cell>
          <cell r="E6780">
            <v>12.43</v>
          </cell>
          <cell r="F6780">
            <v>12.43</v>
          </cell>
          <cell r="G6780">
            <v>20327</v>
          </cell>
        </row>
        <row r="6781">
          <cell r="A6781" t="str">
            <v>240802</v>
          </cell>
          <cell r="B6781" t="str">
            <v>Redução PVC JE PB PBA DN 100  50 (24546)</v>
          </cell>
          <cell r="C6781" t="str">
            <v>ud</v>
          </cell>
          <cell r="D6781">
            <v>0</v>
          </cell>
          <cell r="E6781">
            <v>17.59</v>
          </cell>
          <cell r="F6781">
            <v>17.59</v>
          </cell>
          <cell r="G6781">
            <v>11321</v>
          </cell>
        </row>
        <row r="6782">
          <cell r="A6782" t="str">
            <v>240803</v>
          </cell>
          <cell r="B6782" t="str">
            <v>Redução PVC JE PB PBA DN 100  75 (24600)</v>
          </cell>
          <cell r="C6782" t="str">
            <v>ud</v>
          </cell>
          <cell r="D6782">
            <v>0</v>
          </cell>
          <cell r="E6782">
            <v>21.02</v>
          </cell>
          <cell r="F6782">
            <v>21.02</v>
          </cell>
          <cell r="G6782">
            <v>11323</v>
          </cell>
        </row>
        <row r="6783">
          <cell r="A6783" t="str">
            <v>240810</v>
          </cell>
          <cell r="B6783" t="str">
            <v>Redução PVC JE BB PBA DN   75  50</v>
          </cell>
          <cell r="C6783" t="str">
            <v>ud</v>
          </cell>
          <cell r="D6783">
            <v>0</v>
          </cell>
          <cell r="E6783">
            <v>38.340000000000003</v>
          </cell>
          <cell r="F6783">
            <v>38.340000000000003</v>
          </cell>
          <cell r="G6783">
            <v>20032</v>
          </cell>
        </row>
        <row r="6784">
          <cell r="A6784" t="str">
            <v>240811</v>
          </cell>
          <cell r="B6784" t="str">
            <v>Redução PVC JE BB PBA DN 100  50</v>
          </cell>
          <cell r="C6784" t="str">
            <v>ud</v>
          </cell>
          <cell r="D6784">
            <v>0</v>
          </cell>
        </row>
        <row r="6785">
          <cell r="A6785" t="str">
            <v>240812</v>
          </cell>
          <cell r="B6785" t="str">
            <v>Redução PVC JE BB PBA DN 100  75</v>
          </cell>
          <cell r="C6785" t="str">
            <v>ud</v>
          </cell>
          <cell r="D6785">
            <v>0</v>
          </cell>
        </row>
        <row r="6786">
          <cell r="A6786" t="str">
            <v>2409</v>
          </cell>
          <cell r="B6786" t="str">
            <v>TAMPÃO PVC / PP</v>
          </cell>
        </row>
        <row r="6787">
          <cell r="A6787" t="str">
            <v>240901</v>
          </cell>
          <cell r="B6787" t="str">
            <v>Tampa plástica para passeio - TPP (275174)</v>
          </cell>
          <cell r="C6787" t="str">
            <v>ud</v>
          </cell>
          <cell r="D6787">
            <v>0</v>
          </cell>
          <cell r="E6787">
            <v>32.03</v>
          </cell>
          <cell r="F6787">
            <v>32.03</v>
          </cell>
        </row>
        <row r="6788">
          <cell r="A6788" t="str">
            <v>2410</v>
          </cell>
          <cell r="B6788" t="str">
            <v>TE PVC</v>
          </cell>
        </row>
        <row r="6789">
          <cell r="A6789" t="str">
            <v>241001</v>
          </cell>
          <cell r="B6789" t="str">
            <v>Te PVC JE BBB PBA DN    50 (26204)</v>
          </cell>
          <cell r="C6789" t="str">
            <v>ud</v>
          </cell>
          <cell r="D6789">
            <v>0</v>
          </cell>
          <cell r="E6789">
            <v>19.5</v>
          </cell>
          <cell r="F6789">
            <v>19.5</v>
          </cell>
          <cell r="G6789">
            <v>7048</v>
          </cell>
        </row>
        <row r="6790">
          <cell r="A6790" t="str">
            <v>241003</v>
          </cell>
          <cell r="B6790" t="str">
            <v>Te PVC JE BBB PBA DN    75 (26263)</v>
          </cell>
          <cell r="C6790" t="str">
            <v>ud</v>
          </cell>
          <cell r="D6790">
            <v>0</v>
          </cell>
          <cell r="E6790">
            <v>48.87</v>
          </cell>
          <cell r="F6790">
            <v>48.87</v>
          </cell>
          <cell r="G6790">
            <v>7088</v>
          </cell>
        </row>
        <row r="6791">
          <cell r="A6791" t="str">
            <v>241004</v>
          </cell>
          <cell r="B6791" t="str">
            <v>Te PVC JE BBB PBA DN  100 (26298)</v>
          </cell>
          <cell r="C6791" t="str">
            <v>ud</v>
          </cell>
          <cell r="D6791">
            <v>0</v>
          </cell>
          <cell r="E6791">
            <v>90.76</v>
          </cell>
          <cell r="F6791">
            <v>90.76</v>
          </cell>
          <cell r="G6791">
            <v>41892</v>
          </cell>
        </row>
        <row r="6792">
          <cell r="A6792" t="str">
            <v>241010</v>
          </cell>
          <cell r="B6792" t="str">
            <v>Te PVC JE BBP PBA DN    50</v>
          </cell>
          <cell r="C6792" t="str">
            <v>ud</v>
          </cell>
          <cell r="D6792">
            <v>0</v>
          </cell>
        </row>
        <row r="6793">
          <cell r="A6793" t="str">
            <v>241012</v>
          </cell>
          <cell r="B6793" t="str">
            <v>Te PVC JE BBP PBA DN    75</v>
          </cell>
          <cell r="C6793" t="str">
            <v>ud</v>
          </cell>
          <cell r="D6793">
            <v>0</v>
          </cell>
        </row>
        <row r="6794">
          <cell r="A6794" t="str">
            <v>241013</v>
          </cell>
          <cell r="B6794" t="str">
            <v>Te PVC JE BBP PBA DN  100</v>
          </cell>
          <cell r="C6794" t="str">
            <v>ud</v>
          </cell>
          <cell r="D6794">
            <v>0</v>
          </cell>
        </row>
        <row r="6795">
          <cell r="A6795" t="str">
            <v>241020</v>
          </cell>
          <cell r="B6795" t="str">
            <v>Te PVC JE BPP PBA DN    50</v>
          </cell>
          <cell r="C6795" t="str">
            <v>ud</v>
          </cell>
          <cell r="D6795">
            <v>0</v>
          </cell>
        </row>
        <row r="6796">
          <cell r="A6796" t="str">
            <v>241022</v>
          </cell>
          <cell r="B6796" t="str">
            <v>Te PVC JE BPP PBA DN    75</v>
          </cell>
          <cell r="C6796" t="str">
            <v>ud</v>
          </cell>
          <cell r="D6796">
            <v>0</v>
          </cell>
        </row>
        <row r="6797">
          <cell r="A6797" t="str">
            <v>241023</v>
          </cell>
          <cell r="B6797" t="str">
            <v>Te PVC JE BPP PBA DN  100</v>
          </cell>
          <cell r="C6797" t="str">
            <v>ud</v>
          </cell>
          <cell r="D6797">
            <v>0</v>
          </cell>
        </row>
        <row r="6798">
          <cell r="A6798" t="str">
            <v>241030</v>
          </cell>
          <cell r="B6798" t="str">
            <v>Te red PVC JE PBA BBB DN   75   50 (26964)</v>
          </cell>
          <cell r="C6798" t="str">
            <v>ud</v>
          </cell>
          <cell r="D6798">
            <v>0</v>
          </cell>
          <cell r="E6798">
            <v>40.65</v>
          </cell>
          <cell r="F6798">
            <v>40.65</v>
          </cell>
          <cell r="G6798">
            <v>11493</v>
          </cell>
        </row>
        <row r="6799">
          <cell r="A6799" t="str">
            <v>241031</v>
          </cell>
          <cell r="B6799" t="str">
            <v>Te red PVC JE PBA BBB DN 100   50 (27006)</v>
          </cell>
          <cell r="C6799" t="str">
            <v>ud</v>
          </cell>
          <cell r="D6799">
            <v>0</v>
          </cell>
          <cell r="E6799">
            <v>73.53</v>
          </cell>
          <cell r="F6799">
            <v>73.53</v>
          </cell>
          <cell r="G6799">
            <v>11378</v>
          </cell>
        </row>
        <row r="6800">
          <cell r="A6800" t="str">
            <v>241032</v>
          </cell>
          <cell r="B6800" t="str">
            <v>Te red PVC JE PBA BBB DN 100   75 (27022)</v>
          </cell>
          <cell r="C6800" t="str">
            <v>ud</v>
          </cell>
          <cell r="D6800">
            <v>0</v>
          </cell>
          <cell r="E6800">
            <v>80.31</v>
          </cell>
          <cell r="F6800">
            <v>80.31</v>
          </cell>
          <cell r="G6800">
            <v>11379</v>
          </cell>
        </row>
        <row r="6801">
          <cell r="A6801" t="str">
            <v>241045</v>
          </cell>
          <cell r="B6801" t="str">
            <v>Te red PVC JE PBA BBP DN   75   50</v>
          </cell>
          <cell r="C6801" t="str">
            <v>ud</v>
          </cell>
          <cell r="D6801">
            <v>0</v>
          </cell>
        </row>
        <row r="6802">
          <cell r="A6802" t="str">
            <v>241046</v>
          </cell>
          <cell r="B6802" t="str">
            <v>Te red PVC JE PBA BBP DN 100   50</v>
          </cell>
          <cell r="C6802" t="str">
            <v>ud</v>
          </cell>
          <cell r="D6802">
            <v>0</v>
          </cell>
        </row>
        <row r="6803">
          <cell r="A6803" t="str">
            <v>241047</v>
          </cell>
          <cell r="B6803" t="str">
            <v>Te red PVC JE PBA BBP DN 100   75</v>
          </cell>
          <cell r="C6803" t="str">
            <v>ud</v>
          </cell>
          <cell r="D6803">
            <v>0</v>
          </cell>
        </row>
        <row r="6804">
          <cell r="A6804" t="str">
            <v>241060</v>
          </cell>
          <cell r="B6804" t="str">
            <v>Te red PVC JE PBA BPP DN   75   50</v>
          </cell>
          <cell r="C6804" t="str">
            <v>ud</v>
          </cell>
          <cell r="D6804">
            <v>0</v>
          </cell>
        </row>
        <row r="6805">
          <cell r="A6805" t="str">
            <v>241061</v>
          </cell>
          <cell r="B6805" t="str">
            <v>Te red PVC JE PBA BPP DN 100   50</v>
          </cell>
          <cell r="C6805" t="str">
            <v>ud</v>
          </cell>
          <cell r="D6805">
            <v>0</v>
          </cell>
        </row>
        <row r="6806">
          <cell r="A6806" t="str">
            <v>241062</v>
          </cell>
          <cell r="B6806" t="str">
            <v>Te red PVC JE PBA BPP DN 100   75</v>
          </cell>
          <cell r="C6806" t="str">
            <v>ud</v>
          </cell>
          <cell r="D6806">
            <v>0</v>
          </cell>
        </row>
        <row r="6807">
          <cell r="A6807" t="str">
            <v>241075</v>
          </cell>
          <cell r="B6807" t="str">
            <v>Te red PVC JE BBB DEFOFO / PBA DN 150  50</v>
          </cell>
          <cell r="C6807" t="str">
            <v>ud</v>
          </cell>
          <cell r="D6807">
            <v>0</v>
          </cell>
        </row>
        <row r="6808">
          <cell r="A6808" t="str">
            <v>241076</v>
          </cell>
          <cell r="B6808" t="str">
            <v>Te red PVC JE BBB DEFOFO / PBA DN 250  50</v>
          </cell>
          <cell r="C6808" t="str">
            <v>ud</v>
          </cell>
          <cell r="D6808">
            <v>0</v>
          </cell>
        </row>
        <row r="6809">
          <cell r="A6809" t="str">
            <v>241077</v>
          </cell>
          <cell r="B6809" t="str">
            <v>Te PVC JS   20 mm</v>
          </cell>
          <cell r="C6809" t="str">
            <v>ud</v>
          </cell>
          <cell r="D6809">
            <v>0</v>
          </cell>
          <cell r="E6809">
            <v>0.74</v>
          </cell>
          <cell r="F6809">
            <v>0.74</v>
          </cell>
          <cell r="G6809">
            <v>7138</v>
          </cell>
        </row>
        <row r="6810">
          <cell r="A6810" t="str">
            <v>241078</v>
          </cell>
          <cell r="B6810" t="str">
            <v>Te PVC JS   25 mm (26034)</v>
          </cell>
          <cell r="C6810" t="str">
            <v>ud</v>
          </cell>
          <cell r="D6810">
            <v>0</v>
          </cell>
          <cell r="E6810">
            <v>1.02</v>
          </cell>
          <cell r="F6810">
            <v>1.02</v>
          </cell>
          <cell r="G6810">
            <v>7139</v>
          </cell>
        </row>
        <row r="6811">
          <cell r="A6811" t="str">
            <v>241079</v>
          </cell>
          <cell r="B6811" t="str">
            <v>Te PVC JS   32 mm (26042)</v>
          </cell>
          <cell r="C6811" t="str">
            <v>ud</v>
          </cell>
          <cell r="D6811">
            <v>0</v>
          </cell>
          <cell r="E6811">
            <v>2.5299999999999998</v>
          </cell>
          <cell r="F6811">
            <v>2.5299999999999998</v>
          </cell>
          <cell r="G6811">
            <v>7140</v>
          </cell>
        </row>
        <row r="6812">
          <cell r="A6812" t="str">
            <v>241080</v>
          </cell>
          <cell r="B6812" t="str">
            <v>Te PVC JS   40 mm (26050)</v>
          </cell>
          <cell r="C6812" t="str">
            <v>ud</v>
          </cell>
          <cell r="D6812">
            <v>0</v>
          </cell>
          <cell r="E6812">
            <v>6.54</v>
          </cell>
          <cell r="F6812">
            <v>6.54</v>
          </cell>
          <cell r="G6812">
            <v>7141</v>
          </cell>
        </row>
        <row r="6813">
          <cell r="A6813" t="str">
            <v>241081</v>
          </cell>
          <cell r="B6813" t="str">
            <v>Te PVC JS   50 mm (26077)</v>
          </cell>
          <cell r="C6813" t="str">
            <v>ud</v>
          </cell>
          <cell r="D6813">
            <v>0</v>
          </cell>
          <cell r="E6813">
            <v>7.4</v>
          </cell>
          <cell r="F6813">
            <v>7.4</v>
          </cell>
          <cell r="G6813">
            <v>7142</v>
          </cell>
        </row>
        <row r="6814">
          <cell r="A6814" t="str">
            <v>241082</v>
          </cell>
          <cell r="B6814" t="str">
            <v>Te PVC JS   60 mm (26085)</v>
          </cell>
          <cell r="C6814" t="str">
            <v>ud</v>
          </cell>
          <cell r="D6814">
            <v>0</v>
          </cell>
          <cell r="E6814">
            <v>21.21</v>
          </cell>
          <cell r="F6814">
            <v>21.21</v>
          </cell>
          <cell r="G6814">
            <v>7143</v>
          </cell>
        </row>
        <row r="6815">
          <cell r="A6815" t="str">
            <v>241083</v>
          </cell>
          <cell r="B6815" t="str">
            <v>Te PVC JS   75 mm (26093)</v>
          </cell>
          <cell r="C6815" t="str">
            <v>ud</v>
          </cell>
          <cell r="D6815">
            <v>0</v>
          </cell>
          <cell r="E6815">
            <v>40.67</v>
          </cell>
          <cell r="F6815">
            <v>40.67</v>
          </cell>
          <cell r="G6815">
            <v>7144</v>
          </cell>
        </row>
        <row r="6816">
          <cell r="A6816" t="str">
            <v>241084</v>
          </cell>
          <cell r="B6816" t="str">
            <v>Te PVC JS   85 mm (26409)</v>
          </cell>
          <cell r="C6816" t="str">
            <v>ud</v>
          </cell>
          <cell r="D6816">
            <v>0</v>
          </cell>
          <cell r="E6816">
            <v>63.78</v>
          </cell>
          <cell r="F6816">
            <v>63.78</v>
          </cell>
          <cell r="G6816">
            <v>7145</v>
          </cell>
        </row>
        <row r="6817">
          <cell r="A6817" t="str">
            <v>241085</v>
          </cell>
          <cell r="B6817" t="str">
            <v>Te PVC JS 110 mm (26107)</v>
          </cell>
          <cell r="C6817" t="str">
            <v>ud</v>
          </cell>
          <cell r="D6817">
            <v>0</v>
          </cell>
          <cell r="E6817">
            <v>119.31</v>
          </cell>
          <cell r="F6817">
            <v>119.31</v>
          </cell>
          <cell r="G6817">
            <v>7146</v>
          </cell>
        </row>
        <row r="6818">
          <cell r="A6818" t="str">
            <v>241086</v>
          </cell>
          <cell r="B6818" t="str">
            <v>Te red PVC JS   25  20 mm (26433)</v>
          </cell>
          <cell r="C6818" t="str">
            <v>ud</v>
          </cell>
          <cell r="D6818">
            <v>0</v>
          </cell>
          <cell r="E6818">
            <v>2.42</v>
          </cell>
          <cell r="F6818">
            <v>2.42</v>
          </cell>
          <cell r="G6818">
            <v>7104</v>
          </cell>
        </row>
        <row r="6819">
          <cell r="A6819" t="str">
            <v>241087</v>
          </cell>
          <cell r="B6819" t="str">
            <v>Te red PVC JS   32  25 mm (26468)</v>
          </cell>
          <cell r="C6819" t="str">
            <v>ud</v>
          </cell>
          <cell r="D6819">
            <v>0</v>
          </cell>
          <cell r="E6819">
            <v>4.71</v>
          </cell>
          <cell r="F6819">
            <v>4.71</v>
          </cell>
          <cell r="G6819">
            <v>7136</v>
          </cell>
        </row>
        <row r="6820">
          <cell r="A6820" t="str">
            <v>241088</v>
          </cell>
          <cell r="B6820" t="str">
            <v>Te red PVC JS   40  32 mm (26492)</v>
          </cell>
          <cell r="C6820" t="str">
            <v>ud</v>
          </cell>
          <cell r="D6820">
            <v>0</v>
          </cell>
          <cell r="E6820">
            <v>6.42</v>
          </cell>
          <cell r="F6820">
            <v>6.42</v>
          </cell>
          <cell r="G6820">
            <v>7128</v>
          </cell>
        </row>
        <row r="6821">
          <cell r="A6821" t="str">
            <v>241089</v>
          </cell>
          <cell r="B6821" t="str">
            <v>Te red PVC JS   50  20 mm</v>
          </cell>
          <cell r="C6821" t="str">
            <v>ud</v>
          </cell>
          <cell r="D6821">
            <v>0</v>
          </cell>
          <cell r="E6821">
            <v>7.12</v>
          </cell>
          <cell r="F6821">
            <v>7.12</v>
          </cell>
          <cell r="G6821">
            <v>7108</v>
          </cell>
        </row>
        <row r="6822">
          <cell r="A6822" t="str">
            <v>241090</v>
          </cell>
          <cell r="B6822" t="str">
            <v>Te red PVC JS   50  25 mm</v>
          </cell>
          <cell r="C6822" t="str">
            <v>ud</v>
          </cell>
          <cell r="D6822">
            <v>0</v>
          </cell>
          <cell r="E6822">
            <v>7.15</v>
          </cell>
          <cell r="F6822">
            <v>7.15</v>
          </cell>
          <cell r="G6822">
            <v>7129</v>
          </cell>
        </row>
        <row r="6823">
          <cell r="A6823" t="str">
            <v>241091</v>
          </cell>
          <cell r="B6823" t="str">
            <v>Te red PVC JS   50  32 mm</v>
          </cell>
          <cell r="C6823" t="str">
            <v>ud</v>
          </cell>
          <cell r="D6823">
            <v>0</v>
          </cell>
          <cell r="E6823">
            <v>9.69</v>
          </cell>
          <cell r="F6823">
            <v>9.69</v>
          </cell>
          <cell r="G6823">
            <v>7130</v>
          </cell>
        </row>
        <row r="6824">
          <cell r="A6824" t="str">
            <v>241092</v>
          </cell>
          <cell r="B6824" t="str">
            <v>Te red PVC JS   50  40 mmm (26573)</v>
          </cell>
          <cell r="C6824" t="str">
            <v>ud</v>
          </cell>
          <cell r="D6824">
            <v>0</v>
          </cell>
          <cell r="E6824">
            <v>11.14</v>
          </cell>
          <cell r="F6824">
            <v>11.14</v>
          </cell>
          <cell r="G6824">
            <v>7131</v>
          </cell>
        </row>
        <row r="6825">
          <cell r="A6825" t="str">
            <v>241093</v>
          </cell>
          <cell r="B6825" t="str">
            <v>Te red PVC JS   75  50 mm</v>
          </cell>
          <cell r="C6825" t="str">
            <v>ud</v>
          </cell>
          <cell r="D6825">
            <v>0</v>
          </cell>
          <cell r="E6825">
            <v>33.200000000000003</v>
          </cell>
          <cell r="F6825">
            <v>33.200000000000003</v>
          </cell>
          <cell r="G6825">
            <v>7132</v>
          </cell>
        </row>
        <row r="6826">
          <cell r="A6826" t="str">
            <v>241094</v>
          </cell>
          <cell r="B6826" t="str">
            <v>Te red PVC JS   85  60 mm</v>
          </cell>
          <cell r="C6826" t="str">
            <v>ud</v>
          </cell>
          <cell r="D6826">
            <v>0</v>
          </cell>
          <cell r="E6826">
            <v>52.69</v>
          </cell>
          <cell r="F6826">
            <v>52.69</v>
          </cell>
          <cell r="G6826">
            <v>7133</v>
          </cell>
        </row>
        <row r="6827">
          <cell r="A6827" t="str">
            <v>241095</v>
          </cell>
          <cell r="B6827" t="str">
            <v>Te red PVC JS 110  60 mm</v>
          </cell>
          <cell r="C6827" t="str">
            <v>ud</v>
          </cell>
          <cell r="D6827">
            <v>0</v>
          </cell>
          <cell r="E6827">
            <v>88.1</v>
          </cell>
          <cell r="F6827">
            <v>88.1</v>
          </cell>
          <cell r="G6827">
            <v>7106</v>
          </cell>
        </row>
        <row r="6828">
          <cell r="A6828" t="str">
            <v>2411</v>
          </cell>
          <cell r="B6828" t="str">
            <v>TUBO PVC</v>
          </cell>
        </row>
        <row r="6829">
          <cell r="A6829" t="str">
            <v>241110</v>
          </cell>
          <cell r="B6829" t="str">
            <v>Tubo PVC JEI PBA CL 12 NBR 5647 DN  50 (27570)</v>
          </cell>
          <cell r="C6829" t="str">
            <v>m</v>
          </cell>
          <cell r="D6829">
            <v>0</v>
          </cell>
          <cell r="E6829">
            <v>6.96</v>
          </cell>
          <cell r="F6829">
            <v>6.96</v>
          </cell>
          <cell r="G6829">
            <v>36084</v>
          </cell>
        </row>
        <row r="6830">
          <cell r="A6830" t="str">
            <v>241112</v>
          </cell>
          <cell r="B6830" t="str">
            <v>Tubo PVC JEI PBA CL 12 NBR 5647 DN  75 (27642)</v>
          </cell>
          <cell r="C6830" t="str">
            <v>m</v>
          </cell>
          <cell r="D6830">
            <v>0</v>
          </cell>
          <cell r="E6830">
            <v>14.13</v>
          </cell>
          <cell r="F6830">
            <v>14.13</v>
          </cell>
          <cell r="G6830">
            <v>36373</v>
          </cell>
        </row>
        <row r="6831">
          <cell r="A6831" t="str">
            <v>241113</v>
          </cell>
          <cell r="B6831" t="str">
            <v>Tubo PVC JEI PBA CL 12 NBR 5647 DN 100 (27677)</v>
          </cell>
          <cell r="C6831" t="str">
            <v>m</v>
          </cell>
          <cell r="D6831">
            <v>0</v>
          </cell>
          <cell r="E6831">
            <v>23.08</v>
          </cell>
          <cell r="F6831">
            <v>23.08</v>
          </cell>
          <cell r="G6831">
            <v>36374</v>
          </cell>
        </row>
        <row r="6832">
          <cell r="A6832" t="str">
            <v>241120</v>
          </cell>
          <cell r="B6832" t="str">
            <v>Tubo PVC JEI PBA CL 15 NBR 5647 DN  50 (134570)</v>
          </cell>
          <cell r="C6832" t="str">
            <v>m</v>
          </cell>
          <cell r="D6832">
            <v>0</v>
          </cell>
          <cell r="E6832">
            <v>7.99</v>
          </cell>
          <cell r="F6832">
            <v>7.99</v>
          </cell>
          <cell r="G6832">
            <v>36375</v>
          </cell>
        </row>
        <row r="6833">
          <cell r="A6833" t="str">
            <v>241122</v>
          </cell>
          <cell r="B6833" t="str">
            <v>Tubo PVC JEI PBA CL 15 NBR 5647 DN  75 (134619)</v>
          </cell>
          <cell r="C6833" t="str">
            <v>m</v>
          </cell>
          <cell r="D6833">
            <v>0</v>
          </cell>
          <cell r="E6833">
            <v>15.98</v>
          </cell>
          <cell r="F6833">
            <v>15.98</v>
          </cell>
          <cell r="G6833">
            <v>36376</v>
          </cell>
        </row>
        <row r="6834">
          <cell r="A6834" t="str">
            <v>241123</v>
          </cell>
          <cell r="B6834" t="str">
            <v>Tubo PVC JEI PBA CL 15 NBR 5647 DN 100 (134635)</v>
          </cell>
          <cell r="C6834" t="str">
            <v>m</v>
          </cell>
          <cell r="D6834">
            <v>0</v>
          </cell>
          <cell r="E6834">
            <v>26.9</v>
          </cell>
          <cell r="F6834">
            <v>26.9</v>
          </cell>
          <cell r="G6834">
            <v>36377</v>
          </cell>
        </row>
        <row r="6835">
          <cell r="A6835" t="str">
            <v>241130</v>
          </cell>
          <cell r="B6835" t="str">
            <v>Tubo PVC JEI PBA CL 20 NBR 5647 DN  50 (134589)</v>
          </cell>
          <cell r="C6835" t="str">
            <v>m</v>
          </cell>
          <cell r="D6835">
            <v>0</v>
          </cell>
          <cell r="E6835">
            <v>10.57</v>
          </cell>
          <cell r="F6835">
            <v>10.57</v>
          </cell>
          <cell r="G6835">
            <v>36378</v>
          </cell>
        </row>
        <row r="6836">
          <cell r="A6836" t="str">
            <v>241132</v>
          </cell>
          <cell r="B6836" t="str">
            <v>Tubo PVC JEI PBA CL 20 NBR 5647 DN  75 (134627)</v>
          </cell>
          <cell r="C6836" t="str">
            <v>m</v>
          </cell>
          <cell r="D6836">
            <v>0</v>
          </cell>
          <cell r="E6836">
            <v>21.28</v>
          </cell>
          <cell r="F6836">
            <v>21.28</v>
          </cell>
          <cell r="G6836">
            <v>36379</v>
          </cell>
        </row>
        <row r="6837">
          <cell r="A6837" t="str">
            <v>241133</v>
          </cell>
          <cell r="B6837" t="str">
            <v>Tubo PVC JEI PBA CL 20 NBR 5647 DN 100 (134643)</v>
          </cell>
          <cell r="C6837" t="str">
            <v>m</v>
          </cell>
          <cell r="D6837">
            <v>0</v>
          </cell>
          <cell r="E6837">
            <v>35.15</v>
          </cell>
          <cell r="F6837">
            <v>35.15</v>
          </cell>
          <cell r="G6837">
            <v>36380</v>
          </cell>
        </row>
        <row r="6838">
          <cell r="A6838" t="str">
            <v>241140</v>
          </cell>
          <cell r="B6838" t="str">
            <v>Tubo PVC JS PBS CL 20 NBR 5647 DN  50</v>
          </cell>
          <cell r="C6838" t="str">
            <v>m</v>
          </cell>
          <cell r="D6838">
            <v>0</v>
          </cell>
        </row>
        <row r="6839">
          <cell r="A6839" t="str">
            <v>241141</v>
          </cell>
          <cell r="B6839" t="str">
            <v>Tubo PVC JS PBS CL 20 NBR 5647 DN  75</v>
          </cell>
          <cell r="C6839" t="str">
            <v>m</v>
          </cell>
          <cell r="D6839">
            <v>0</v>
          </cell>
        </row>
        <row r="6840">
          <cell r="A6840" t="str">
            <v>241143</v>
          </cell>
          <cell r="B6840" t="str">
            <v>Tubo PVC JS PBS CL 20 NBR 5647 DN 100</v>
          </cell>
          <cell r="C6840" t="str">
            <v>m</v>
          </cell>
          <cell r="D6840">
            <v>0</v>
          </cell>
        </row>
        <row r="6841">
          <cell r="A6841" t="str">
            <v>241144</v>
          </cell>
          <cell r="B6841" t="str">
            <v>Tubo PVC JS NBR 5648   DE 20 mm (27456)</v>
          </cell>
          <cell r="C6841" t="str">
            <v>m</v>
          </cell>
          <cell r="D6841">
            <v>0</v>
          </cell>
          <cell r="E6841">
            <v>1.65</v>
          </cell>
          <cell r="F6841">
            <v>1.65</v>
          </cell>
          <cell r="G6841">
            <v>9867</v>
          </cell>
        </row>
        <row r="6842">
          <cell r="A6842" t="str">
            <v>241145</v>
          </cell>
          <cell r="B6842" t="str">
            <v>Tubo PVC JS NBR 5648   DE 25 mm (27472)</v>
          </cell>
          <cell r="C6842" t="str">
            <v>m</v>
          </cell>
          <cell r="D6842">
            <v>0</v>
          </cell>
          <cell r="E6842">
            <v>2.19</v>
          </cell>
          <cell r="F6842">
            <v>2.19</v>
          </cell>
          <cell r="G6842">
            <v>9868</v>
          </cell>
        </row>
        <row r="6843">
          <cell r="A6843" t="str">
            <v>241146</v>
          </cell>
          <cell r="B6843" t="str">
            <v>Tubo PVC JS NBR 5648   DE 32 mm (27499)</v>
          </cell>
          <cell r="C6843" t="str">
            <v>m</v>
          </cell>
          <cell r="D6843">
            <v>0</v>
          </cell>
          <cell r="E6843">
            <v>4.7</v>
          </cell>
          <cell r="F6843">
            <v>4.7</v>
          </cell>
          <cell r="G6843">
            <v>9869</v>
          </cell>
        </row>
        <row r="6844">
          <cell r="A6844" t="str">
            <v>241147</v>
          </cell>
          <cell r="B6844" t="str">
            <v>Tubo PVC JS NBR 5648   DE 40 mm (27510)</v>
          </cell>
          <cell r="C6844" t="str">
            <v>m</v>
          </cell>
          <cell r="D6844">
            <v>0</v>
          </cell>
          <cell r="E6844">
            <v>6.85</v>
          </cell>
          <cell r="F6844">
            <v>6.85</v>
          </cell>
          <cell r="G6844">
            <v>9874</v>
          </cell>
        </row>
        <row r="6845">
          <cell r="A6845" t="str">
            <v>241148</v>
          </cell>
          <cell r="B6845" t="str">
            <v>Tubo PVC JS NBR 5648   DE 50 mm (27537)</v>
          </cell>
          <cell r="C6845" t="str">
            <v>m</v>
          </cell>
          <cell r="D6845">
            <v>0</v>
          </cell>
          <cell r="E6845">
            <v>8.5</v>
          </cell>
          <cell r="F6845">
            <v>8.5</v>
          </cell>
          <cell r="G6845">
            <v>9875</v>
          </cell>
        </row>
        <row r="6846">
          <cell r="A6846" t="str">
            <v>241149</v>
          </cell>
          <cell r="B6846" t="str">
            <v>Tubo PVC JS NBR 5648   DE 60 mm (27553)</v>
          </cell>
          <cell r="C6846" t="str">
            <v>m</v>
          </cell>
          <cell r="D6846">
            <v>0</v>
          </cell>
          <cell r="E6846">
            <v>13.24</v>
          </cell>
          <cell r="F6846">
            <v>13.24</v>
          </cell>
          <cell r="G6846">
            <v>9873</v>
          </cell>
        </row>
        <row r="6847">
          <cell r="A6847" t="str">
            <v>241150</v>
          </cell>
          <cell r="B6847" t="str">
            <v>Tubo PVC JS NBR 5648   DE 75 mm</v>
          </cell>
          <cell r="C6847" t="str">
            <v>m</v>
          </cell>
          <cell r="D6847">
            <v>0</v>
          </cell>
          <cell r="E6847">
            <v>18.579999999999998</v>
          </cell>
          <cell r="F6847">
            <v>18.579999999999998</v>
          </cell>
          <cell r="G6847">
            <v>9871</v>
          </cell>
        </row>
        <row r="6848">
          <cell r="A6848" t="str">
            <v>241151</v>
          </cell>
          <cell r="B6848" t="str">
            <v>Tubo PVC JS NBR 5648   DE 85 mm</v>
          </cell>
          <cell r="C6848" t="str">
            <v>m</v>
          </cell>
          <cell r="D6848">
            <v>0</v>
          </cell>
          <cell r="E6848">
            <v>23.42</v>
          </cell>
          <cell r="F6848">
            <v>23.42</v>
          </cell>
          <cell r="G6848">
            <v>9872</v>
          </cell>
        </row>
        <row r="6849">
          <cell r="A6849" t="str">
            <v>241152</v>
          </cell>
          <cell r="B6849" t="str">
            <v>Tubo PVC JS NBR 5648  DE110 mm (196169)</v>
          </cell>
          <cell r="C6849" t="str">
            <v>m</v>
          </cell>
          <cell r="D6849">
            <v>0</v>
          </cell>
          <cell r="E6849">
            <v>39.49</v>
          </cell>
          <cell r="F6849">
            <v>39.49</v>
          </cell>
          <cell r="G6849">
            <v>9870</v>
          </cell>
        </row>
        <row r="6850">
          <cell r="A6850" t="str">
            <v>241160</v>
          </cell>
          <cell r="B6850" t="str">
            <v>Tubo PVC JEI DEFOFO NBR 7665/07 DN 100 (27685)</v>
          </cell>
          <cell r="C6850" t="str">
            <v>m</v>
          </cell>
          <cell r="D6850">
            <v>0</v>
          </cell>
          <cell r="E6850">
            <v>34.72</v>
          </cell>
          <cell r="F6850">
            <v>34.72</v>
          </cell>
          <cell r="G6850">
            <v>9825</v>
          </cell>
        </row>
        <row r="6851">
          <cell r="A6851" t="str">
            <v>241161</v>
          </cell>
          <cell r="B6851" t="str">
            <v>Tubo PVC JEI DEFOFO NBR 7665/07 DN 150 (270415)</v>
          </cell>
          <cell r="C6851" t="str">
            <v>m</v>
          </cell>
          <cell r="D6851">
            <v>0</v>
          </cell>
          <cell r="E6851">
            <v>67.69</v>
          </cell>
          <cell r="F6851">
            <v>67.69</v>
          </cell>
          <cell r="G6851">
            <v>9828</v>
          </cell>
        </row>
        <row r="6852">
          <cell r="A6852" t="str">
            <v>241162</v>
          </cell>
          <cell r="B6852" t="str">
            <v>Tubo PVC JEI DEFOFO NBR 7665/07 DN 200 (270423)</v>
          </cell>
          <cell r="C6852" t="str">
            <v>m</v>
          </cell>
          <cell r="D6852">
            <v>0</v>
          </cell>
          <cell r="E6852">
            <v>120.51</v>
          </cell>
          <cell r="F6852">
            <v>120.51</v>
          </cell>
          <cell r="G6852">
            <v>9829</v>
          </cell>
        </row>
        <row r="6853">
          <cell r="A6853" t="str">
            <v>241163</v>
          </cell>
          <cell r="B6853" t="str">
            <v>Tubo PVC JEI DEFOFO NBR 7665/07 DN 250 (270431)</v>
          </cell>
          <cell r="C6853" t="str">
            <v>m</v>
          </cell>
          <cell r="D6853">
            <v>0</v>
          </cell>
          <cell r="E6853">
            <v>178.78</v>
          </cell>
          <cell r="F6853">
            <v>178.78</v>
          </cell>
          <cell r="G6853">
            <v>9826</v>
          </cell>
        </row>
        <row r="6854">
          <cell r="A6854" t="str">
            <v>241164</v>
          </cell>
          <cell r="B6854" t="str">
            <v>Tubo PVC JEI DEFOFO NBR 7665/07 DN 300 (270440)</v>
          </cell>
          <cell r="C6854" t="str">
            <v>m</v>
          </cell>
          <cell r="D6854">
            <v>0</v>
          </cell>
          <cell r="E6854">
            <v>259.83</v>
          </cell>
          <cell r="F6854">
            <v>259.83</v>
          </cell>
          <cell r="G6854">
            <v>9827</v>
          </cell>
        </row>
        <row r="6855">
          <cell r="A6855" t="str">
            <v>241165</v>
          </cell>
          <cell r="B6855" t="str">
            <v>Tubo PVC JEI DEFOFO NBR 7665/07 DN 350</v>
          </cell>
          <cell r="C6855" t="str">
            <v>m</v>
          </cell>
          <cell r="D6855">
            <v>0</v>
          </cell>
          <cell r="F6855">
            <v>0</v>
          </cell>
        </row>
        <row r="6856">
          <cell r="A6856" t="str">
            <v>241166</v>
          </cell>
          <cell r="B6856" t="str">
            <v>Tubo PVC JEI DEFOFO NBR 7665/07 DN 400 (270458)</v>
          </cell>
          <cell r="C6856" t="str">
            <v>m</v>
          </cell>
          <cell r="D6856">
            <v>0</v>
          </cell>
        </row>
        <row r="6857">
          <cell r="A6857" t="str">
            <v>241167</v>
          </cell>
          <cell r="B6857" t="str">
            <v>Tubo PVC JEI DEFOFO NBR 7665/07 DN 500</v>
          </cell>
          <cell r="C6857" t="str">
            <v>m</v>
          </cell>
          <cell r="D6857">
            <v>0</v>
          </cell>
          <cell r="F6857">
            <v>0</v>
          </cell>
        </row>
        <row r="6858">
          <cell r="A6858" t="str">
            <v>2412</v>
          </cell>
          <cell r="B6858" t="str">
            <v>UNIÃO PVC</v>
          </cell>
        </row>
        <row r="6859">
          <cell r="A6859" t="str">
            <v>241201</v>
          </cell>
          <cell r="B6859" t="str">
            <v>União PVC JS   20 mm (28363)</v>
          </cell>
          <cell r="C6859" t="str">
            <v>ud</v>
          </cell>
          <cell r="D6859">
            <v>0</v>
          </cell>
          <cell r="E6859">
            <v>5.69</v>
          </cell>
          <cell r="F6859">
            <v>5.69</v>
          </cell>
          <cell r="G6859">
            <v>9905</v>
          </cell>
        </row>
        <row r="6860">
          <cell r="A6860" t="str">
            <v>241202</v>
          </cell>
          <cell r="B6860" t="str">
            <v>União PVC JS   25 mm (28371)</v>
          </cell>
          <cell r="C6860" t="str">
            <v>ud</v>
          </cell>
          <cell r="D6860">
            <v>0</v>
          </cell>
          <cell r="E6860">
            <v>6.72</v>
          </cell>
          <cell r="F6860">
            <v>6.72</v>
          </cell>
          <cell r="G6860">
            <v>9906</v>
          </cell>
        </row>
        <row r="6861">
          <cell r="A6861" t="str">
            <v>241203</v>
          </cell>
          <cell r="B6861" t="str">
            <v>União PVC JS   32 mm (28380)</v>
          </cell>
          <cell r="C6861" t="str">
            <v>ud</v>
          </cell>
          <cell r="D6861">
            <v>0</v>
          </cell>
          <cell r="E6861">
            <v>11.35</v>
          </cell>
          <cell r="F6861">
            <v>11.35</v>
          </cell>
          <cell r="G6861">
            <v>9895</v>
          </cell>
        </row>
        <row r="6862">
          <cell r="A6862" t="str">
            <v>241204</v>
          </cell>
          <cell r="B6862" t="str">
            <v>União PVC JS   40 mm (28398)</v>
          </cell>
          <cell r="C6862" t="str">
            <v>ud</v>
          </cell>
          <cell r="D6862">
            <v>0</v>
          </cell>
          <cell r="E6862">
            <v>22.19</v>
          </cell>
          <cell r="F6862">
            <v>22.19</v>
          </cell>
          <cell r="G6862">
            <v>9894</v>
          </cell>
        </row>
        <row r="6863">
          <cell r="A6863" t="str">
            <v>241205</v>
          </cell>
          <cell r="B6863" t="str">
            <v>União PVC JS   50 mm (28401)</v>
          </cell>
          <cell r="C6863" t="str">
            <v>ud</v>
          </cell>
          <cell r="D6863">
            <v>0</v>
          </cell>
          <cell r="E6863">
            <v>26.09</v>
          </cell>
          <cell r="F6863">
            <v>26.09</v>
          </cell>
          <cell r="G6863">
            <v>9897</v>
          </cell>
        </row>
        <row r="6864">
          <cell r="A6864" t="str">
            <v>241206</v>
          </cell>
          <cell r="B6864" t="str">
            <v>União PVC JS   60 mm (28410)</v>
          </cell>
          <cell r="C6864" t="str">
            <v>ud</v>
          </cell>
          <cell r="D6864">
            <v>0</v>
          </cell>
          <cell r="E6864">
            <v>60.37</v>
          </cell>
          <cell r="F6864">
            <v>60.37</v>
          </cell>
          <cell r="G6864">
            <v>9910</v>
          </cell>
        </row>
        <row r="6865">
          <cell r="A6865" t="str">
            <v>241207</v>
          </cell>
          <cell r="B6865" t="str">
            <v>União PVC JS   75 mm</v>
          </cell>
          <cell r="C6865" t="str">
            <v>ud</v>
          </cell>
          <cell r="D6865">
            <v>0</v>
          </cell>
          <cell r="E6865">
            <v>125.45</v>
          </cell>
          <cell r="F6865">
            <v>125.45</v>
          </cell>
          <cell r="G6865">
            <v>9909</v>
          </cell>
        </row>
        <row r="6866">
          <cell r="A6866" t="str">
            <v>241208</v>
          </cell>
          <cell r="B6866" t="str">
            <v>União PVC JS   85 mm</v>
          </cell>
          <cell r="C6866" t="str">
            <v>ud</v>
          </cell>
          <cell r="D6866">
            <v>0</v>
          </cell>
          <cell r="E6866">
            <v>186.23</v>
          </cell>
          <cell r="F6866">
            <v>186.23</v>
          </cell>
          <cell r="G6866">
            <v>9907</v>
          </cell>
        </row>
        <row r="6867">
          <cell r="A6867" t="str">
            <v>241209</v>
          </cell>
          <cell r="B6867" t="str">
            <v>União PVC JS 110 mm</v>
          </cell>
          <cell r="C6867" t="str">
            <v>ud</v>
          </cell>
          <cell r="D6867">
            <v>0</v>
          </cell>
          <cell r="E6867">
            <v>423.53</v>
          </cell>
          <cell r="F6867">
            <v>423.53</v>
          </cell>
          <cell r="G6867">
            <v>9908</v>
          </cell>
        </row>
        <row r="6868">
          <cell r="A6868" t="str">
            <v>25</v>
          </cell>
          <cell r="B6868" t="str">
            <v>MATERIAL DE PVC - ESGOTO</v>
          </cell>
        </row>
        <row r="6869">
          <cell r="A6869" t="str">
            <v>2501</v>
          </cell>
          <cell r="B6869" t="str">
            <v>ADAPATADOR PVC</v>
          </cell>
        </row>
        <row r="6870">
          <cell r="A6870" t="str">
            <v>250101</v>
          </cell>
          <cell r="B6870" t="str">
            <v>Adaptador PVC JE/JEI PB  coletor de esgoto  p/  cerâmica DN 100 (207730)</v>
          </cell>
          <cell r="C6870" t="str">
            <v>ud</v>
          </cell>
          <cell r="D6870">
            <v>0</v>
          </cell>
        </row>
        <row r="6871">
          <cell r="A6871" t="str">
            <v>250102</v>
          </cell>
          <cell r="B6871" t="str">
            <v>Adaptador PVC JE/JEI PB  coletor de esgoto  p/  cerâmica DN 150 (183784)</v>
          </cell>
          <cell r="C6871" t="str">
            <v>ud</v>
          </cell>
          <cell r="D6871">
            <v>0</v>
          </cell>
        </row>
        <row r="6872">
          <cell r="A6872" t="str">
            <v>250103</v>
          </cell>
          <cell r="B6872" t="str">
            <v>Adaptador PVC JE/JEI PB  coletor de esgoto  p/  cerâmica DN 200 (279374)</v>
          </cell>
          <cell r="C6872" t="str">
            <v>ud</v>
          </cell>
          <cell r="D6872">
            <v>0</v>
          </cell>
        </row>
        <row r="6873">
          <cell r="A6873" t="str">
            <v>250104</v>
          </cell>
          <cell r="B6873" t="str">
            <v>Adaptador PVC JE/JEI PB  coletor de esgoto  p/  cerâmica DN 250</v>
          </cell>
          <cell r="C6873" t="str">
            <v>ud</v>
          </cell>
          <cell r="D6873">
            <v>0</v>
          </cell>
        </row>
        <row r="6874">
          <cell r="A6874" t="str">
            <v>250105</v>
          </cell>
          <cell r="B6874" t="str">
            <v>Adaptador PVC JE/JEI PB  coletor de esgoto  p/  cerâmica DN 300</v>
          </cell>
          <cell r="C6874" t="str">
            <v>ud</v>
          </cell>
          <cell r="D6874">
            <v>0</v>
          </cell>
        </row>
        <row r="6875">
          <cell r="A6875" t="str">
            <v>250110</v>
          </cell>
          <cell r="B6875" t="str">
            <v>Adaptador PVC bolsa JE/JEI coletor de esgoto  p/ cerâmica ponta JA DN 100  p/ conexão em PV (279153)</v>
          </cell>
          <cell r="C6875" t="str">
            <v>ud</v>
          </cell>
          <cell r="D6875">
            <v>0</v>
          </cell>
          <cell r="F6875">
            <v>0</v>
          </cell>
        </row>
        <row r="6876">
          <cell r="A6876" t="str">
            <v>250111</v>
          </cell>
          <cell r="B6876" t="str">
            <v>Adaptador PVC bolsa JE/JEI coletor de esgoto  p/ cerâmica ponta JA DN 150  p/ conexão em PV (279153)</v>
          </cell>
          <cell r="C6876" t="str">
            <v>ud</v>
          </cell>
          <cell r="D6876">
            <v>0</v>
          </cell>
          <cell r="F6876">
            <v>0</v>
          </cell>
        </row>
        <row r="6877">
          <cell r="A6877" t="str">
            <v>250112</v>
          </cell>
          <cell r="B6877" t="str">
            <v>Adaptador PVC bolsa JE/JEI coletor de esgoto  p/ cerâmica ponta JA DN 200  p/ conexão em PV</v>
          </cell>
          <cell r="C6877" t="str">
            <v>ud</v>
          </cell>
          <cell r="D6877">
            <v>0</v>
          </cell>
          <cell r="F6877">
            <v>0</v>
          </cell>
        </row>
        <row r="6878">
          <cell r="A6878" t="str">
            <v>250113</v>
          </cell>
          <cell r="B6878" t="str">
            <v>Adaptador PVC bolsa JE/JEI coletor de esgoto  p/ cerâmica ponta JA DN 250  p/ conexão em PV</v>
          </cell>
          <cell r="C6878" t="str">
            <v>ud</v>
          </cell>
          <cell r="D6878">
            <v>0</v>
          </cell>
          <cell r="F6878">
            <v>0</v>
          </cell>
        </row>
        <row r="6879">
          <cell r="A6879" t="str">
            <v>2502</v>
          </cell>
          <cell r="B6879" t="str">
            <v>CAP PVC</v>
          </cell>
        </row>
        <row r="6880">
          <cell r="A6880" t="str">
            <v>250203</v>
          </cell>
          <cell r="B6880" t="str">
            <v>Cap PVC JE/JEI coletor de esgoto 100</v>
          </cell>
          <cell r="C6880" t="str">
            <v>ud</v>
          </cell>
          <cell r="D6880">
            <v>0</v>
          </cell>
          <cell r="E6880">
            <v>11.79</v>
          </cell>
          <cell r="F6880">
            <v>11.79</v>
          </cell>
        </row>
        <row r="6881">
          <cell r="A6881" t="str">
            <v>250205</v>
          </cell>
          <cell r="B6881" t="str">
            <v>Cap PVC JE/JEI coletor de esgoto 150</v>
          </cell>
          <cell r="C6881" t="str">
            <v>ud</v>
          </cell>
          <cell r="D6881">
            <v>0</v>
          </cell>
          <cell r="E6881">
            <v>112.48</v>
          </cell>
          <cell r="F6881">
            <v>112.48</v>
          </cell>
          <cell r="G6881">
            <v>26047</v>
          </cell>
        </row>
        <row r="6882">
          <cell r="A6882" t="str">
            <v>250206</v>
          </cell>
          <cell r="B6882" t="str">
            <v>Cap PVC JE/JEI coletor de esgoto 200</v>
          </cell>
          <cell r="C6882" t="str">
            <v>ud</v>
          </cell>
          <cell r="D6882">
            <v>0</v>
          </cell>
          <cell r="E6882">
            <v>167.59</v>
          </cell>
          <cell r="F6882">
            <v>167.59</v>
          </cell>
          <cell r="G6882">
            <v>26048</v>
          </cell>
        </row>
        <row r="6883">
          <cell r="A6883" t="str">
            <v>250207</v>
          </cell>
          <cell r="B6883" t="str">
            <v>Cap PVC JE coletor de esgoto 250</v>
          </cell>
          <cell r="C6883" t="str">
            <v>ud</v>
          </cell>
          <cell r="D6883">
            <v>0</v>
          </cell>
          <cell r="F6883">
            <v>0</v>
          </cell>
        </row>
        <row r="6884">
          <cell r="A6884" t="str">
            <v>250208</v>
          </cell>
          <cell r="B6884" t="str">
            <v>Cap PVC JE coletor de esgoto 300</v>
          </cell>
          <cell r="C6884" t="str">
            <v>ud</v>
          </cell>
          <cell r="D6884">
            <v>0</v>
          </cell>
          <cell r="F6884">
            <v>0</v>
          </cell>
        </row>
        <row r="6885">
          <cell r="A6885" t="str">
            <v>250209</v>
          </cell>
          <cell r="B6885" t="str">
            <v>Cap PVC JE coletor de esgoto 350</v>
          </cell>
          <cell r="C6885" t="str">
            <v>ud</v>
          </cell>
          <cell r="D6885">
            <v>0</v>
          </cell>
          <cell r="F6885">
            <v>0</v>
          </cell>
        </row>
        <row r="6886">
          <cell r="A6886" t="str">
            <v>250210</v>
          </cell>
          <cell r="B6886" t="str">
            <v>Cap PVC JE coletor de esgoto 400</v>
          </cell>
          <cell r="C6886" t="str">
            <v>ud</v>
          </cell>
          <cell r="D6886">
            <v>0</v>
          </cell>
          <cell r="F6886">
            <v>0</v>
          </cell>
        </row>
        <row r="6887">
          <cell r="A6887" t="str">
            <v>2503</v>
          </cell>
          <cell r="B6887" t="str">
            <v>CURVA PVC</v>
          </cell>
        </row>
        <row r="6888">
          <cell r="A6888" t="str">
            <v>250301</v>
          </cell>
          <cell r="B6888" t="str">
            <v>Curva PVC 11º 15' JE/JEI PB coletor de esgoto DN 100</v>
          </cell>
          <cell r="C6888" t="str">
            <v>ud</v>
          </cell>
          <cell r="D6888">
            <v>0</v>
          </cell>
          <cell r="E6888">
            <v>40.049999999999997</v>
          </cell>
          <cell r="F6888">
            <v>40.049999999999997</v>
          </cell>
        </row>
        <row r="6889">
          <cell r="A6889" t="str">
            <v>250302</v>
          </cell>
          <cell r="B6889" t="str">
            <v>Curva PVC 11º 15' JE/JEI PB coletor de esgoto DN 150</v>
          </cell>
          <cell r="C6889" t="str">
            <v>ud</v>
          </cell>
          <cell r="D6889">
            <v>0</v>
          </cell>
          <cell r="E6889">
            <v>0</v>
          </cell>
          <cell r="F6889">
            <v>0</v>
          </cell>
        </row>
        <row r="6890">
          <cell r="A6890" t="str">
            <v>250308</v>
          </cell>
          <cell r="B6890" t="str">
            <v>Curva PVC 22º 30' JE/JEI PB coletor de esgoto DN 100 (260355)</v>
          </cell>
          <cell r="C6890" t="str">
            <v>ud</v>
          </cell>
          <cell r="D6890">
            <v>0</v>
          </cell>
          <cell r="E6890">
            <v>43.48</v>
          </cell>
          <cell r="F6890">
            <v>43.48</v>
          </cell>
        </row>
        <row r="6891">
          <cell r="A6891" t="str">
            <v>250309</v>
          </cell>
          <cell r="B6891" t="str">
            <v>Curva PVC 22º 30' JE/JEI PB coletor de esgoto DN 150 (64858)</v>
          </cell>
          <cell r="C6891" t="str">
            <v>ud</v>
          </cell>
          <cell r="D6891">
            <v>0</v>
          </cell>
          <cell r="E6891">
            <v>0</v>
          </cell>
          <cell r="F6891">
            <v>0</v>
          </cell>
        </row>
        <row r="6892">
          <cell r="A6892" t="str">
            <v>250315</v>
          </cell>
          <cell r="B6892" t="str">
            <v>Curva PVC 45º JE/JEI PB  coletor de esgoto DN 100 (115126)</v>
          </cell>
          <cell r="C6892" t="str">
            <v>ud</v>
          </cell>
          <cell r="D6892">
            <v>0</v>
          </cell>
          <cell r="E6892">
            <v>20.21</v>
          </cell>
          <cell r="F6892">
            <v>20.21</v>
          </cell>
          <cell r="G6892">
            <v>1858</v>
          </cell>
        </row>
        <row r="6893">
          <cell r="A6893" t="str">
            <v>250316</v>
          </cell>
          <cell r="B6893" t="str">
            <v>Curva PVC 45º JE/JEI PB  coletor de esgoto DN 150 (149004)</v>
          </cell>
          <cell r="C6893" t="str">
            <v>ud</v>
          </cell>
          <cell r="D6893">
            <v>0</v>
          </cell>
          <cell r="E6893">
            <v>86.64</v>
          </cell>
          <cell r="F6893">
            <v>86.64</v>
          </cell>
          <cell r="G6893">
            <v>1844</v>
          </cell>
        </row>
        <row r="6894">
          <cell r="A6894" t="str">
            <v>250317</v>
          </cell>
          <cell r="B6894" t="str">
            <v>Curva PVC 45º JE/JEI PB  coletor de esgoto DN 200 (213390)</v>
          </cell>
          <cell r="C6894" t="str">
            <v>ud</v>
          </cell>
          <cell r="D6894">
            <v>0</v>
          </cell>
          <cell r="E6894">
            <v>190.87</v>
          </cell>
          <cell r="F6894">
            <v>190.87</v>
          </cell>
          <cell r="G6894">
            <v>1836</v>
          </cell>
        </row>
        <row r="6895">
          <cell r="A6895" t="str">
            <v>250318</v>
          </cell>
          <cell r="B6895" t="str">
            <v>Curva PVC 45º JE/JEI PB  coletor de esgoto DN 250 (250848)</v>
          </cell>
          <cell r="C6895" t="str">
            <v>ud</v>
          </cell>
          <cell r="D6895">
            <v>0</v>
          </cell>
          <cell r="E6895">
            <v>313.95999999999998</v>
          </cell>
          <cell r="F6895">
            <v>313.95999999999998</v>
          </cell>
          <cell r="G6895">
            <v>1837</v>
          </cell>
        </row>
        <row r="6896">
          <cell r="A6896" t="str">
            <v>250319</v>
          </cell>
          <cell r="B6896" t="str">
            <v>Curva PVC 45º JE/JEI PB  coletor de esgoto DN 300 (170313)</v>
          </cell>
          <cell r="C6896" t="str">
            <v>ud</v>
          </cell>
          <cell r="D6896">
            <v>0</v>
          </cell>
          <cell r="E6896">
            <v>618.29</v>
          </cell>
          <cell r="F6896">
            <v>618.29</v>
          </cell>
          <cell r="G6896">
            <v>1860</v>
          </cell>
        </row>
        <row r="6897">
          <cell r="A6897" t="str">
            <v>250320</v>
          </cell>
          <cell r="B6897" t="str">
            <v>Curva PVC 45º JE/JEI PB  coletor de esgoto DN 350</v>
          </cell>
          <cell r="C6897" t="str">
            <v>ud</v>
          </cell>
          <cell r="D6897">
            <v>0</v>
          </cell>
          <cell r="G6897">
            <v>1861</v>
          </cell>
        </row>
        <row r="6898">
          <cell r="A6898" t="str">
            <v>250321</v>
          </cell>
          <cell r="B6898" t="str">
            <v>Curva PVC 45º JE/JEI PB  coletor de esgoto DN 400 (290113)</v>
          </cell>
          <cell r="C6898" t="str">
            <v>ud</v>
          </cell>
          <cell r="D6898">
            <v>0</v>
          </cell>
          <cell r="E6898">
            <v>993.38</v>
          </cell>
          <cell r="F6898">
            <v>993.38</v>
          </cell>
          <cell r="G6898">
            <v>1862</v>
          </cell>
        </row>
        <row r="6899">
          <cell r="A6899" t="str">
            <v>250330</v>
          </cell>
          <cell r="B6899" t="str">
            <v>Curva PVC 90º JE/JEI PB  coletor de esgoto DN 100 (281832)</v>
          </cell>
          <cell r="C6899" t="str">
            <v>ud</v>
          </cell>
          <cell r="D6899">
            <v>0</v>
          </cell>
          <cell r="E6899">
            <v>19.420000000000002</v>
          </cell>
          <cell r="F6899">
            <v>19.420000000000002</v>
          </cell>
          <cell r="G6899">
            <v>1863</v>
          </cell>
        </row>
        <row r="6900">
          <cell r="A6900" t="str">
            <v>250331</v>
          </cell>
          <cell r="B6900" t="str">
            <v>Curva PVC 90º JE/JEI PB  coletor de esgoto DN 150 (115150)</v>
          </cell>
          <cell r="C6900" t="str">
            <v>ud</v>
          </cell>
          <cell r="D6900">
            <v>0</v>
          </cell>
          <cell r="E6900">
            <v>87.25</v>
          </cell>
          <cell r="F6900">
            <v>87.25</v>
          </cell>
          <cell r="G6900">
            <v>1865</v>
          </cell>
        </row>
        <row r="6901">
          <cell r="A6901" t="str">
            <v>250332</v>
          </cell>
          <cell r="B6901" t="str">
            <v>Curva PVC 90º JE/JEI PB  coletor de esgoto DN 200 (151300)</v>
          </cell>
          <cell r="C6901" t="str">
            <v>ud</v>
          </cell>
          <cell r="D6901">
            <v>0</v>
          </cell>
          <cell r="E6901">
            <v>238.71</v>
          </cell>
          <cell r="F6901">
            <v>238.71</v>
          </cell>
          <cell r="G6901">
            <v>1866</v>
          </cell>
        </row>
        <row r="6902">
          <cell r="A6902" t="str">
            <v>250333</v>
          </cell>
          <cell r="B6902" t="str">
            <v>Curva PVC 90º JE/JEI PB  coletor de esgoto DN 250 (151483)</v>
          </cell>
          <cell r="C6902" t="str">
            <v>ud</v>
          </cell>
          <cell r="D6902">
            <v>0</v>
          </cell>
          <cell r="E6902">
            <v>352.89</v>
          </cell>
          <cell r="F6902">
            <v>352.89</v>
          </cell>
          <cell r="G6902">
            <v>1853</v>
          </cell>
        </row>
        <row r="6903">
          <cell r="A6903" t="str">
            <v>250334</v>
          </cell>
          <cell r="B6903" t="str">
            <v>Curva PVC 90º JE/JEI PB  coletor de esgoto DN 300 (151416)</v>
          </cell>
          <cell r="C6903" t="str">
            <v>ud</v>
          </cell>
          <cell r="D6903">
            <v>0</v>
          </cell>
          <cell r="E6903">
            <v>781.24</v>
          </cell>
          <cell r="F6903">
            <v>781.24</v>
          </cell>
          <cell r="G6903">
            <v>1867</v>
          </cell>
        </row>
        <row r="6904">
          <cell r="A6904" t="str">
            <v>250335</v>
          </cell>
          <cell r="B6904" t="str">
            <v>Curva PVC 90º JE/JEI PB  coletor de esgoto DN 350 (238015)</v>
          </cell>
          <cell r="C6904" t="str">
            <v>ud</v>
          </cell>
          <cell r="D6904">
            <v>0</v>
          </cell>
          <cell r="E6904">
            <v>1127.3399999999999</v>
          </cell>
          <cell r="F6904">
            <v>1127.3399999999999</v>
          </cell>
          <cell r="G6904">
            <v>1868</v>
          </cell>
        </row>
        <row r="6905">
          <cell r="A6905" t="str">
            <v>250336</v>
          </cell>
          <cell r="B6905" t="str">
            <v>Curva PVC 90º JE/JEI PB  coletor de esgoto DN 400 (290112)</v>
          </cell>
          <cell r="C6905" t="str">
            <v>ud</v>
          </cell>
          <cell r="D6905">
            <v>0</v>
          </cell>
          <cell r="E6905">
            <v>1475.45</v>
          </cell>
          <cell r="F6905">
            <v>1475.45</v>
          </cell>
          <cell r="G6905">
            <v>1859</v>
          </cell>
        </row>
        <row r="6906">
          <cell r="A6906" t="str">
            <v>250337</v>
          </cell>
          <cell r="B6906" t="str">
            <v>Curva curta PVC 45º JE/JEI BB  coletor de esgoto DN 100</v>
          </cell>
          <cell r="C6906" t="str">
            <v>ud</v>
          </cell>
          <cell r="D6906">
            <v>0</v>
          </cell>
          <cell r="F6906">
            <v>0</v>
          </cell>
        </row>
        <row r="6907">
          <cell r="A6907" t="str">
            <v>250338</v>
          </cell>
          <cell r="B6907" t="str">
            <v>Curva curta PVC 45º JE/JEI BB  coletor de esgoto DN 150</v>
          </cell>
          <cell r="C6907" t="str">
            <v>ud</v>
          </cell>
          <cell r="D6907">
            <v>0</v>
          </cell>
          <cell r="F6907">
            <v>0</v>
          </cell>
        </row>
        <row r="6908">
          <cell r="A6908" t="str">
            <v>250339</v>
          </cell>
          <cell r="B6908" t="str">
            <v>Curva curta PVC 90º JE/JEI BB  coletor de esgoto DN 100</v>
          </cell>
          <cell r="C6908" t="str">
            <v>ud</v>
          </cell>
          <cell r="D6908">
            <v>0</v>
          </cell>
          <cell r="E6908">
            <v>0</v>
          </cell>
          <cell r="F6908">
            <v>0</v>
          </cell>
        </row>
        <row r="6909">
          <cell r="A6909" t="str">
            <v>250340</v>
          </cell>
          <cell r="B6909" t="str">
            <v>Curva curta PVC 90º JE/JEI BB  coletor de esgoto DN 150</v>
          </cell>
          <cell r="C6909" t="str">
            <v>ud</v>
          </cell>
          <cell r="D6909">
            <v>0</v>
          </cell>
          <cell r="F6909">
            <v>0</v>
          </cell>
        </row>
        <row r="6910">
          <cell r="A6910" t="str">
            <v>250345</v>
          </cell>
          <cell r="B6910" t="str">
            <v>Curva PVC 11º 15' JE BB coletor de esgoto DN 150</v>
          </cell>
          <cell r="C6910" t="str">
            <v>ud</v>
          </cell>
          <cell r="D6910">
            <v>0</v>
          </cell>
          <cell r="F6910">
            <v>0</v>
          </cell>
        </row>
        <row r="6911">
          <cell r="A6911" t="str">
            <v>250346</v>
          </cell>
          <cell r="B6911" t="str">
            <v>Curva PVC 11º 15' JE BB coletor de esgoto DN 200</v>
          </cell>
          <cell r="C6911" t="str">
            <v>ud</v>
          </cell>
          <cell r="D6911">
            <v>0</v>
          </cell>
          <cell r="F6911">
            <v>0</v>
          </cell>
        </row>
        <row r="6912">
          <cell r="A6912" t="str">
            <v>250347</v>
          </cell>
          <cell r="B6912" t="str">
            <v>Curva PVC 11º 15' JE BB coletor de esgoto DN 250</v>
          </cell>
          <cell r="C6912" t="str">
            <v>ud</v>
          </cell>
          <cell r="D6912">
            <v>0</v>
          </cell>
          <cell r="F6912">
            <v>0</v>
          </cell>
        </row>
        <row r="6913">
          <cell r="A6913" t="str">
            <v>250348</v>
          </cell>
          <cell r="B6913" t="str">
            <v>Curva PVC 11º 15' JE BB coletor de esgoto DN 300</v>
          </cell>
          <cell r="C6913" t="str">
            <v>ud</v>
          </cell>
          <cell r="D6913">
            <v>0</v>
          </cell>
          <cell r="F6913">
            <v>0</v>
          </cell>
        </row>
        <row r="6914">
          <cell r="A6914" t="str">
            <v>250349</v>
          </cell>
          <cell r="B6914" t="str">
            <v>Curva PVC 11º 15' JE BB coletor de esgoto DN 350</v>
          </cell>
          <cell r="C6914" t="str">
            <v>ud</v>
          </cell>
          <cell r="D6914">
            <v>0</v>
          </cell>
          <cell r="F6914">
            <v>0</v>
          </cell>
        </row>
        <row r="6915">
          <cell r="A6915" t="str">
            <v>250350</v>
          </cell>
          <cell r="B6915" t="str">
            <v>Curva PVC 11º 15' JE BB coletor de esgoto DN 400</v>
          </cell>
          <cell r="C6915" t="str">
            <v>ud</v>
          </cell>
          <cell r="D6915">
            <v>0</v>
          </cell>
          <cell r="F6915">
            <v>0</v>
          </cell>
        </row>
        <row r="6916">
          <cell r="A6916" t="str">
            <v>250351</v>
          </cell>
          <cell r="B6916" t="str">
            <v>Curva PVC 22º 30' JE BB coletor de esgoto DN 150</v>
          </cell>
          <cell r="C6916" t="str">
            <v>ud</v>
          </cell>
          <cell r="D6916">
            <v>0</v>
          </cell>
          <cell r="F6916">
            <v>0</v>
          </cell>
        </row>
        <row r="6917">
          <cell r="A6917" t="str">
            <v>250352</v>
          </cell>
          <cell r="B6917" t="str">
            <v>Curva PVC 22º 30' JE BB coletor de esgoto DN 200</v>
          </cell>
          <cell r="C6917" t="str">
            <v>ud</v>
          </cell>
          <cell r="D6917">
            <v>0</v>
          </cell>
          <cell r="F6917">
            <v>0</v>
          </cell>
        </row>
        <row r="6918">
          <cell r="A6918" t="str">
            <v>250353</v>
          </cell>
          <cell r="B6918" t="str">
            <v>Curva PVC 22º 30' JE BB coletor de esgoto DN 250</v>
          </cell>
          <cell r="C6918" t="str">
            <v>ud</v>
          </cell>
          <cell r="D6918">
            <v>0</v>
          </cell>
          <cell r="F6918">
            <v>0</v>
          </cell>
        </row>
        <row r="6919">
          <cell r="A6919" t="str">
            <v>250354</v>
          </cell>
          <cell r="B6919" t="str">
            <v>Curva PVC 22º 30' JE BB coletor de esgoto DN 300</v>
          </cell>
          <cell r="C6919" t="str">
            <v>ud</v>
          </cell>
          <cell r="D6919">
            <v>0</v>
          </cell>
          <cell r="F6919">
            <v>0</v>
          </cell>
        </row>
        <row r="6920">
          <cell r="A6920" t="str">
            <v>250355</v>
          </cell>
          <cell r="B6920" t="str">
            <v>Curva PVC 22º 30' JE BB coletor de esgoto DN 350</v>
          </cell>
          <cell r="C6920" t="str">
            <v>ud</v>
          </cell>
          <cell r="D6920">
            <v>0</v>
          </cell>
          <cell r="F6920">
            <v>0</v>
          </cell>
        </row>
        <row r="6921">
          <cell r="A6921" t="str">
            <v>250356</v>
          </cell>
          <cell r="B6921" t="str">
            <v>Curva PVC 22º 30' JE BB coletor de esgoto DN 400</v>
          </cell>
          <cell r="C6921" t="str">
            <v>ud</v>
          </cell>
          <cell r="D6921">
            <v>0</v>
          </cell>
          <cell r="F6921">
            <v>0</v>
          </cell>
        </row>
        <row r="6922">
          <cell r="A6922" t="str">
            <v>250357</v>
          </cell>
          <cell r="B6922" t="str">
            <v>Curva PVC 45º JE BB coletor de esgoto DN 150</v>
          </cell>
          <cell r="C6922" t="str">
            <v>ud</v>
          </cell>
          <cell r="D6922">
            <v>0</v>
          </cell>
          <cell r="F6922">
            <v>0</v>
          </cell>
        </row>
        <row r="6923">
          <cell r="A6923" t="str">
            <v>250358</v>
          </cell>
          <cell r="B6923" t="str">
            <v>Curva PVC 45º JE BB coletor de esgoto DN 200</v>
          </cell>
          <cell r="C6923" t="str">
            <v>ud</v>
          </cell>
          <cell r="D6923">
            <v>0</v>
          </cell>
          <cell r="F6923">
            <v>0</v>
          </cell>
        </row>
        <row r="6924">
          <cell r="A6924" t="str">
            <v>250359</v>
          </cell>
          <cell r="B6924" t="str">
            <v>Curva PVC 45º JE BB coletor de esgoto DN 250</v>
          </cell>
          <cell r="C6924" t="str">
            <v>ud</v>
          </cell>
          <cell r="D6924">
            <v>0</v>
          </cell>
          <cell r="F6924">
            <v>0</v>
          </cell>
        </row>
        <row r="6925">
          <cell r="A6925" t="str">
            <v>250360</v>
          </cell>
          <cell r="B6925" t="str">
            <v>Curva PVC 45º JE BB coletor de esgoto DN 300</v>
          </cell>
          <cell r="C6925" t="str">
            <v>ud</v>
          </cell>
          <cell r="D6925">
            <v>0</v>
          </cell>
          <cell r="F6925">
            <v>0</v>
          </cell>
        </row>
        <row r="6926">
          <cell r="A6926" t="str">
            <v>250361</v>
          </cell>
          <cell r="B6926" t="str">
            <v>Curva PVC 45º JE BB coletor de esgoto DN 350</v>
          </cell>
          <cell r="C6926" t="str">
            <v>ud</v>
          </cell>
          <cell r="D6926">
            <v>0</v>
          </cell>
          <cell r="F6926">
            <v>0</v>
          </cell>
        </row>
        <row r="6927">
          <cell r="A6927" t="str">
            <v>250362</v>
          </cell>
          <cell r="B6927" t="str">
            <v>Curva PVC 45º JE BB coletor de esgoto DN 400</v>
          </cell>
          <cell r="C6927" t="str">
            <v>ud</v>
          </cell>
          <cell r="D6927">
            <v>0</v>
          </cell>
          <cell r="F6927">
            <v>0</v>
          </cell>
        </row>
        <row r="6928">
          <cell r="A6928" t="str">
            <v>250363</v>
          </cell>
          <cell r="B6928" t="str">
            <v>Curva PVC 90º JE BB coletor de esgoto DN 150</v>
          </cell>
          <cell r="C6928" t="str">
            <v>ud</v>
          </cell>
          <cell r="D6928">
            <v>0</v>
          </cell>
          <cell r="F6928">
            <v>0</v>
          </cell>
        </row>
        <row r="6929">
          <cell r="A6929" t="str">
            <v>250364</v>
          </cell>
          <cell r="B6929" t="str">
            <v>Curva PVC 90º JE BB coletor de esgoto DN 200</v>
          </cell>
          <cell r="C6929" t="str">
            <v>ud</v>
          </cell>
          <cell r="D6929">
            <v>0</v>
          </cell>
          <cell r="E6929">
            <v>0</v>
          </cell>
          <cell r="F6929">
            <v>0</v>
          </cell>
        </row>
        <row r="6930">
          <cell r="A6930" t="str">
            <v>250365</v>
          </cell>
          <cell r="B6930" t="str">
            <v>Curva PVC 90º JE BB coletor de esgoto DN 250</v>
          </cell>
          <cell r="C6930" t="str">
            <v>ud</v>
          </cell>
          <cell r="D6930">
            <v>0</v>
          </cell>
          <cell r="F6930">
            <v>0</v>
          </cell>
        </row>
        <row r="6931">
          <cell r="A6931" t="str">
            <v>250366</v>
          </cell>
          <cell r="B6931" t="str">
            <v>Curva PVC 90º JE BB coletor de esgoto DN 300</v>
          </cell>
          <cell r="C6931" t="str">
            <v>ud</v>
          </cell>
          <cell r="D6931">
            <v>0</v>
          </cell>
          <cell r="F6931">
            <v>0</v>
          </cell>
        </row>
        <row r="6932">
          <cell r="A6932" t="str">
            <v>250367</v>
          </cell>
          <cell r="B6932" t="str">
            <v>Curva PVC 90º JE BB coletor de esgoto DN 350</v>
          </cell>
          <cell r="C6932" t="str">
            <v>ud</v>
          </cell>
          <cell r="D6932">
            <v>0</v>
          </cell>
          <cell r="F6932">
            <v>0</v>
          </cell>
        </row>
        <row r="6933">
          <cell r="A6933" t="str">
            <v>250368</v>
          </cell>
          <cell r="B6933" t="str">
            <v>Curva PVC 90º JE BB coletor de esgoto DN 400</v>
          </cell>
          <cell r="C6933" t="str">
            <v>ud</v>
          </cell>
          <cell r="D6933">
            <v>0</v>
          </cell>
          <cell r="F6933">
            <v>0</v>
          </cell>
        </row>
        <row r="6934">
          <cell r="A6934" t="str">
            <v>2504</v>
          </cell>
          <cell r="B6934" t="str">
            <v>JUNÇÃO PVC</v>
          </cell>
        </row>
        <row r="6935">
          <cell r="A6935" t="str">
            <v>250401</v>
          </cell>
          <cell r="B6935" t="str">
            <v>Junção PVC JE/JEI BBB  coletor de esgoto DN 100 (261335)</v>
          </cell>
          <cell r="C6935" t="str">
            <v>ud</v>
          </cell>
          <cell r="D6935">
            <v>0</v>
          </cell>
          <cell r="E6935">
            <v>20.36</v>
          </cell>
          <cell r="F6935">
            <v>20.36</v>
          </cell>
          <cell r="G6935">
            <v>3653</v>
          </cell>
        </row>
        <row r="6936">
          <cell r="A6936" t="str">
            <v>250403</v>
          </cell>
          <cell r="B6936" t="str">
            <v>Junção PVC JE/JEI BBB  coletor de esgoto DN 150 (261343)</v>
          </cell>
          <cell r="C6936" t="str">
            <v>ud</v>
          </cell>
          <cell r="D6936">
            <v>0</v>
          </cell>
          <cell r="E6936">
            <v>52.13</v>
          </cell>
          <cell r="F6936">
            <v>52.13</v>
          </cell>
          <cell r="G6936">
            <v>3649</v>
          </cell>
        </row>
        <row r="6937">
          <cell r="A6937" t="str">
            <v>250404</v>
          </cell>
          <cell r="B6937" t="str">
            <v>Junção PVC JE/JEI BBB  coletor de esgoto DN 200 (213403)</v>
          </cell>
          <cell r="C6937" t="str">
            <v>ud</v>
          </cell>
          <cell r="D6937">
            <v>0</v>
          </cell>
          <cell r="E6937">
            <v>78.510000000000005</v>
          </cell>
          <cell r="F6937">
            <v>78.510000000000005</v>
          </cell>
          <cell r="G6937">
            <v>3651</v>
          </cell>
        </row>
        <row r="6938">
          <cell r="A6938" t="str">
            <v>250405</v>
          </cell>
          <cell r="B6938" t="str">
            <v>Junção PVC JE/JEI BBB  coletor de esgoto DN 250</v>
          </cell>
          <cell r="C6938" t="str">
            <v>ud</v>
          </cell>
          <cell r="D6938">
            <v>0</v>
          </cell>
          <cell r="E6938">
            <v>109.36</v>
          </cell>
          <cell r="F6938">
            <v>109.36</v>
          </cell>
          <cell r="G6938">
            <v>3650</v>
          </cell>
        </row>
        <row r="6939">
          <cell r="A6939" t="str">
            <v>250406</v>
          </cell>
          <cell r="B6939" t="str">
            <v>Junção PVC JE/JEI BBB  coletor de esgoto DN 300</v>
          </cell>
          <cell r="C6939" t="str">
            <v>ud</v>
          </cell>
          <cell r="D6939">
            <v>0</v>
          </cell>
          <cell r="E6939">
            <v>238.58</v>
          </cell>
          <cell r="F6939">
            <v>238.58</v>
          </cell>
          <cell r="G6939">
            <v>3645</v>
          </cell>
        </row>
        <row r="6940">
          <cell r="A6940" t="str">
            <v>250407</v>
          </cell>
          <cell r="B6940" t="str">
            <v>Junção PVC JE/JEI BBB  coletor de esgoto DN 350</v>
          </cell>
          <cell r="C6940" t="str">
            <v>ud</v>
          </cell>
          <cell r="D6940">
            <v>0</v>
          </cell>
          <cell r="E6940">
            <v>388.43</v>
          </cell>
          <cell r="F6940">
            <v>388.43</v>
          </cell>
          <cell r="G6940">
            <v>3646</v>
          </cell>
        </row>
        <row r="6941">
          <cell r="A6941" t="str">
            <v>250408</v>
          </cell>
          <cell r="B6941" t="str">
            <v>Junção PVC JE/JEI BBB  coletor de esgoto DN 400</v>
          </cell>
          <cell r="C6941" t="str">
            <v>ud</v>
          </cell>
          <cell r="D6941">
            <v>0</v>
          </cell>
          <cell r="E6941">
            <v>446.03</v>
          </cell>
          <cell r="F6941">
            <v>446.03</v>
          </cell>
          <cell r="G6941">
            <v>3647</v>
          </cell>
        </row>
        <row r="6942">
          <cell r="A6942" t="str">
            <v>250420</v>
          </cell>
          <cell r="B6942" t="str">
            <v>Junção PVC JE/JEI BBP  coletor de esgoto DN 100</v>
          </cell>
          <cell r="C6942" t="str">
            <v>ud</v>
          </cell>
          <cell r="D6942">
            <v>0</v>
          </cell>
        </row>
        <row r="6943">
          <cell r="A6943" t="str">
            <v>250422</v>
          </cell>
          <cell r="B6943" t="str">
            <v>Junção PVC JE/JEI BBP  coletor de esgoto DN 150</v>
          </cell>
          <cell r="C6943" t="str">
            <v>ud</v>
          </cell>
          <cell r="D6943">
            <v>0</v>
          </cell>
        </row>
        <row r="6944">
          <cell r="A6944" t="str">
            <v>250423</v>
          </cell>
          <cell r="B6944" t="str">
            <v>Junção PVC JE/JEI BBP  coletor de esgoto DN 200</v>
          </cell>
          <cell r="C6944" t="str">
            <v>ud</v>
          </cell>
          <cell r="D6944">
            <v>0</v>
          </cell>
        </row>
        <row r="6945">
          <cell r="A6945" t="str">
            <v>250424</v>
          </cell>
          <cell r="B6945" t="str">
            <v>Junção PVC JE/JEI BBP  coletor de esgoto DN 250</v>
          </cell>
          <cell r="C6945" t="str">
            <v>ud</v>
          </cell>
          <cell r="D6945">
            <v>0</v>
          </cell>
        </row>
        <row r="6946">
          <cell r="A6946" t="str">
            <v>250425</v>
          </cell>
          <cell r="B6946" t="str">
            <v>Junção PVC JE/JEI BBP  coletor de esgoto DN 300</v>
          </cell>
          <cell r="C6946" t="str">
            <v>ud</v>
          </cell>
          <cell r="D6946">
            <v>0</v>
          </cell>
        </row>
        <row r="6947">
          <cell r="A6947" t="str">
            <v>250430</v>
          </cell>
          <cell r="B6947" t="str">
            <v>Junção RED PVC JE/JEI  coletor de esgoto 150  100</v>
          </cell>
          <cell r="C6947" t="str">
            <v>ud</v>
          </cell>
          <cell r="D6947">
            <v>0</v>
          </cell>
        </row>
        <row r="6948">
          <cell r="A6948" t="str">
            <v>250431</v>
          </cell>
          <cell r="B6948" t="str">
            <v>Junção RED PVC JE/JEI  coletor de esgoto 200  150</v>
          </cell>
          <cell r="C6948" t="str">
            <v>ud</v>
          </cell>
          <cell r="D6948">
            <v>0</v>
          </cell>
        </row>
        <row r="6949">
          <cell r="A6949" t="str">
            <v>2505</v>
          </cell>
          <cell r="B6949" t="str">
            <v>LUVA PVC</v>
          </cell>
        </row>
        <row r="6950">
          <cell r="A6950" t="str">
            <v>250501</v>
          </cell>
          <cell r="B6950" t="str">
            <v>Luva de Correr PVC JE/JEI coletor de esgoto DN 100 (114740)</v>
          </cell>
          <cell r="C6950" t="str">
            <v>ud</v>
          </cell>
          <cell r="D6950">
            <v>0</v>
          </cell>
          <cell r="E6950">
            <v>8.4600000000000009</v>
          </cell>
          <cell r="F6950">
            <v>8.4600000000000009</v>
          </cell>
          <cell r="G6950">
            <v>3833</v>
          </cell>
        </row>
        <row r="6951">
          <cell r="A6951" t="str">
            <v>250503</v>
          </cell>
          <cell r="B6951" t="str">
            <v>Luva de Correr PVC JE/JEI coletor de esgoto DN 150 (115100)</v>
          </cell>
          <cell r="C6951" t="str">
            <v>ud</v>
          </cell>
          <cell r="D6951">
            <v>0</v>
          </cell>
          <cell r="E6951">
            <v>18.989999999999998</v>
          </cell>
          <cell r="F6951">
            <v>18.989999999999998</v>
          </cell>
          <cell r="G6951">
            <v>3835</v>
          </cell>
        </row>
        <row r="6952">
          <cell r="A6952" t="str">
            <v>250504</v>
          </cell>
          <cell r="B6952" t="str">
            <v>Luva de Correr PVC JE/JEI coletor de esgoto DN 200 (151440)</v>
          </cell>
          <cell r="C6952" t="str">
            <v>ud</v>
          </cell>
          <cell r="D6952">
            <v>0</v>
          </cell>
          <cell r="E6952">
            <v>49.1</v>
          </cell>
          <cell r="F6952">
            <v>49.1</v>
          </cell>
          <cell r="G6952">
            <v>3836</v>
          </cell>
        </row>
        <row r="6953">
          <cell r="A6953" t="str">
            <v>250505</v>
          </cell>
          <cell r="B6953" t="str">
            <v>Luva de Correr PVC JE/JEI coletor de esgoto DN 250 (151459)</v>
          </cell>
          <cell r="C6953" t="str">
            <v>ud</v>
          </cell>
          <cell r="D6953">
            <v>0</v>
          </cell>
          <cell r="E6953">
            <v>80.83</v>
          </cell>
          <cell r="F6953">
            <v>80.83</v>
          </cell>
          <cell r="G6953">
            <v>3830</v>
          </cell>
        </row>
        <row r="6954">
          <cell r="A6954" t="str">
            <v>250506</v>
          </cell>
          <cell r="B6954" t="str">
            <v>Luva de Correr PVC JE/JEI coletor de esgoto DN 300 (151467)</v>
          </cell>
          <cell r="C6954" t="str">
            <v>ud</v>
          </cell>
          <cell r="D6954">
            <v>0</v>
          </cell>
          <cell r="E6954">
            <v>125.22</v>
          </cell>
          <cell r="F6954">
            <v>125.22</v>
          </cell>
          <cell r="G6954">
            <v>3831</v>
          </cell>
        </row>
        <row r="6955">
          <cell r="A6955" t="str">
            <v>250507</v>
          </cell>
          <cell r="B6955" t="str">
            <v>Luva de Correr PVC JE/JEI coletor de esgoto DN 350 (281905)</v>
          </cell>
          <cell r="C6955" t="str">
            <v>ud</v>
          </cell>
          <cell r="D6955">
            <v>0</v>
          </cell>
          <cell r="E6955">
            <v>244.69</v>
          </cell>
          <cell r="F6955">
            <v>244.69</v>
          </cell>
          <cell r="G6955">
            <v>3841</v>
          </cell>
        </row>
        <row r="6956">
          <cell r="A6956" t="str">
            <v>250508</v>
          </cell>
          <cell r="B6956" t="str">
            <v>Luva de Correr PVC JE/JEI coletor de esgoto DN 400 (281913)</v>
          </cell>
          <cell r="C6956" t="str">
            <v>ud</v>
          </cell>
          <cell r="D6956">
            <v>0</v>
          </cell>
          <cell r="E6956">
            <v>330.9</v>
          </cell>
          <cell r="F6956">
            <v>330.9</v>
          </cell>
          <cell r="G6956">
            <v>3842</v>
          </cell>
        </row>
        <row r="6957">
          <cell r="A6957" t="str">
            <v>2506</v>
          </cell>
          <cell r="B6957" t="str">
            <v>PLUG PVC</v>
          </cell>
        </row>
        <row r="6958">
          <cell r="A6958" t="str">
            <v>250601</v>
          </cell>
          <cell r="B6958" t="str">
            <v>Plug PVC JE coletor de esgoto DN 100 (213365)</v>
          </cell>
          <cell r="C6958" t="str">
            <v>ud</v>
          </cell>
          <cell r="D6958">
            <v>0</v>
          </cell>
          <cell r="E6958">
            <v>11.03</v>
          </cell>
          <cell r="F6958">
            <v>11.03</v>
          </cell>
          <cell r="G6958">
            <v>4907</v>
          </cell>
        </row>
        <row r="6959">
          <cell r="A6959" t="str">
            <v>250603</v>
          </cell>
          <cell r="B6959" t="str">
            <v>Plug PVC JE coletor de esgoto DN 150 (213373)</v>
          </cell>
          <cell r="C6959" t="str">
            <v>ud</v>
          </cell>
          <cell r="D6959">
            <v>0</v>
          </cell>
          <cell r="E6959">
            <v>24.98</v>
          </cell>
          <cell r="F6959">
            <v>24.98</v>
          </cell>
          <cell r="G6959">
            <v>4902</v>
          </cell>
        </row>
        <row r="6960">
          <cell r="A6960" t="str">
            <v>250604</v>
          </cell>
          <cell r="B6960" t="str">
            <v>Plug PVC JE coletor de esgoto DN 200 (212520)</v>
          </cell>
          <cell r="C6960" t="str">
            <v>ud</v>
          </cell>
          <cell r="D6960">
            <v>0</v>
          </cell>
          <cell r="E6960">
            <v>35.950000000000003</v>
          </cell>
          <cell r="F6960">
            <v>35.950000000000003</v>
          </cell>
          <cell r="G6960">
            <v>4908</v>
          </cell>
        </row>
        <row r="6961">
          <cell r="A6961" t="str">
            <v>250605</v>
          </cell>
          <cell r="B6961" t="str">
            <v>Plug PVC JE coletor de esgoto DN 250</v>
          </cell>
          <cell r="C6961" t="str">
            <v>ud</v>
          </cell>
          <cell r="D6961">
            <v>0</v>
          </cell>
          <cell r="E6961">
            <v>65.900000000000006</v>
          </cell>
          <cell r="F6961">
            <v>65.900000000000006</v>
          </cell>
          <cell r="G6961">
            <v>4909</v>
          </cell>
        </row>
        <row r="6962">
          <cell r="A6962" t="str">
            <v>250606</v>
          </cell>
          <cell r="B6962" t="str">
            <v>Plug PVC JE coletor de esgoto DN 300</v>
          </cell>
          <cell r="C6962" t="str">
            <v>ud</v>
          </cell>
          <cell r="D6962">
            <v>0</v>
          </cell>
          <cell r="E6962">
            <v>89.06</v>
          </cell>
          <cell r="F6962">
            <v>89.06</v>
          </cell>
          <cell r="G6962">
            <v>4904</v>
          </cell>
        </row>
        <row r="6963">
          <cell r="A6963" t="str">
            <v>250607</v>
          </cell>
          <cell r="B6963" t="str">
            <v>Plug PVC JE coletor de esgoto DN 350</v>
          </cell>
          <cell r="C6963" t="str">
            <v>ud</v>
          </cell>
          <cell r="D6963">
            <v>0</v>
          </cell>
          <cell r="E6963">
            <v>129.62</v>
          </cell>
          <cell r="F6963">
            <v>129.62</v>
          </cell>
          <cell r="G6963">
            <v>4903</v>
          </cell>
        </row>
        <row r="6964">
          <cell r="A6964" t="str">
            <v>250608</v>
          </cell>
          <cell r="B6964" t="str">
            <v>Plug PVC JE coletor de esgoto DN 400</v>
          </cell>
          <cell r="C6964" t="str">
            <v>ud</v>
          </cell>
          <cell r="D6964">
            <v>0</v>
          </cell>
          <cell r="E6964">
            <v>145.26</v>
          </cell>
          <cell r="F6964">
            <v>145.26</v>
          </cell>
          <cell r="G6964">
            <v>4905</v>
          </cell>
        </row>
        <row r="6965">
          <cell r="A6965" t="str">
            <v>2507</v>
          </cell>
          <cell r="B6965" t="str">
            <v>REDUÇÃO PVC</v>
          </cell>
        </row>
        <row r="6966">
          <cell r="A6966" t="str">
            <v>250702</v>
          </cell>
          <cell r="B6966" t="str">
            <v>Redução Exc PVC JE/JEI coletor de esgoto DN 150 100 (223700)</v>
          </cell>
          <cell r="C6966" t="str">
            <v>ud</v>
          </cell>
          <cell r="D6966">
            <v>0</v>
          </cell>
          <cell r="E6966">
            <v>56.11</v>
          </cell>
          <cell r="F6966">
            <v>56.11</v>
          </cell>
          <cell r="G6966">
            <v>20034</v>
          </cell>
        </row>
        <row r="6967">
          <cell r="A6967" t="str">
            <v>250704</v>
          </cell>
          <cell r="B6967" t="str">
            <v>Redução Exc PVC JE/JEI coletor de esgoto DN 200 150 (220965)</v>
          </cell>
          <cell r="C6967" t="str">
            <v>ud</v>
          </cell>
          <cell r="D6967">
            <v>0</v>
          </cell>
          <cell r="E6967">
            <v>90.31</v>
          </cell>
          <cell r="F6967">
            <v>90.31</v>
          </cell>
          <cell r="G6967">
            <v>20036</v>
          </cell>
        </row>
        <row r="6968">
          <cell r="A6968" t="str">
            <v>250705</v>
          </cell>
          <cell r="B6968" t="str">
            <v>Redução Exc PVC JE/JEI coletor de esgoto DN 250 200 (272760)</v>
          </cell>
          <cell r="C6968" t="str">
            <v>ud</v>
          </cell>
          <cell r="D6968">
            <v>0</v>
          </cell>
          <cell r="E6968">
            <v>184.25</v>
          </cell>
          <cell r="F6968">
            <v>184.25</v>
          </cell>
          <cell r="G6968">
            <v>20037</v>
          </cell>
        </row>
        <row r="6969">
          <cell r="A6969" t="str">
            <v>250706</v>
          </cell>
          <cell r="B6969" t="str">
            <v>Redução Exc PVC JE/JEI coletor de esgoto DN 300 250 (272779)</v>
          </cell>
          <cell r="C6969" t="str">
            <v>ud</v>
          </cell>
          <cell r="D6969">
            <v>0</v>
          </cell>
          <cell r="E6969">
            <v>339.97</v>
          </cell>
          <cell r="F6969">
            <v>339.97</v>
          </cell>
          <cell r="G6969">
            <v>20038</v>
          </cell>
        </row>
        <row r="6970">
          <cell r="A6970" t="str">
            <v>250707</v>
          </cell>
          <cell r="B6970" t="str">
            <v>Redução Exc PVC JE/JEI coletor de esgoto DN 350 300</v>
          </cell>
          <cell r="C6970" t="str">
            <v>ud</v>
          </cell>
          <cell r="D6970">
            <v>0</v>
          </cell>
          <cell r="E6970">
            <v>480.21</v>
          </cell>
          <cell r="F6970">
            <v>480.21</v>
          </cell>
          <cell r="G6970">
            <v>20039</v>
          </cell>
        </row>
        <row r="6971">
          <cell r="A6971" t="str">
            <v>250708</v>
          </cell>
          <cell r="B6971" t="str">
            <v>Redução Exc PVC JE/JEI coletor de esgoto DN 400 300</v>
          </cell>
          <cell r="C6971" t="str">
            <v>ud</v>
          </cell>
          <cell r="D6971">
            <v>0</v>
          </cell>
          <cell r="E6971">
            <v>612.45000000000005</v>
          </cell>
          <cell r="F6971">
            <v>612.45000000000005</v>
          </cell>
          <cell r="G6971">
            <v>20040</v>
          </cell>
        </row>
        <row r="6972">
          <cell r="A6972" t="str">
            <v>250709</v>
          </cell>
          <cell r="B6972" t="str">
            <v>Redução Exc PVC JE/JEI coletor de esgoto DN 400 350</v>
          </cell>
          <cell r="C6972" t="str">
            <v>ud</v>
          </cell>
          <cell r="D6972">
            <v>0</v>
          </cell>
          <cell r="E6972">
            <v>618.16</v>
          </cell>
          <cell r="F6972">
            <v>618.16</v>
          </cell>
          <cell r="G6972">
            <v>20041</v>
          </cell>
        </row>
        <row r="6973">
          <cell r="A6973" t="str">
            <v>2508</v>
          </cell>
          <cell r="B6973" t="str">
            <v>SELIM PVC</v>
          </cell>
        </row>
        <row r="6974">
          <cell r="A6974" t="str">
            <v>250801</v>
          </cell>
          <cell r="B6974" t="str">
            <v>Selim PVC JS 90º coletor de esgoto DN 100 (261653)</v>
          </cell>
          <cell r="C6974" t="str">
            <v>ud</v>
          </cell>
          <cell r="D6974">
            <v>0</v>
          </cell>
        </row>
        <row r="6975">
          <cell r="A6975" t="str">
            <v>250803</v>
          </cell>
          <cell r="B6975" t="str">
            <v>Selim Elástico PVC JE/JEI 90º coletor de esgoto DN 150 100 (54097)</v>
          </cell>
          <cell r="C6975" t="str">
            <v>ud</v>
          </cell>
          <cell r="D6975">
            <v>0</v>
          </cell>
          <cell r="E6975">
            <v>11.32</v>
          </cell>
          <cell r="F6975">
            <v>11.32</v>
          </cell>
        </row>
        <row r="6976">
          <cell r="A6976" t="str">
            <v>250804</v>
          </cell>
          <cell r="B6976" t="str">
            <v>Selim Elástico PVC JE/JEI 90º coletor de esgoto DN 200 100</v>
          </cell>
          <cell r="C6976" t="str">
            <v>ud</v>
          </cell>
          <cell r="D6976">
            <v>0</v>
          </cell>
          <cell r="E6976">
            <v>7.47</v>
          </cell>
          <cell r="F6976">
            <v>7.47</v>
          </cell>
          <cell r="G6976">
            <v>6107</v>
          </cell>
        </row>
        <row r="6977">
          <cell r="A6977" t="str">
            <v>250805</v>
          </cell>
          <cell r="B6977" t="str">
            <v>Selim Elástico PVC JE/JEI 90º coletor de esgoto DN 250 100</v>
          </cell>
          <cell r="C6977" t="str">
            <v>ud</v>
          </cell>
          <cell r="D6977">
            <v>0</v>
          </cell>
          <cell r="E6977">
            <v>9.5399999999999991</v>
          </cell>
          <cell r="F6977">
            <v>9.5399999999999991</v>
          </cell>
          <cell r="G6977">
            <v>6108</v>
          </cell>
        </row>
        <row r="6978">
          <cell r="A6978" t="str">
            <v>250806</v>
          </cell>
          <cell r="B6978" t="str">
            <v>Selim Elástico PVC JE/JEI 90º coletor de esgoto DN 300 100</v>
          </cell>
          <cell r="C6978" t="str">
            <v>ud</v>
          </cell>
          <cell r="D6978">
            <v>0</v>
          </cell>
          <cell r="E6978">
            <v>13.55</v>
          </cell>
          <cell r="F6978">
            <v>13.55</v>
          </cell>
          <cell r="G6978">
            <v>6109</v>
          </cell>
        </row>
        <row r="6979">
          <cell r="A6979" t="str">
            <v>250820</v>
          </cell>
          <cell r="B6979" t="str">
            <v>Selim Elástico PVC JE/JEI 45º coletor de esgoto DN 150 100</v>
          </cell>
          <cell r="C6979" t="str">
            <v>ud</v>
          </cell>
          <cell r="D6979">
            <v>0</v>
          </cell>
        </row>
        <row r="6980">
          <cell r="A6980" t="str">
            <v>250821</v>
          </cell>
          <cell r="B6980" t="str">
            <v>Selim Elástico PVC JE/JEI 45º coletor de esgoto DN 200 100</v>
          </cell>
          <cell r="C6980" t="str">
            <v>ud</v>
          </cell>
          <cell r="D6980">
            <v>0</v>
          </cell>
        </row>
        <row r="6981">
          <cell r="A6981" t="str">
            <v>250830</v>
          </cell>
          <cell r="B6981" t="str">
            <v>Selim PVC JE com trava para tubo coletor dupla parede DN 150 x 100</v>
          </cell>
          <cell r="C6981" t="str">
            <v>ud</v>
          </cell>
          <cell r="D6981">
            <v>0</v>
          </cell>
          <cell r="E6981">
            <v>0</v>
          </cell>
          <cell r="F6981">
            <v>0</v>
          </cell>
          <cell r="G6981">
            <v>0</v>
          </cell>
        </row>
        <row r="6982">
          <cell r="A6982" t="str">
            <v>2509</v>
          </cell>
          <cell r="B6982" t="str">
            <v>TE PVC</v>
          </cell>
        </row>
        <row r="6983">
          <cell r="A6983" t="str">
            <v>250901</v>
          </cell>
          <cell r="B6983" t="str">
            <v>Te PVC JE/JEI BBB coletor de esgoto DN 100 (212601)</v>
          </cell>
          <cell r="C6983" t="str">
            <v>ud</v>
          </cell>
          <cell r="D6983">
            <v>0</v>
          </cell>
          <cell r="E6983">
            <v>67.959999999999994</v>
          </cell>
          <cell r="F6983">
            <v>67.959999999999994</v>
          </cell>
          <cell r="G6983">
            <v>7082</v>
          </cell>
        </row>
        <row r="6984">
          <cell r="A6984" t="str">
            <v>250903</v>
          </cell>
          <cell r="B6984" t="str">
            <v>Te PVC JE/JEI BBB coletor de esgoto DN 150 (212610)</v>
          </cell>
          <cell r="C6984" t="str">
            <v>ud</v>
          </cell>
          <cell r="D6984">
            <v>0</v>
          </cell>
          <cell r="E6984">
            <v>112</v>
          </cell>
          <cell r="F6984">
            <v>112</v>
          </cell>
          <cell r="G6984">
            <v>7069</v>
          </cell>
        </row>
        <row r="6985">
          <cell r="A6985" t="str">
            <v>250904</v>
          </cell>
          <cell r="B6985" t="str">
            <v>Te PVC JE/JEI BBB coletor de esgoto DN 200 (212628)</v>
          </cell>
          <cell r="C6985" t="str">
            <v>ud</v>
          </cell>
          <cell r="D6985">
            <v>0</v>
          </cell>
          <cell r="E6985">
            <v>190.41</v>
          </cell>
          <cell r="F6985">
            <v>190.41</v>
          </cell>
          <cell r="G6985">
            <v>7070</v>
          </cell>
        </row>
        <row r="6986">
          <cell r="A6986" t="str">
            <v>250905</v>
          </cell>
          <cell r="B6986" t="str">
            <v>Te PVC JE/JEI BBB coletor de esgoto DN 250 (212636)</v>
          </cell>
          <cell r="C6986" t="str">
            <v>ud</v>
          </cell>
          <cell r="D6986">
            <v>0</v>
          </cell>
          <cell r="E6986">
            <v>726.58</v>
          </cell>
          <cell r="F6986">
            <v>726.58</v>
          </cell>
          <cell r="G6986">
            <v>41893</v>
          </cell>
        </row>
        <row r="6987">
          <cell r="A6987" t="str">
            <v>250906</v>
          </cell>
          <cell r="B6987" t="str">
            <v>Te PVC JE/JEI BBB coletor de esgoto DN 300</v>
          </cell>
          <cell r="C6987" t="str">
            <v>ud</v>
          </cell>
          <cell r="D6987">
            <v>0</v>
          </cell>
          <cell r="E6987">
            <v>1114.97</v>
          </cell>
          <cell r="F6987">
            <v>1114.97</v>
          </cell>
          <cell r="G6987">
            <v>41894</v>
          </cell>
        </row>
        <row r="6988">
          <cell r="A6988" t="str">
            <v>250907</v>
          </cell>
          <cell r="B6988" t="str">
            <v>Te PVC JE/JEI BBB coletor de esgoto DN 350</v>
          </cell>
          <cell r="C6988" t="str">
            <v>ud</v>
          </cell>
          <cell r="D6988">
            <v>0</v>
          </cell>
          <cell r="E6988">
            <v>0</v>
          </cell>
          <cell r="F6988">
            <v>0</v>
          </cell>
        </row>
        <row r="6989">
          <cell r="A6989" t="str">
            <v>250908</v>
          </cell>
          <cell r="B6989" t="str">
            <v>Te PVC JE/JEI BBB coletor de esgoto DN 400 (290114)</v>
          </cell>
          <cell r="C6989" t="str">
            <v>ud</v>
          </cell>
          <cell r="D6989">
            <v>0</v>
          </cell>
          <cell r="E6989">
            <v>1232.8699999999999</v>
          </cell>
          <cell r="F6989">
            <v>1232.8699999999999</v>
          </cell>
          <cell r="G6989">
            <v>41895</v>
          </cell>
        </row>
        <row r="6990">
          <cell r="A6990" t="str">
            <v>250920</v>
          </cell>
          <cell r="B6990" t="str">
            <v>Te Red PVC JE/JEI BBB coletor de esgoto DN 150 100 (255211)</v>
          </cell>
          <cell r="C6990" t="str">
            <v>ud</v>
          </cell>
          <cell r="D6990">
            <v>0</v>
          </cell>
          <cell r="E6990">
            <v>196.76</v>
          </cell>
          <cell r="F6990">
            <v>196.76</v>
          </cell>
        </row>
        <row r="6991">
          <cell r="A6991" t="str">
            <v>250921</v>
          </cell>
          <cell r="B6991" t="str">
            <v>Te Red PVC JE/JEI BBB coletor de esgoto DN 200 150 (151289)</v>
          </cell>
          <cell r="C6991" t="str">
            <v>ud</v>
          </cell>
          <cell r="D6991">
            <v>0</v>
          </cell>
          <cell r="E6991">
            <v>223.17</v>
          </cell>
          <cell r="F6991">
            <v>223.17</v>
          </cell>
          <cell r="G6991">
            <v>41896</v>
          </cell>
        </row>
        <row r="6992">
          <cell r="A6992" t="str">
            <v>250922</v>
          </cell>
          <cell r="B6992" t="str">
            <v>Te Red PVC JE/JEI BBB coletor de esgoto DN 250 150 (281921)</v>
          </cell>
          <cell r="C6992" t="str">
            <v>ud</v>
          </cell>
          <cell r="D6992">
            <v>0</v>
          </cell>
          <cell r="E6992">
            <v>394.5</v>
          </cell>
          <cell r="F6992">
            <v>394.5</v>
          </cell>
          <cell r="G6992">
            <v>7068</v>
          </cell>
        </row>
        <row r="6993">
          <cell r="A6993" t="str">
            <v>250923</v>
          </cell>
          <cell r="B6993" t="str">
            <v>Te Red PVC JE/JEI BBB coletor de esgoto DN 300 150</v>
          </cell>
          <cell r="C6993" t="str">
            <v>ud</v>
          </cell>
          <cell r="D6993">
            <v>0</v>
          </cell>
          <cell r="E6993">
            <v>437.49</v>
          </cell>
          <cell r="F6993">
            <v>437.49</v>
          </cell>
        </row>
        <row r="6994">
          <cell r="A6994" t="str">
            <v>2510</v>
          </cell>
          <cell r="B6994" t="str">
            <v>TIL PVC</v>
          </cell>
        </row>
        <row r="6995">
          <cell r="A6995" t="str">
            <v>251001</v>
          </cell>
          <cell r="B6995" t="str">
            <v>Til de Ligação predial PVC JE/JEI BBB DN 100 (174912)</v>
          </cell>
          <cell r="C6995" t="str">
            <v>ud</v>
          </cell>
          <cell r="D6995">
            <v>0</v>
          </cell>
          <cell r="E6995">
            <v>19.72</v>
          </cell>
          <cell r="F6995">
            <v>19.72</v>
          </cell>
          <cell r="G6995">
            <v>7274</v>
          </cell>
        </row>
        <row r="6996">
          <cell r="A6996" t="str">
            <v>251005</v>
          </cell>
          <cell r="B6996" t="str">
            <v>Til de Passagem de rede PVC JE/JEI BBB DN 100 (115142)</v>
          </cell>
          <cell r="C6996" t="str">
            <v>ud</v>
          </cell>
          <cell r="D6996">
            <v>0</v>
          </cell>
          <cell r="E6996">
            <v>281.33999999999997</v>
          </cell>
          <cell r="F6996">
            <v>281.33999999999997</v>
          </cell>
          <cell r="G6996">
            <v>7280</v>
          </cell>
        </row>
        <row r="6997">
          <cell r="A6997" t="str">
            <v>251007</v>
          </cell>
          <cell r="B6997" t="str">
            <v>Til de Passagem de rede PVC JE/JEI BBB DN 150 (115134)</v>
          </cell>
          <cell r="C6997" t="str">
            <v>ud</v>
          </cell>
          <cell r="D6997">
            <v>0</v>
          </cell>
          <cell r="E6997">
            <v>529.59</v>
          </cell>
          <cell r="F6997">
            <v>529.59</v>
          </cell>
          <cell r="G6997">
            <v>7282</v>
          </cell>
        </row>
        <row r="6998">
          <cell r="A6998" t="str">
            <v>251008</v>
          </cell>
          <cell r="B6998" t="str">
            <v>Til de Passagem de rede PVC JE/JEI BBB DN 200 150</v>
          </cell>
          <cell r="C6998" t="str">
            <v>ud</v>
          </cell>
          <cell r="D6998">
            <v>0</v>
          </cell>
          <cell r="E6998">
            <v>573.39</v>
          </cell>
          <cell r="F6998">
            <v>573.39</v>
          </cell>
          <cell r="G6998">
            <v>7276</v>
          </cell>
        </row>
        <row r="6999">
          <cell r="A6999" t="str">
            <v>251009</v>
          </cell>
          <cell r="B6999" t="str">
            <v>Til de Passagem de rede PVC JE/JEI BBB DN 250 150</v>
          </cell>
          <cell r="C6999" t="str">
            <v>ud</v>
          </cell>
          <cell r="D6999">
            <v>0</v>
          </cell>
          <cell r="E6999">
            <v>740.27</v>
          </cell>
          <cell r="F6999">
            <v>740.27</v>
          </cell>
          <cell r="G6999">
            <v>7277</v>
          </cell>
        </row>
        <row r="7000">
          <cell r="A7000" t="str">
            <v>251010</v>
          </cell>
          <cell r="B7000" t="str">
            <v>Til de Passagem de rede PVC JE/JEI BBB DN 300 150</v>
          </cell>
          <cell r="C7000" t="str">
            <v>ud</v>
          </cell>
          <cell r="D7000">
            <v>0</v>
          </cell>
          <cell r="E7000">
            <v>948.84</v>
          </cell>
          <cell r="F7000">
            <v>948.84</v>
          </cell>
          <cell r="G7000">
            <v>7278</v>
          </cell>
        </row>
        <row r="7001">
          <cell r="A7001" t="str">
            <v>251020</v>
          </cell>
          <cell r="B7001" t="str">
            <v>Til Tubo de queda PVC JE/JEI BBB DN 100</v>
          </cell>
          <cell r="C7001" t="str">
            <v>ud</v>
          </cell>
          <cell r="D7001">
            <v>0</v>
          </cell>
          <cell r="E7001">
            <v>193.12</v>
          </cell>
          <cell r="F7001">
            <v>193.12</v>
          </cell>
          <cell r="G7001">
            <v>11663</v>
          </cell>
        </row>
        <row r="7002">
          <cell r="A7002" t="str">
            <v>251022</v>
          </cell>
          <cell r="B7002" t="str">
            <v>Til Tubo de queda PVC JE/JEI BBB DN 150</v>
          </cell>
          <cell r="C7002" t="str">
            <v>ud</v>
          </cell>
          <cell r="D7002">
            <v>0</v>
          </cell>
          <cell r="E7002">
            <v>853.93</v>
          </cell>
          <cell r="F7002">
            <v>853.93</v>
          </cell>
          <cell r="G7002">
            <v>11665</v>
          </cell>
        </row>
        <row r="7003">
          <cell r="A7003" t="str">
            <v>251023</v>
          </cell>
          <cell r="B7003" t="str">
            <v>Til Tubo de queda PVC JE/JEI BBB DN 200 150</v>
          </cell>
          <cell r="C7003" t="str">
            <v>ud</v>
          </cell>
          <cell r="D7003">
            <v>0</v>
          </cell>
          <cell r="E7003">
            <v>860.72</v>
          </cell>
          <cell r="F7003">
            <v>860.72</v>
          </cell>
          <cell r="G7003">
            <v>11666</v>
          </cell>
        </row>
        <row r="7004">
          <cell r="A7004" t="str">
            <v>251024</v>
          </cell>
          <cell r="B7004" t="str">
            <v>Til Tubo de queda PVC JE/JEI BBB DN 250 150</v>
          </cell>
          <cell r="C7004" t="str">
            <v>ud</v>
          </cell>
          <cell r="D7004">
            <v>0</v>
          </cell>
          <cell r="E7004">
            <v>982.24</v>
          </cell>
          <cell r="F7004">
            <v>982.24</v>
          </cell>
          <cell r="G7004">
            <v>11667</v>
          </cell>
        </row>
        <row r="7005">
          <cell r="A7005" t="str">
            <v>251025</v>
          </cell>
          <cell r="B7005" t="str">
            <v>Til Tubo de queda PVC JE/JEI BBB DN 300 150</v>
          </cell>
          <cell r="C7005" t="str">
            <v>ud</v>
          </cell>
          <cell r="D7005">
            <v>0</v>
          </cell>
          <cell r="E7005">
            <v>1057.77</v>
          </cell>
          <cell r="F7005">
            <v>1057.77</v>
          </cell>
          <cell r="G7005">
            <v>11668</v>
          </cell>
        </row>
        <row r="7006">
          <cell r="A7006" t="str">
            <v>251030</v>
          </cell>
          <cell r="B7006" t="str">
            <v>Tampão completo PVC p/ til DN 100 (174920)</v>
          </cell>
          <cell r="C7006" t="str">
            <v>ud</v>
          </cell>
          <cell r="D7006">
            <v>0</v>
          </cell>
          <cell r="E7006">
            <v>21.17</v>
          </cell>
          <cell r="F7006">
            <v>21.17</v>
          </cell>
        </row>
        <row r="7007">
          <cell r="A7007" t="str">
            <v>251032</v>
          </cell>
          <cell r="B7007" t="str">
            <v>Tampão completo PVC p/ til DN 150 (174904)</v>
          </cell>
          <cell r="C7007" t="str">
            <v>ud</v>
          </cell>
          <cell r="D7007">
            <v>0</v>
          </cell>
          <cell r="E7007">
            <v>32.479999999999997</v>
          </cell>
          <cell r="F7007">
            <v>32.479999999999997</v>
          </cell>
        </row>
        <row r="7008">
          <cell r="A7008" t="str">
            <v>251033</v>
          </cell>
          <cell r="B7008" t="str">
            <v>Tampão completo PVC p/ til DN 200 (174890)</v>
          </cell>
          <cell r="C7008" t="str">
            <v>ud</v>
          </cell>
          <cell r="D7008">
            <v>0</v>
          </cell>
          <cell r="E7008">
            <v>41.45</v>
          </cell>
          <cell r="F7008">
            <v>41.45</v>
          </cell>
        </row>
        <row r="7009">
          <cell r="A7009" t="str">
            <v>2511</v>
          </cell>
          <cell r="B7009" t="str">
            <v>TUBO PVC</v>
          </cell>
        </row>
        <row r="7010">
          <cell r="A7010" t="str">
            <v>251101</v>
          </cell>
          <cell r="B7010" t="str">
            <v>Tubo PVC JEI coletor de esgoto parede maciça NBR 7362-2 DN 100 (104655)</v>
          </cell>
          <cell r="C7010" t="str">
            <v>m</v>
          </cell>
          <cell r="D7010">
            <v>0</v>
          </cell>
          <cell r="E7010">
            <v>17.489999999999998</v>
          </cell>
          <cell r="F7010">
            <v>17.489999999999998</v>
          </cell>
          <cell r="G7010">
            <v>36365</v>
          </cell>
        </row>
        <row r="7011">
          <cell r="A7011" t="str">
            <v>251103</v>
          </cell>
          <cell r="B7011" t="str">
            <v>Tubo PVC JEI coletor de esgoto parede maciça NBR 7362-2 DN 150 (104647)</v>
          </cell>
          <cell r="C7011" t="str">
            <v>m</v>
          </cell>
          <cell r="D7011">
            <v>0</v>
          </cell>
          <cell r="E7011">
            <v>37.630000000000003</v>
          </cell>
          <cell r="F7011">
            <v>37.630000000000003</v>
          </cell>
          <cell r="G7011">
            <v>41936</v>
          </cell>
        </row>
        <row r="7012">
          <cell r="A7012" t="str">
            <v>251104</v>
          </cell>
          <cell r="B7012" t="str">
            <v>Tubo PVC JEI coletor de esgoto parede maciça NBR 7362-2 DN 200 (148890)</v>
          </cell>
          <cell r="C7012" t="str">
            <v>m</v>
          </cell>
          <cell r="D7012">
            <v>0</v>
          </cell>
          <cell r="E7012">
            <v>58.74</v>
          </cell>
          <cell r="F7012">
            <v>58.74</v>
          </cell>
          <cell r="G7012">
            <v>41930</v>
          </cell>
        </row>
        <row r="7013">
          <cell r="A7013" t="str">
            <v>251105</v>
          </cell>
          <cell r="B7013" t="str">
            <v>Tubo PVC JEI coletor de esgoto parede maciça NBR 7362-2 DN 250 (148865)</v>
          </cell>
          <cell r="C7013" t="str">
            <v>m</v>
          </cell>
          <cell r="D7013">
            <v>0</v>
          </cell>
          <cell r="E7013">
            <v>99.57</v>
          </cell>
          <cell r="F7013">
            <v>99.57</v>
          </cell>
          <cell r="G7013">
            <v>41931</v>
          </cell>
        </row>
        <row r="7014">
          <cell r="A7014" t="str">
            <v>251106</v>
          </cell>
          <cell r="B7014" t="str">
            <v>Tubo PVC JEI coletor de esgoto parede maciça NBR 7362-2 DN 300 (148989)</v>
          </cell>
          <cell r="C7014" t="str">
            <v>m</v>
          </cell>
          <cell r="D7014">
            <v>0</v>
          </cell>
          <cell r="E7014">
            <v>161.36000000000001</v>
          </cell>
          <cell r="F7014">
            <v>161.36000000000001</v>
          </cell>
          <cell r="G7014">
            <v>41932</v>
          </cell>
        </row>
        <row r="7015">
          <cell r="A7015" t="str">
            <v>251107</v>
          </cell>
          <cell r="B7015" t="str">
            <v>Tubo PVC JEI coletor de esgoto parede maciça NBR 7362-2 DN 350 (198021)</v>
          </cell>
          <cell r="C7015" t="str">
            <v>m</v>
          </cell>
          <cell r="D7015">
            <v>0</v>
          </cell>
          <cell r="E7015">
            <v>200.08</v>
          </cell>
          <cell r="F7015">
            <v>200.08</v>
          </cell>
          <cell r="G7015">
            <v>41933</v>
          </cell>
        </row>
        <row r="7016">
          <cell r="A7016" t="str">
            <v>251108</v>
          </cell>
          <cell r="B7016" t="str">
            <v>Tubo PVC JEI coletor de esgoto parede maciça NBR 7362-2 DN 400 (54453)</v>
          </cell>
          <cell r="C7016" t="str">
            <v>m</v>
          </cell>
          <cell r="D7016">
            <v>0</v>
          </cell>
          <cell r="E7016">
            <v>260.39999999999998</v>
          </cell>
          <cell r="F7016">
            <v>260.39999999999998</v>
          </cell>
          <cell r="G7016">
            <v>41934</v>
          </cell>
        </row>
        <row r="7017">
          <cell r="A7017" t="str">
            <v>251111</v>
          </cell>
          <cell r="B7017" t="str">
            <v>Tubo PVC JE coletor de esgoto corrugado NBR 7362-3 DN 100</v>
          </cell>
          <cell r="C7017" t="str">
            <v>m</v>
          </cell>
          <cell r="D7017">
            <v>0</v>
          </cell>
          <cell r="F7017">
            <v>0</v>
          </cell>
        </row>
        <row r="7018">
          <cell r="A7018" t="str">
            <v>251113</v>
          </cell>
          <cell r="B7018" t="str">
            <v>Tubo PVC JE coletor de esgoto corrugado NBR 7362-3 DN 150 (269883)</v>
          </cell>
          <cell r="C7018" t="str">
            <v>m</v>
          </cell>
          <cell r="D7018">
            <v>0</v>
          </cell>
          <cell r="E7018">
            <v>30.26</v>
          </cell>
          <cell r="F7018">
            <v>30.26</v>
          </cell>
          <cell r="G7018">
            <v>38032</v>
          </cell>
        </row>
        <row r="7019">
          <cell r="A7019" t="str">
            <v>251114</v>
          </cell>
          <cell r="B7019" t="str">
            <v>Tubo PVC JE coletor de esgoto corrugado NBR 7362-3 DN 200 (285715)</v>
          </cell>
          <cell r="C7019" t="str">
            <v>m</v>
          </cell>
          <cell r="D7019">
            <v>0</v>
          </cell>
          <cell r="E7019">
            <v>47.64</v>
          </cell>
          <cell r="F7019">
            <v>47.64</v>
          </cell>
          <cell r="G7019">
            <v>38033</v>
          </cell>
        </row>
        <row r="7020">
          <cell r="A7020" t="str">
            <v>251115</v>
          </cell>
          <cell r="B7020" t="str">
            <v>Tubo PVC JE coletor de esgoto corrugado NBR 7362-3 DN 250 (285716)</v>
          </cell>
          <cell r="C7020" t="str">
            <v>m</v>
          </cell>
          <cell r="D7020">
            <v>0</v>
          </cell>
          <cell r="E7020">
            <v>80.489999999999995</v>
          </cell>
          <cell r="F7020">
            <v>80.489999999999995</v>
          </cell>
          <cell r="G7020">
            <v>38034</v>
          </cell>
        </row>
        <row r="7021">
          <cell r="A7021" t="str">
            <v>251116</v>
          </cell>
          <cell r="B7021" t="str">
            <v>Tubo PVC JE coletor de esgoto corrugado NBR 7362-3 DN 300 (285717)</v>
          </cell>
          <cell r="C7021" t="str">
            <v>m</v>
          </cell>
          <cell r="D7021">
            <v>0</v>
          </cell>
          <cell r="E7021">
            <v>128.80000000000001</v>
          </cell>
          <cell r="F7021">
            <v>128.80000000000001</v>
          </cell>
          <cell r="G7021">
            <v>38035</v>
          </cell>
        </row>
        <row r="7022">
          <cell r="A7022" t="str">
            <v>251117</v>
          </cell>
          <cell r="B7022" t="str">
            <v>Tubo PVC JE coletor de esgoto corrugado NBR 7362-3 DN 350</v>
          </cell>
          <cell r="C7022" t="str">
            <v>m</v>
          </cell>
          <cell r="D7022">
            <v>0</v>
          </cell>
          <cell r="E7022">
            <v>190.53</v>
          </cell>
          <cell r="F7022">
            <v>190.53</v>
          </cell>
          <cell r="G7022">
            <v>38036</v>
          </cell>
        </row>
        <row r="7023">
          <cell r="A7023" t="str">
            <v>251118</v>
          </cell>
          <cell r="B7023" t="str">
            <v>Tubo PVC JE coletor de esgoto corrugado NBR 7362-3 DN 400 (285719)</v>
          </cell>
          <cell r="C7023" t="str">
            <v>m</v>
          </cell>
          <cell r="D7023">
            <v>0</v>
          </cell>
          <cell r="E7023">
            <v>225.25</v>
          </cell>
          <cell r="F7023">
            <v>225.25</v>
          </cell>
          <cell r="G7023">
            <v>38037</v>
          </cell>
        </row>
        <row r="7024">
          <cell r="A7024" t="str">
            <v>251121</v>
          </cell>
          <cell r="B7024" t="str">
            <v>Tubo PVC JEI esgoto pressurizado 1 MPa NBR 7665/07 DN 100</v>
          </cell>
          <cell r="C7024" t="str">
            <v>m</v>
          </cell>
          <cell r="D7024">
            <v>0</v>
          </cell>
          <cell r="F7024">
            <v>0</v>
          </cell>
        </row>
        <row r="7025">
          <cell r="A7025" t="str">
            <v>251122</v>
          </cell>
          <cell r="B7025" t="str">
            <v>Tubo PVC JEI esgoto pressurizado 1 MPa NBR 7665/07 DN 150</v>
          </cell>
          <cell r="C7025" t="str">
            <v>m</v>
          </cell>
          <cell r="D7025">
            <v>0</v>
          </cell>
          <cell r="F7025">
            <v>0</v>
          </cell>
        </row>
        <row r="7026">
          <cell r="A7026" t="str">
            <v>251123</v>
          </cell>
          <cell r="B7026" t="str">
            <v>Tubo PVC JEI esgoto pressurizado 1 MPa NBR 7665/07 DN 200</v>
          </cell>
          <cell r="C7026" t="str">
            <v>m</v>
          </cell>
          <cell r="D7026">
            <v>0</v>
          </cell>
          <cell r="F7026">
            <v>0</v>
          </cell>
        </row>
        <row r="7027">
          <cell r="A7027" t="str">
            <v>251124</v>
          </cell>
          <cell r="B7027" t="str">
            <v>Tubo PVC JEI esgoto pressurizado 1 MPa NBR 7665/07 DN 250</v>
          </cell>
          <cell r="C7027" t="str">
            <v>m</v>
          </cell>
          <cell r="D7027">
            <v>0</v>
          </cell>
          <cell r="F7027">
            <v>0</v>
          </cell>
        </row>
        <row r="7028">
          <cell r="A7028" t="str">
            <v>251125</v>
          </cell>
          <cell r="B7028" t="str">
            <v>Tubo PVC JEI esgoto pressurizado 1 MPa NBR 7665/07 DN 300</v>
          </cell>
          <cell r="C7028" t="str">
            <v>m</v>
          </cell>
          <cell r="D7028">
            <v>0</v>
          </cell>
          <cell r="F7028">
            <v>0</v>
          </cell>
        </row>
        <row r="7029">
          <cell r="A7029" t="str">
            <v>251126</v>
          </cell>
          <cell r="B7029" t="str">
            <v>Tubo PVC JEI esgoto pressurizado 1 MPa NBR 7665/07 DN 350</v>
          </cell>
          <cell r="C7029" t="str">
            <v>m</v>
          </cell>
          <cell r="D7029">
            <v>0</v>
          </cell>
          <cell r="F7029">
            <v>0</v>
          </cell>
        </row>
        <row r="7030">
          <cell r="A7030" t="str">
            <v>251127</v>
          </cell>
          <cell r="B7030" t="str">
            <v>Tubo PVC JEI esgoto pressurizado 1 MPa NBR 7665/07 DN 400</v>
          </cell>
          <cell r="C7030" t="str">
            <v>m</v>
          </cell>
          <cell r="D7030">
            <v>0</v>
          </cell>
          <cell r="F7030">
            <v>0</v>
          </cell>
        </row>
        <row r="7031">
          <cell r="A7031" t="str">
            <v>251128</v>
          </cell>
          <cell r="B7031" t="str">
            <v>Tubo PVC JEI esgoto pressurizado 1 MPa NBR 7665/07 DN 500</v>
          </cell>
          <cell r="C7031" t="str">
            <v>m</v>
          </cell>
          <cell r="D7031">
            <v>0</v>
          </cell>
          <cell r="F7031">
            <v>0</v>
          </cell>
        </row>
        <row r="7032">
          <cell r="A7032" t="str">
            <v>26</v>
          </cell>
          <cell r="B7032" t="str">
            <v>MATERIAL DE POLIETILENO</v>
          </cell>
        </row>
        <row r="7033">
          <cell r="A7033" t="str">
            <v>2680</v>
          </cell>
          <cell r="B7033" t="str">
            <v>TUBO POLIETILENO (PEAD) PE-80</v>
          </cell>
        </row>
        <row r="7034">
          <cell r="A7034" t="str">
            <v>268001</v>
          </cell>
          <cell r="B7034" t="str">
            <v>Tubo PEAD PE-80 PN-6 DE 63</v>
          </cell>
          <cell r="C7034" t="str">
            <v>m</v>
          </cell>
          <cell r="D7034">
            <v>0</v>
          </cell>
          <cell r="F7034">
            <v>0</v>
          </cell>
        </row>
        <row r="7035">
          <cell r="A7035" t="str">
            <v>268002</v>
          </cell>
          <cell r="B7035" t="str">
            <v>Tubo PEAD PE-80 PN-6 DE 75</v>
          </cell>
          <cell r="C7035" t="str">
            <v>m</v>
          </cell>
          <cell r="D7035">
            <v>0</v>
          </cell>
          <cell r="F7035">
            <v>0</v>
          </cell>
        </row>
        <row r="7036">
          <cell r="A7036" t="str">
            <v>268003</v>
          </cell>
          <cell r="B7036" t="str">
            <v>Tubo PEAD PE-80 PN-6 DE 90</v>
          </cell>
          <cell r="C7036" t="str">
            <v>m</v>
          </cell>
          <cell r="D7036">
            <v>0</v>
          </cell>
          <cell r="F7036">
            <v>0</v>
          </cell>
        </row>
        <row r="7037">
          <cell r="A7037" t="str">
            <v>268004</v>
          </cell>
          <cell r="B7037" t="str">
            <v>Tubo PEAD PE-80 PN-6 DE 110 (261777)</v>
          </cell>
          <cell r="C7037" t="str">
            <v>m</v>
          </cell>
          <cell r="D7037">
            <v>0</v>
          </cell>
          <cell r="F7037">
            <v>0</v>
          </cell>
        </row>
        <row r="7038">
          <cell r="A7038" t="str">
            <v>268005</v>
          </cell>
          <cell r="B7038" t="str">
            <v>Tubo PEAD PE-80 PN-6 DE 125</v>
          </cell>
          <cell r="C7038" t="str">
            <v>m</v>
          </cell>
          <cell r="D7038">
            <v>0</v>
          </cell>
          <cell r="F7038">
            <v>0</v>
          </cell>
        </row>
        <row r="7039">
          <cell r="A7039" t="str">
            <v>268006</v>
          </cell>
          <cell r="B7039" t="str">
            <v>Tubo PEAD PE-80 PN-6 DE 140</v>
          </cell>
          <cell r="C7039" t="str">
            <v>m</v>
          </cell>
          <cell r="D7039">
            <v>0</v>
          </cell>
          <cell r="F7039">
            <v>0</v>
          </cell>
        </row>
        <row r="7040">
          <cell r="A7040" t="str">
            <v>268007</v>
          </cell>
          <cell r="B7040" t="str">
            <v>Tubo PEAD PE-80 PN-6 DE 160 (238309)</v>
          </cell>
          <cell r="C7040" t="str">
            <v>m</v>
          </cell>
          <cell r="D7040">
            <v>0</v>
          </cell>
          <cell r="F7040">
            <v>0</v>
          </cell>
        </row>
        <row r="7041">
          <cell r="A7041" t="str">
            <v>268008</v>
          </cell>
          <cell r="B7041" t="str">
            <v>Tubo PEAD PE-80 PN-6 DE 180</v>
          </cell>
          <cell r="C7041" t="str">
            <v>m</v>
          </cell>
          <cell r="D7041">
            <v>0</v>
          </cell>
          <cell r="F7041">
            <v>0</v>
          </cell>
        </row>
        <row r="7042">
          <cell r="A7042" t="str">
            <v>268009</v>
          </cell>
          <cell r="B7042" t="str">
            <v>Tubo PEAD PE-80 PN-6 DE 200</v>
          </cell>
          <cell r="C7042" t="str">
            <v>m</v>
          </cell>
          <cell r="D7042">
            <v>0</v>
          </cell>
          <cell r="F7042">
            <v>0</v>
          </cell>
        </row>
        <row r="7043">
          <cell r="A7043" t="str">
            <v>268010</v>
          </cell>
          <cell r="B7043" t="str">
            <v>Tubo PEAD PE-80 PN-6 DE 225</v>
          </cell>
          <cell r="C7043" t="str">
            <v>m</v>
          </cell>
          <cell r="D7043">
            <v>0</v>
          </cell>
          <cell r="F7043">
            <v>0</v>
          </cell>
        </row>
        <row r="7044">
          <cell r="A7044" t="str">
            <v>268011</v>
          </cell>
          <cell r="B7044" t="str">
            <v>Tubo PEAD PE-80 PN-6 DE 250</v>
          </cell>
          <cell r="C7044" t="str">
            <v>m</v>
          </cell>
          <cell r="D7044">
            <v>0</v>
          </cell>
          <cell r="F7044">
            <v>0</v>
          </cell>
        </row>
        <row r="7045">
          <cell r="A7045" t="str">
            <v>268012</v>
          </cell>
          <cell r="B7045" t="str">
            <v>Tubo PEAD PE-80 PN-6 DE 280</v>
          </cell>
          <cell r="C7045" t="str">
            <v>m</v>
          </cell>
          <cell r="D7045">
            <v>0</v>
          </cell>
          <cell r="F7045">
            <v>0</v>
          </cell>
        </row>
        <row r="7046">
          <cell r="A7046" t="str">
            <v>268013</v>
          </cell>
          <cell r="B7046" t="str">
            <v>Tubo PEAD PE-80 PN-6 DE 315</v>
          </cell>
          <cell r="C7046" t="str">
            <v>m</v>
          </cell>
          <cell r="D7046">
            <v>0</v>
          </cell>
          <cell r="F7046">
            <v>0</v>
          </cell>
        </row>
        <row r="7047">
          <cell r="A7047" t="str">
            <v>268014</v>
          </cell>
          <cell r="B7047" t="str">
            <v>Tubo PEAD PE-80 PN-6 DE 355</v>
          </cell>
          <cell r="C7047" t="str">
            <v>m</v>
          </cell>
          <cell r="D7047">
            <v>0</v>
          </cell>
          <cell r="F7047">
            <v>0</v>
          </cell>
        </row>
        <row r="7048">
          <cell r="A7048" t="str">
            <v>268015</v>
          </cell>
          <cell r="B7048" t="str">
            <v>Tubo PEAD PE-80 PN-6 DE 400 (270784)</v>
          </cell>
          <cell r="C7048" t="str">
            <v>m</v>
          </cell>
          <cell r="D7048">
            <v>0</v>
          </cell>
          <cell r="F7048">
            <v>0</v>
          </cell>
        </row>
        <row r="7049">
          <cell r="A7049" t="str">
            <v>268016</v>
          </cell>
          <cell r="B7049" t="str">
            <v>Tubo PEAD PE-80 PN-6 DE 450</v>
          </cell>
          <cell r="C7049" t="str">
            <v>m</v>
          </cell>
          <cell r="D7049">
            <v>0</v>
          </cell>
          <cell r="F7049">
            <v>0</v>
          </cell>
        </row>
        <row r="7050">
          <cell r="A7050" t="str">
            <v>268017</v>
          </cell>
          <cell r="B7050" t="str">
            <v>Tubo PEAD PE-80 PN-6 DE 500</v>
          </cell>
          <cell r="C7050" t="str">
            <v>m</v>
          </cell>
          <cell r="D7050">
            <v>0</v>
          </cell>
          <cell r="F7050">
            <v>0</v>
          </cell>
        </row>
        <row r="7051">
          <cell r="A7051" t="str">
            <v>268018</v>
          </cell>
          <cell r="B7051" t="str">
            <v>Tubo PEAD PE-80 PN-6 DE 560</v>
          </cell>
          <cell r="C7051" t="str">
            <v>m</v>
          </cell>
          <cell r="D7051">
            <v>0</v>
          </cell>
          <cell r="F7051">
            <v>0</v>
          </cell>
        </row>
        <row r="7052">
          <cell r="A7052" t="str">
            <v>268019</v>
          </cell>
          <cell r="B7052" t="str">
            <v>Tubo PEAD PE-80 PN-6 DE 630</v>
          </cell>
          <cell r="C7052" t="str">
            <v>m</v>
          </cell>
          <cell r="D7052">
            <v>0</v>
          </cell>
          <cell r="F7052">
            <v>0</v>
          </cell>
        </row>
        <row r="7053">
          <cell r="A7053" t="str">
            <v>268020</v>
          </cell>
          <cell r="B7053" t="str">
            <v>Tubo PEAD PE-80 PN-8 DE 63</v>
          </cell>
          <cell r="C7053" t="str">
            <v>m</v>
          </cell>
          <cell r="D7053">
            <v>0</v>
          </cell>
          <cell r="F7053">
            <v>0</v>
          </cell>
        </row>
        <row r="7054">
          <cell r="A7054" t="str">
            <v>268021</v>
          </cell>
          <cell r="B7054" t="str">
            <v>Tubo PEAD PE-80 PN-8 DE 75 (261823)</v>
          </cell>
          <cell r="C7054" t="str">
            <v>m</v>
          </cell>
          <cell r="D7054">
            <v>0</v>
          </cell>
          <cell r="F7054">
            <v>0</v>
          </cell>
        </row>
        <row r="7055">
          <cell r="A7055" t="str">
            <v>268022</v>
          </cell>
          <cell r="B7055" t="str">
            <v>Tubo PEAD PE-80 PN-8 DE 90 (261815)</v>
          </cell>
          <cell r="C7055" t="str">
            <v>m</v>
          </cell>
          <cell r="D7055">
            <v>0</v>
          </cell>
          <cell r="F7055">
            <v>0</v>
          </cell>
        </row>
        <row r="7056">
          <cell r="A7056" t="str">
            <v>268023</v>
          </cell>
          <cell r="B7056" t="str">
            <v>Tubo PEAD PE-80 PN-8 DE 110 (261998)</v>
          </cell>
          <cell r="C7056" t="str">
            <v>m</v>
          </cell>
          <cell r="D7056">
            <v>0</v>
          </cell>
          <cell r="F7056">
            <v>0</v>
          </cell>
        </row>
        <row r="7057">
          <cell r="A7057" t="str">
            <v>268024</v>
          </cell>
          <cell r="B7057" t="str">
            <v>Tubo PEAD PE-80 PN-8 DE 125</v>
          </cell>
          <cell r="C7057" t="str">
            <v>m</v>
          </cell>
          <cell r="D7057">
            <v>0</v>
          </cell>
          <cell r="F7057">
            <v>0</v>
          </cell>
        </row>
        <row r="7058">
          <cell r="A7058" t="str">
            <v>268025</v>
          </cell>
          <cell r="B7058" t="str">
            <v>Tubo PEAD PE-80 PN-8 DE 140</v>
          </cell>
          <cell r="C7058" t="str">
            <v>m</v>
          </cell>
          <cell r="D7058">
            <v>0</v>
          </cell>
          <cell r="F7058">
            <v>0</v>
          </cell>
        </row>
        <row r="7059">
          <cell r="A7059" t="str">
            <v>268026</v>
          </cell>
          <cell r="B7059" t="str">
            <v>Tubo PEAD PE-80 PN-8 DE 160 (238317)</v>
          </cell>
          <cell r="C7059" t="str">
            <v>m</v>
          </cell>
          <cell r="D7059">
            <v>0</v>
          </cell>
          <cell r="F7059">
            <v>0</v>
          </cell>
        </row>
        <row r="7060">
          <cell r="A7060" t="str">
            <v>268027</v>
          </cell>
          <cell r="B7060" t="str">
            <v>Tubo PEAD PE-80 PN-8 DE 180 (283961)</v>
          </cell>
          <cell r="C7060" t="str">
            <v>m</v>
          </cell>
          <cell r="D7060">
            <v>0</v>
          </cell>
          <cell r="F7060">
            <v>0</v>
          </cell>
        </row>
        <row r="7061">
          <cell r="A7061" t="str">
            <v>268028</v>
          </cell>
          <cell r="B7061" t="str">
            <v>Tubo PEAD PE-80 PN-8 DE 200</v>
          </cell>
          <cell r="C7061" t="str">
            <v>m</v>
          </cell>
          <cell r="D7061">
            <v>0</v>
          </cell>
          <cell r="F7061">
            <v>0</v>
          </cell>
        </row>
        <row r="7062">
          <cell r="A7062" t="str">
            <v>268029</v>
          </cell>
          <cell r="B7062" t="str">
            <v>Tubo PEAD PE-80 PN-8 DE 225 (282722)</v>
          </cell>
          <cell r="C7062" t="str">
            <v>m</v>
          </cell>
          <cell r="D7062">
            <v>0</v>
          </cell>
          <cell r="F7062">
            <v>0</v>
          </cell>
        </row>
        <row r="7063">
          <cell r="A7063" t="str">
            <v>268030</v>
          </cell>
          <cell r="B7063" t="str">
            <v>Tubo PEAD PE-80 PN-8 DE 250 (288881)</v>
          </cell>
          <cell r="C7063" t="str">
            <v>m</v>
          </cell>
          <cell r="D7063">
            <v>0</v>
          </cell>
          <cell r="F7063">
            <v>0</v>
          </cell>
        </row>
        <row r="7064">
          <cell r="A7064" t="str">
            <v>268031</v>
          </cell>
          <cell r="B7064" t="str">
            <v>Tubo PEAD PE-80 PN-8 DE 280</v>
          </cell>
          <cell r="C7064" t="str">
            <v>m</v>
          </cell>
          <cell r="D7064">
            <v>0</v>
          </cell>
          <cell r="F7064">
            <v>0</v>
          </cell>
        </row>
        <row r="7065">
          <cell r="A7065" t="str">
            <v>268032</v>
          </cell>
          <cell r="B7065" t="str">
            <v>Tubo PEAD PE-80 PN-8 DE 315</v>
          </cell>
          <cell r="C7065" t="str">
            <v>m</v>
          </cell>
          <cell r="D7065">
            <v>0</v>
          </cell>
          <cell r="F7065">
            <v>0</v>
          </cell>
        </row>
        <row r="7066">
          <cell r="A7066" t="str">
            <v>268033</v>
          </cell>
          <cell r="B7066" t="str">
            <v>Tubo PEAD PE-80 PN-8 DE 355</v>
          </cell>
          <cell r="C7066" t="str">
            <v>m</v>
          </cell>
          <cell r="D7066">
            <v>0</v>
          </cell>
          <cell r="F7066">
            <v>0</v>
          </cell>
        </row>
        <row r="7067">
          <cell r="A7067" t="str">
            <v>268034</v>
          </cell>
          <cell r="B7067" t="str">
            <v>Tubo PEAD PE-80 PN-8 DE 400</v>
          </cell>
          <cell r="C7067" t="str">
            <v>m</v>
          </cell>
          <cell r="D7067">
            <v>0</v>
          </cell>
          <cell r="F7067">
            <v>0</v>
          </cell>
        </row>
        <row r="7068">
          <cell r="A7068" t="str">
            <v>268035</v>
          </cell>
          <cell r="B7068" t="str">
            <v>Tubo PEAD PE-80 PN-8 DE 450</v>
          </cell>
          <cell r="C7068" t="str">
            <v>m</v>
          </cell>
          <cell r="D7068">
            <v>0</v>
          </cell>
          <cell r="F7068">
            <v>0</v>
          </cell>
        </row>
        <row r="7069">
          <cell r="A7069" t="str">
            <v>268036</v>
          </cell>
          <cell r="B7069" t="str">
            <v>Tubo PEAD PE-80 PN-8 DE 500</v>
          </cell>
          <cell r="C7069" t="str">
            <v>m</v>
          </cell>
          <cell r="D7069">
            <v>0</v>
          </cell>
          <cell r="F7069">
            <v>0</v>
          </cell>
        </row>
        <row r="7070">
          <cell r="A7070" t="str">
            <v>268037</v>
          </cell>
          <cell r="B7070" t="str">
            <v>Tubo PEAD PE-80 PN-8 DE 560</v>
          </cell>
          <cell r="C7070" t="str">
            <v>m</v>
          </cell>
          <cell r="D7070">
            <v>0</v>
          </cell>
          <cell r="F7070">
            <v>0</v>
          </cell>
        </row>
        <row r="7071">
          <cell r="A7071" t="str">
            <v>268038</v>
          </cell>
          <cell r="B7071" t="str">
            <v>Tubo PEAD PE-80 PN-8 DE 630</v>
          </cell>
          <cell r="C7071" t="str">
            <v>m</v>
          </cell>
          <cell r="D7071">
            <v>0</v>
          </cell>
          <cell r="F7071">
            <v>0</v>
          </cell>
        </row>
        <row r="7072">
          <cell r="A7072" t="str">
            <v>268039</v>
          </cell>
          <cell r="B7072" t="str">
            <v>Tubo PEAD PE-80 PN-10 DE 63 (282845)</v>
          </cell>
          <cell r="C7072" t="str">
            <v>m</v>
          </cell>
          <cell r="D7072">
            <v>0</v>
          </cell>
          <cell r="F7072">
            <v>0</v>
          </cell>
        </row>
        <row r="7073">
          <cell r="A7073" t="str">
            <v>268040</v>
          </cell>
          <cell r="B7073" t="str">
            <v>Tubo PEAD PE-80 PN-10 DE 75 (270059)</v>
          </cell>
          <cell r="C7073" t="str">
            <v>m</v>
          </cell>
          <cell r="D7073">
            <v>0</v>
          </cell>
          <cell r="F7073">
            <v>0</v>
          </cell>
        </row>
        <row r="7074">
          <cell r="A7074" t="str">
            <v>268041</v>
          </cell>
          <cell r="B7074" t="str">
            <v>Tubo PEAD PE-80 PN-10 DE 90 (261785)</v>
          </cell>
          <cell r="C7074" t="str">
            <v>m</v>
          </cell>
          <cell r="D7074">
            <v>0</v>
          </cell>
          <cell r="F7074">
            <v>0</v>
          </cell>
        </row>
        <row r="7075">
          <cell r="A7075" t="str">
            <v>268042</v>
          </cell>
          <cell r="B7075" t="str">
            <v>Tubo PEAD PE-80 PN-10 DE 110 (224030)</v>
          </cell>
          <cell r="C7075" t="str">
            <v>m</v>
          </cell>
          <cell r="D7075">
            <v>0</v>
          </cell>
          <cell r="F7075">
            <v>0</v>
          </cell>
        </row>
        <row r="7076">
          <cell r="A7076" t="str">
            <v>268043</v>
          </cell>
          <cell r="B7076" t="str">
            <v>Tubo PEAD PE-80 PN-10 DE 125</v>
          </cell>
          <cell r="C7076" t="str">
            <v>m</v>
          </cell>
          <cell r="D7076">
            <v>0</v>
          </cell>
          <cell r="F7076">
            <v>0</v>
          </cell>
        </row>
        <row r="7077">
          <cell r="A7077" t="str">
            <v>268044</v>
          </cell>
          <cell r="B7077" t="str">
            <v>Tubo PEAD PE-80 PN-10 DE 140</v>
          </cell>
          <cell r="C7077" t="str">
            <v>m</v>
          </cell>
          <cell r="D7077">
            <v>0</v>
          </cell>
          <cell r="F7077">
            <v>0</v>
          </cell>
        </row>
        <row r="7078">
          <cell r="A7078" t="str">
            <v>268045</v>
          </cell>
          <cell r="B7078" t="str">
            <v>Tubo PEAD PE-80 PN-10 DE 160 (238295)</v>
          </cell>
          <cell r="C7078" t="str">
            <v>m</v>
          </cell>
          <cell r="D7078">
            <v>0</v>
          </cell>
          <cell r="F7078">
            <v>0</v>
          </cell>
        </row>
        <row r="7079">
          <cell r="A7079" t="str">
            <v>268046</v>
          </cell>
          <cell r="B7079" t="str">
            <v>Tubo PEAD PE-80 PN-10 DE 180 (88382)</v>
          </cell>
          <cell r="C7079" t="str">
            <v>m</v>
          </cell>
          <cell r="D7079">
            <v>0</v>
          </cell>
          <cell r="F7079">
            <v>0</v>
          </cell>
        </row>
        <row r="7080">
          <cell r="A7080" t="str">
            <v>268047</v>
          </cell>
          <cell r="B7080" t="str">
            <v>Tubo PEAD PE-80 PN-10 DE 200</v>
          </cell>
          <cell r="C7080" t="str">
            <v>m</v>
          </cell>
          <cell r="D7080">
            <v>0</v>
          </cell>
          <cell r="F7080">
            <v>0</v>
          </cell>
        </row>
        <row r="7081">
          <cell r="A7081" t="str">
            <v>268048</v>
          </cell>
          <cell r="B7081" t="str">
            <v>Tubo PEAD PE-80 PN-10 DE 225</v>
          </cell>
          <cell r="C7081" t="str">
            <v>m</v>
          </cell>
          <cell r="D7081">
            <v>0</v>
          </cell>
          <cell r="F7081">
            <v>0</v>
          </cell>
        </row>
        <row r="7082">
          <cell r="A7082" t="str">
            <v>268049</v>
          </cell>
          <cell r="B7082" t="str">
            <v>Tubo PEAD PE-80 PN-10 DE 250</v>
          </cell>
          <cell r="C7082" t="str">
            <v>m</v>
          </cell>
          <cell r="D7082">
            <v>0</v>
          </cell>
          <cell r="F7082">
            <v>0</v>
          </cell>
        </row>
        <row r="7083">
          <cell r="A7083" t="str">
            <v>268050</v>
          </cell>
          <cell r="B7083" t="str">
            <v>Tubo PEAD PE-80 PN-10 DE 280 (248452)</v>
          </cell>
          <cell r="C7083" t="str">
            <v>m</v>
          </cell>
          <cell r="D7083">
            <v>0</v>
          </cell>
          <cell r="F7083">
            <v>0</v>
          </cell>
        </row>
        <row r="7084">
          <cell r="A7084" t="str">
            <v>268051</v>
          </cell>
          <cell r="B7084" t="str">
            <v>Tubo PEAD PE-80 PN-10 DE 315</v>
          </cell>
          <cell r="C7084" t="str">
            <v>m</v>
          </cell>
          <cell r="D7084">
            <v>0</v>
          </cell>
          <cell r="F7084">
            <v>0</v>
          </cell>
        </row>
        <row r="7085">
          <cell r="A7085" t="str">
            <v>268052</v>
          </cell>
          <cell r="B7085" t="str">
            <v>Tubo PEAD PE-80 PN-10 DE 355</v>
          </cell>
          <cell r="C7085" t="str">
            <v>m</v>
          </cell>
          <cell r="D7085">
            <v>0</v>
          </cell>
          <cell r="F7085">
            <v>0</v>
          </cell>
        </row>
        <row r="7086">
          <cell r="A7086" t="str">
            <v>268053</v>
          </cell>
          <cell r="B7086" t="str">
            <v>Tubo PEAD PE-80 PN-10 DE 400</v>
          </cell>
          <cell r="C7086" t="str">
            <v>m</v>
          </cell>
          <cell r="D7086">
            <v>0</v>
          </cell>
          <cell r="F7086">
            <v>0</v>
          </cell>
        </row>
        <row r="7087">
          <cell r="A7087" t="str">
            <v>268054</v>
          </cell>
          <cell r="B7087" t="str">
            <v>Tubo PEAD PE-80 PN-10 DE 450</v>
          </cell>
          <cell r="C7087" t="str">
            <v>m</v>
          </cell>
          <cell r="D7087">
            <v>0</v>
          </cell>
          <cell r="F7087">
            <v>0</v>
          </cell>
        </row>
        <row r="7088">
          <cell r="A7088" t="str">
            <v>268055</v>
          </cell>
          <cell r="B7088" t="str">
            <v>Tubo PEAD PE-80 PN-10 DE 500</v>
          </cell>
          <cell r="C7088" t="str">
            <v>m</v>
          </cell>
          <cell r="D7088">
            <v>0</v>
          </cell>
          <cell r="F7088">
            <v>0</v>
          </cell>
        </row>
        <row r="7089">
          <cell r="A7089" t="str">
            <v>268056</v>
          </cell>
          <cell r="B7089" t="str">
            <v>Tubo PEAD PE-80 PN-10 DE 560</v>
          </cell>
          <cell r="C7089" t="str">
            <v>m</v>
          </cell>
          <cell r="D7089">
            <v>0</v>
          </cell>
          <cell r="F7089">
            <v>0</v>
          </cell>
        </row>
        <row r="7090">
          <cell r="A7090" t="str">
            <v>268057</v>
          </cell>
          <cell r="B7090" t="str">
            <v>Tubo PEAD PE-80 PN-10 DE 630</v>
          </cell>
          <cell r="C7090" t="str">
            <v>m</v>
          </cell>
          <cell r="D7090">
            <v>0</v>
          </cell>
          <cell r="F7090">
            <v>0</v>
          </cell>
        </row>
        <row r="7091">
          <cell r="A7091" t="str">
            <v>268058</v>
          </cell>
          <cell r="B7091" t="str">
            <v>Tubo PEAD PE-80 PN-12,5 DE 63 (277622)</v>
          </cell>
          <cell r="C7091" t="str">
            <v>m</v>
          </cell>
          <cell r="D7091">
            <v>0</v>
          </cell>
          <cell r="F7091">
            <v>0</v>
          </cell>
        </row>
        <row r="7092">
          <cell r="A7092" t="str">
            <v>268059</v>
          </cell>
          <cell r="B7092" t="str">
            <v>Tubo PEAD PE-80 PN-12,5 DE 75 (270067)</v>
          </cell>
          <cell r="C7092" t="str">
            <v>m</v>
          </cell>
          <cell r="D7092">
            <v>0</v>
          </cell>
          <cell r="F7092">
            <v>0</v>
          </cell>
        </row>
        <row r="7093">
          <cell r="A7093" t="str">
            <v>268060</v>
          </cell>
          <cell r="B7093" t="str">
            <v>Tubo PEAD PE-80 PN-12,5 DE 90 (282820)</v>
          </cell>
          <cell r="C7093" t="str">
            <v>m</v>
          </cell>
          <cell r="D7093">
            <v>0</v>
          </cell>
          <cell r="F7093">
            <v>0</v>
          </cell>
        </row>
        <row r="7094">
          <cell r="A7094" t="str">
            <v>268061</v>
          </cell>
          <cell r="B7094" t="str">
            <v>Tubo PEAD PE-80 PN-12,5 DE 110 (274097)</v>
          </cell>
          <cell r="C7094" t="str">
            <v>m</v>
          </cell>
          <cell r="D7094">
            <v>0</v>
          </cell>
          <cell r="F7094">
            <v>0</v>
          </cell>
        </row>
        <row r="7095">
          <cell r="A7095" t="str">
            <v>268062</v>
          </cell>
          <cell r="B7095" t="str">
            <v>Tubo PEAD PE-80 PN-12,5 DE 125 (119580)</v>
          </cell>
          <cell r="C7095" t="str">
            <v>m</v>
          </cell>
          <cell r="D7095">
            <v>0</v>
          </cell>
          <cell r="F7095">
            <v>0</v>
          </cell>
        </row>
        <row r="7096">
          <cell r="A7096" t="str">
            <v>268063</v>
          </cell>
          <cell r="B7096" t="str">
            <v>Tubo PEAD PE-80 PN-12,5 DE 140</v>
          </cell>
          <cell r="C7096" t="str">
            <v>m</v>
          </cell>
          <cell r="D7096">
            <v>0</v>
          </cell>
          <cell r="F7096">
            <v>0</v>
          </cell>
        </row>
        <row r="7097">
          <cell r="A7097" t="str">
            <v>268064</v>
          </cell>
          <cell r="B7097" t="str">
            <v>Tubo PEAD PE-80 PN-12,5 DE 160 (86436)</v>
          </cell>
          <cell r="C7097" t="str">
            <v>m</v>
          </cell>
          <cell r="D7097">
            <v>0</v>
          </cell>
          <cell r="F7097">
            <v>0</v>
          </cell>
        </row>
        <row r="7098">
          <cell r="A7098" t="str">
            <v>268065</v>
          </cell>
          <cell r="B7098" t="str">
            <v>Tubo PEAD PE-80 PN-12,5 DE 180 (283960)</v>
          </cell>
          <cell r="C7098" t="str">
            <v>m</v>
          </cell>
          <cell r="D7098">
            <v>0</v>
          </cell>
          <cell r="F7098">
            <v>0</v>
          </cell>
        </row>
        <row r="7099">
          <cell r="A7099" t="str">
            <v>268066</v>
          </cell>
          <cell r="B7099" t="str">
            <v>Tubo PEAD PE-80 PN-12,5 DE 200</v>
          </cell>
          <cell r="C7099" t="str">
            <v>m</v>
          </cell>
          <cell r="D7099">
            <v>0</v>
          </cell>
          <cell r="F7099">
            <v>0</v>
          </cell>
        </row>
        <row r="7100">
          <cell r="A7100" t="str">
            <v>268067</v>
          </cell>
          <cell r="B7100" t="str">
            <v>Tubo PEAD PE-80 PN-12,5 DE 225</v>
          </cell>
          <cell r="C7100" t="str">
            <v>m</v>
          </cell>
          <cell r="D7100">
            <v>0</v>
          </cell>
          <cell r="F7100">
            <v>0</v>
          </cell>
        </row>
        <row r="7101">
          <cell r="A7101" t="str">
            <v>268068</v>
          </cell>
          <cell r="B7101" t="str">
            <v>Tubo PEAD PE-80 PN-12,5 DE 250</v>
          </cell>
          <cell r="C7101" t="str">
            <v>m</v>
          </cell>
          <cell r="D7101">
            <v>0</v>
          </cell>
          <cell r="F7101">
            <v>0</v>
          </cell>
        </row>
        <row r="7102">
          <cell r="A7102" t="str">
            <v>268069</v>
          </cell>
          <cell r="B7102" t="str">
            <v>Tubo PEAD PE-80 PN-12,5 DE 280</v>
          </cell>
          <cell r="C7102" t="str">
            <v>m</v>
          </cell>
          <cell r="D7102">
            <v>0</v>
          </cell>
          <cell r="F7102">
            <v>0</v>
          </cell>
        </row>
        <row r="7103">
          <cell r="A7103" t="str">
            <v>268070</v>
          </cell>
          <cell r="B7103" t="str">
            <v>Tubo PEAD PE-80 PN-12,5 DE 315</v>
          </cell>
          <cell r="C7103" t="str">
            <v>m</v>
          </cell>
          <cell r="D7103">
            <v>0</v>
          </cell>
          <cell r="F7103">
            <v>0</v>
          </cell>
        </row>
        <row r="7104">
          <cell r="A7104" t="str">
            <v>268071</v>
          </cell>
          <cell r="B7104" t="str">
            <v>Tubo PEAD PE-80 PN-12,5 DE 355</v>
          </cell>
          <cell r="C7104" t="str">
            <v>m</v>
          </cell>
          <cell r="D7104">
            <v>0</v>
          </cell>
          <cell r="F7104">
            <v>0</v>
          </cell>
        </row>
        <row r="7105">
          <cell r="A7105" t="str">
            <v>268072</v>
          </cell>
          <cell r="B7105" t="str">
            <v>Tubo PEAD PE-80 PN-12,5 DE 400</v>
          </cell>
          <cell r="C7105" t="str">
            <v>m</v>
          </cell>
          <cell r="D7105">
            <v>0</v>
          </cell>
          <cell r="F7105">
            <v>0</v>
          </cell>
        </row>
        <row r="7106">
          <cell r="A7106" t="str">
            <v>268073</v>
          </cell>
          <cell r="B7106" t="str">
            <v>Tubo PEAD PE-80 PN-12,5 DE 450</v>
          </cell>
          <cell r="C7106" t="str">
            <v>m</v>
          </cell>
          <cell r="D7106">
            <v>0</v>
          </cell>
          <cell r="F7106">
            <v>0</v>
          </cell>
        </row>
        <row r="7107">
          <cell r="A7107" t="str">
            <v>268074</v>
          </cell>
          <cell r="B7107" t="str">
            <v>Tubo PEAD PE-80 PN-12,5 DE 500</v>
          </cell>
          <cell r="C7107" t="str">
            <v>m</v>
          </cell>
          <cell r="D7107">
            <v>0</v>
          </cell>
          <cell r="F7107">
            <v>0</v>
          </cell>
        </row>
        <row r="7108">
          <cell r="A7108" t="str">
            <v>268075</v>
          </cell>
          <cell r="B7108" t="str">
            <v>Tubo PEAD PE-80 PN-12,5 DE 560</v>
          </cell>
          <cell r="C7108" t="str">
            <v>m</v>
          </cell>
          <cell r="D7108">
            <v>0</v>
          </cell>
          <cell r="F7108">
            <v>0</v>
          </cell>
        </row>
        <row r="7109">
          <cell r="A7109" t="str">
            <v>268076</v>
          </cell>
          <cell r="B7109" t="str">
            <v>Tubo PEAD PE-80 PN-12,5 DE 630</v>
          </cell>
          <cell r="C7109" t="str">
            <v>m</v>
          </cell>
          <cell r="D7109">
            <v>0</v>
          </cell>
          <cell r="F7109">
            <v>0</v>
          </cell>
        </row>
        <row r="7110">
          <cell r="A7110" t="str">
            <v>268077</v>
          </cell>
          <cell r="B7110" t="str">
            <v>Tubo PEAD PE-80 PN-16 DE 63 (270075)</v>
          </cell>
          <cell r="C7110" t="str">
            <v>m</v>
          </cell>
          <cell r="D7110">
            <v>0</v>
          </cell>
          <cell r="F7110">
            <v>0</v>
          </cell>
        </row>
        <row r="7111">
          <cell r="A7111" t="str">
            <v>268078</v>
          </cell>
          <cell r="B7111" t="str">
            <v>Tubo PEAD PE-80 PN-16 DE 75 (238325)</v>
          </cell>
          <cell r="C7111" t="str">
            <v>m</v>
          </cell>
          <cell r="D7111">
            <v>0</v>
          </cell>
          <cell r="F7111">
            <v>0</v>
          </cell>
        </row>
        <row r="7112">
          <cell r="A7112" t="str">
            <v>268079</v>
          </cell>
          <cell r="B7112" t="str">
            <v>Tubo PEAD PE-80 PN-16 DE 90 (282819)</v>
          </cell>
          <cell r="C7112" t="str">
            <v>m</v>
          </cell>
          <cell r="D7112">
            <v>0</v>
          </cell>
          <cell r="F7112">
            <v>0</v>
          </cell>
        </row>
        <row r="7113">
          <cell r="A7113" t="str">
            <v>268080</v>
          </cell>
          <cell r="B7113" t="str">
            <v>Tubo PEAD PE-80 PN-16 DE 110 (284100)</v>
          </cell>
          <cell r="C7113" t="str">
            <v>m</v>
          </cell>
          <cell r="D7113">
            <v>0</v>
          </cell>
          <cell r="F7113">
            <v>0</v>
          </cell>
        </row>
        <row r="7114">
          <cell r="A7114" t="str">
            <v>268081</v>
          </cell>
          <cell r="B7114" t="str">
            <v>Tubo PEAD PE-80 PN-16 DE 125</v>
          </cell>
          <cell r="C7114" t="str">
            <v>m</v>
          </cell>
          <cell r="D7114">
            <v>0</v>
          </cell>
          <cell r="F7114">
            <v>0</v>
          </cell>
        </row>
        <row r="7115">
          <cell r="A7115" t="str">
            <v>268082</v>
          </cell>
          <cell r="B7115" t="str">
            <v>Tubo PEAD PE-80 PN-16 DE 140</v>
          </cell>
          <cell r="C7115" t="str">
            <v>m</v>
          </cell>
          <cell r="D7115">
            <v>0</v>
          </cell>
          <cell r="F7115">
            <v>0</v>
          </cell>
        </row>
        <row r="7116">
          <cell r="A7116" t="str">
            <v>268083</v>
          </cell>
          <cell r="B7116" t="str">
            <v>Tubo PEAD PE-80 PN-16 DE 160</v>
          </cell>
          <cell r="C7116" t="str">
            <v>m</v>
          </cell>
          <cell r="D7116">
            <v>0</v>
          </cell>
          <cell r="F7116">
            <v>0</v>
          </cell>
        </row>
        <row r="7117">
          <cell r="A7117" t="str">
            <v>268084</v>
          </cell>
          <cell r="B7117" t="str">
            <v>Tubo PEAD PE-80 PN-16 DE 180 (82490)</v>
          </cell>
          <cell r="C7117" t="str">
            <v>m</v>
          </cell>
          <cell r="D7117">
            <v>0</v>
          </cell>
          <cell r="F7117">
            <v>0</v>
          </cell>
        </row>
        <row r="7118">
          <cell r="A7118" t="str">
            <v>268085</v>
          </cell>
          <cell r="B7118" t="str">
            <v>Tubo PEAD PE-80 PN-16 DE 200</v>
          </cell>
          <cell r="C7118" t="str">
            <v>m</v>
          </cell>
          <cell r="D7118">
            <v>0</v>
          </cell>
          <cell r="F7118">
            <v>0</v>
          </cell>
        </row>
        <row r="7119">
          <cell r="A7119" t="str">
            <v>268086</v>
          </cell>
          <cell r="B7119" t="str">
            <v>Tubo PEAD PE-80 PN-16 DE 225</v>
          </cell>
          <cell r="C7119" t="str">
            <v>m</v>
          </cell>
          <cell r="D7119">
            <v>0</v>
          </cell>
          <cell r="F7119">
            <v>0</v>
          </cell>
        </row>
        <row r="7120">
          <cell r="A7120" t="str">
            <v>268087</v>
          </cell>
          <cell r="B7120" t="str">
            <v>Tubo PEAD PE-80 PN-16 DE 250</v>
          </cell>
          <cell r="C7120" t="str">
            <v>m</v>
          </cell>
          <cell r="D7120">
            <v>0</v>
          </cell>
          <cell r="F7120">
            <v>0</v>
          </cell>
        </row>
        <row r="7121">
          <cell r="A7121" t="str">
            <v>268088</v>
          </cell>
          <cell r="B7121" t="str">
            <v>Tubo PEAD PE-80 PN-16 DE 280</v>
          </cell>
          <cell r="C7121" t="str">
            <v>m</v>
          </cell>
          <cell r="D7121">
            <v>0</v>
          </cell>
          <cell r="F7121">
            <v>0</v>
          </cell>
        </row>
        <row r="7122">
          <cell r="A7122" t="str">
            <v>268089</v>
          </cell>
          <cell r="B7122" t="str">
            <v>Tubo PEAD PE-80 PN-16 DE 315</v>
          </cell>
          <cell r="C7122" t="str">
            <v>m</v>
          </cell>
          <cell r="D7122">
            <v>0</v>
          </cell>
          <cell r="F7122">
            <v>0</v>
          </cell>
        </row>
        <row r="7123">
          <cell r="A7123" t="str">
            <v>268090</v>
          </cell>
          <cell r="B7123" t="str">
            <v>Tubo PEAD PE-80 PN-16 DE 355</v>
          </cell>
          <cell r="C7123" t="str">
            <v>m</v>
          </cell>
          <cell r="D7123">
            <v>0</v>
          </cell>
          <cell r="F7123">
            <v>0</v>
          </cell>
        </row>
        <row r="7124">
          <cell r="A7124" t="str">
            <v>268091</v>
          </cell>
          <cell r="B7124" t="str">
            <v>Tubo PEAD PE-80 PN-16 DE 400</v>
          </cell>
          <cell r="C7124" t="str">
            <v>m</v>
          </cell>
          <cell r="D7124">
            <v>0</v>
          </cell>
          <cell r="F7124">
            <v>0</v>
          </cell>
        </row>
        <row r="7125">
          <cell r="A7125" t="str">
            <v>268092</v>
          </cell>
          <cell r="B7125" t="str">
            <v>Tubo PEAD PE-80 PN-16 DE 450</v>
          </cell>
          <cell r="C7125" t="str">
            <v>m</v>
          </cell>
          <cell r="D7125">
            <v>0</v>
          </cell>
          <cell r="F7125">
            <v>0</v>
          </cell>
        </row>
        <row r="7126">
          <cell r="A7126" t="str">
            <v>268093</v>
          </cell>
          <cell r="B7126" t="str">
            <v>Tubo PEAD PE-80 PN-16 DE 500</v>
          </cell>
          <cell r="C7126" t="str">
            <v>m</v>
          </cell>
          <cell r="D7126">
            <v>0</v>
          </cell>
          <cell r="F7126">
            <v>0</v>
          </cell>
        </row>
        <row r="7127">
          <cell r="A7127" t="str">
            <v>268094</v>
          </cell>
          <cell r="B7127" t="str">
            <v>Tubo PEAD PE-80 PN-16 DE 560</v>
          </cell>
          <cell r="C7127" t="str">
            <v>m</v>
          </cell>
          <cell r="D7127">
            <v>0</v>
          </cell>
          <cell r="F7127">
            <v>0</v>
          </cell>
        </row>
        <row r="7128">
          <cell r="A7128" t="str">
            <v>268095</v>
          </cell>
          <cell r="B7128" t="str">
            <v>Tubo PEAD PE-80 PN-16 DE 630</v>
          </cell>
          <cell r="C7128" t="str">
            <v>m</v>
          </cell>
          <cell r="D7128">
            <v>0</v>
          </cell>
          <cell r="F7128">
            <v>0</v>
          </cell>
        </row>
        <row r="7129">
          <cell r="A7129" t="str">
            <v>2681</v>
          </cell>
          <cell r="B7129" t="str">
            <v>TUBO POLIETILENO (PEAD) PE-100</v>
          </cell>
        </row>
        <row r="7130">
          <cell r="A7130" t="str">
            <v>268101</v>
          </cell>
          <cell r="B7130" t="str">
            <v>Tubo PEAD PE-100 PN-6 DE 63</v>
          </cell>
          <cell r="C7130" t="str">
            <v>m</v>
          </cell>
          <cell r="D7130">
            <v>0</v>
          </cell>
          <cell r="F7130">
            <v>0</v>
          </cell>
        </row>
        <row r="7131">
          <cell r="A7131" t="str">
            <v>268102</v>
          </cell>
          <cell r="B7131" t="str">
            <v>Tubo PEAD PE-100 PN-6 DE 75</v>
          </cell>
          <cell r="C7131" t="str">
            <v>m</v>
          </cell>
          <cell r="D7131">
            <v>0</v>
          </cell>
          <cell r="F7131">
            <v>0</v>
          </cell>
        </row>
        <row r="7132">
          <cell r="A7132" t="str">
            <v>268103</v>
          </cell>
          <cell r="B7132" t="str">
            <v>Tubo PEAD PE-100 PN-6 DE 90</v>
          </cell>
          <cell r="C7132" t="str">
            <v>m</v>
          </cell>
          <cell r="D7132">
            <v>0</v>
          </cell>
          <cell r="F7132">
            <v>0</v>
          </cell>
        </row>
        <row r="7133">
          <cell r="A7133" t="str">
            <v>268104</v>
          </cell>
          <cell r="B7133" t="str">
            <v>Tubo PEAD PE-100 PN-6 DE 110</v>
          </cell>
          <cell r="C7133" t="str">
            <v>m</v>
          </cell>
          <cell r="D7133">
            <v>0</v>
          </cell>
          <cell r="F7133">
            <v>0</v>
          </cell>
        </row>
        <row r="7134">
          <cell r="A7134" t="str">
            <v>268105</v>
          </cell>
          <cell r="B7134" t="str">
            <v>Tubo PEAD PE-100 PN-6 DE 125</v>
          </cell>
          <cell r="C7134" t="str">
            <v>m</v>
          </cell>
          <cell r="D7134">
            <v>0</v>
          </cell>
          <cell r="F7134">
            <v>0</v>
          </cell>
        </row>
        <row r="7135">
          <cell r="A7135" t="str">
            <v>268106</v>
          </cell>
          <cell r="B7135" t="str">
            <v>Tubo PEAD PE-100 PN-6 DE 140</v>
          </cell>
          <cell r="C7135" t="str">
            <v>m</v>
          </cell>
          <cell r="D7135">
            <v>0</v>
          </cell>
          <cell r="F7135">
            <v>0</v>
          </cell>
        </row>
        <row r="7136">
          <cell r="A7136" t="str">
            <v>268107</v>
          </cell>
          <cell r="B7136" t="str">
            <v>Tubo PEAD PE-100 PN-6 DE 160 (284442)</v>
          </cell>
          <cell r="C7136" t="str">
            <v>m</v>
          </cell>
          <cell r="D7136">
            <v>0</v>
          </cell>
          <cell r="F7136">
            <v>0</v>
          </cell>
        </row>
        <row r="7137">
          <cell r="A7137" t="str">
            <v>268108</v>
          </cell>
          <cell r="B7137" t="str">
            <v>Tubo PEAD PE-100 PN-6 DE 180</v>
          </cell>
          <cell r="C7137" t="str">
            <v>m</v>
          </cell>
          <cell r="D7137">
            <v>0</v>
          </cell>
          <cell r="F7137">
            <v>0</v>
          </cell>
        </row>
        <row r="7138">
          <cell r="A7138" t="str">
            <v>268109</v>
          </cell>
          <cell r="B7138" t="str">
            <v>Tubo PEAD PE-100 PN-6 DE 200</v>
          </cell>
          <cell r="C7138" t="str">
            <v>m</v>
          </cell>
          <cell r="D7138">
            <v>0</v>
          </cell>
          <cell r="F7138">
            <v>0</v>
          </cell>
        </row>
        <row r="7139">
          <cell r="A7139" t="str">
            <v>268110</v>
          </cell>
          <cell r="B7139" t="str">
            <v>Tubo PEAD PE-100 PN-6 DE 225</v>
          </cell>
          <cell r="C7139" t="str">
            <v>m</v>
          </cell>
          <cell r="D7139">
            <v>0</v>
          </cell>
          <cell r="F7139">
            <v>0</v>
          </cell>
        </row>
        <row r="7140">
          <cell r="A7140" t="str">
            <v>268111</v>
          </cell>
          <cell r="B7140" t="str">
            <v>Tubo PEAD PE-100 PN-6 DE 250</v>
          </cell>
          <cell r="C7140" t="str">
            <v>m</v>
          </cell>
          <cell r="D7140">
            <v>0</v>
          </cell>
          <cell r="F7140">
            <v>0</v>
          </cell>
        </row>
        <row r="7141">
          <cell r="A7141" t="str">
            <v>268112</v>
          </cell>
          <cell r="B7141" t="str">
            <v>Tubo PEAD PE-100 PN-6 DE 280</v>
          </cell>
          <cell r="C7141" t="str">
            <v>m</v>
          </cell>
          <cell r="D7141">
            <v>0</v>
          </cell>
          <cell r="F7141">
            <v>0</v>
          </cell>
        </row>
        <row r="7142">
          <cell r="A7142" t="str">
            <v>268113</v>
          </cell>
          <cell r="B7142" t="str">
            <v>Tubo PEAD PE-100 PN-6 DE 315</v>
          </cell>
          <cell r="C7142" t="str">
            <v>m</v>
          </cell>
          <cell r="D7142">
            <v>0</v>
          </cell>
          <cell r="F7142">
            <v>0</v>
          </cell>
        </row>
        <row r="7143">
          <cell r="A7143" t="str">
            <v>268114</v>
          </cell>
          <cell r="B7143" t="str">
            <v>Tubo PEAD PE-100 PN-6 DE 355</v>
          </cell>
          <cell r="C7143" t="str">
            <v>m</v>
          </cell>
          <cell r="D7143">
            <v>0</v>
          </cell>
          <cell r="F7143">
            <v>0</v>
          </cell>
        </row>
        <row r="7144">
          <cell r="A7144" t="str">
            <v>268115</v>
          </cell>
          <cell r="B7144" t="str">
            <v>Tubo PEAD PE-100 PN-6 DE 400</v>
          </cell>
          <cell r="C7144" t="str">
            <v>m</v>
          </cell>
          <cell r="D7144">
            <v>0</v>
          </cell>
          <cell r="F7144">
            <v>0</v>
          </cell>
        </row>
        <row r="7145">
          <cell r="A7145" t="str">
            <v>268116</v>
          </cell>
          <cell r="B7145" t="str">
            <v>Tubo PEAD PE-100 PN-6 DE 450</v>
          </cell>
          <cell r="C7145" t="str">
            <v>m</v>
          </cell>
          <cell r="D7145">
            <v>0</v>
          </cell>
          <cell r="F7145">
            <v>0</v>
          </cell>
        </row>
        <row r="7146">
          <cell r="A7146" t="str">
            <v>268117</v>
          </cell>
          <cell r="B7146" t="str">
            <v>Tubo PEAD PE-100 PN-6 DE 500</v>
          </cell>
          <cell r="C7146" t="str">
            <v>m</v>
          </cell>
          <cell r="D7146">
            <v>0</v>
          </cell>
          <cell r="F7146">
            <v>0</v>
          </cell>
        </row>
        <row r="7147">
          <cell r="A7147" t="str">
            <v>268118</v>
          </cell>
          <cell r="B7147" t="str">
            <v>Tubo PEAD PE-100 PN-6 DE 560</v>
          </cell>
          <cell r="C7147" t="str">
            <v>m</v>
          </cell>
          <cell r="D7147">
            <v>0</v>
          </cell>
          <cell r="F7147">
            <v>0</v>
          </cell>
        </row>
        <row r="7148">
          <cell r="A7148" t="str">
            <v>268119</v>
          </cell>
          <cell r="B7148" t="str">
            <v>Tubo PEAD PE-100 PN-6 DE 630</v>
          </cell>
          <cell r="C7148" t="str">
            <v>m</v>
          </cell>
          <cell r="D7148">
            <v>0</v>
          </cell>
          <cell r="F7148">
            <v>0</v>
          </cell>
        </row>
        <row r="7149">
          <cell r="A7149" t="str">
            <v>268120</v>
          </cell>
          <cell r="B7149" t="str">
            <v>Tubo PEAD PE-100 PN-8 DE 63</v>
          </cell>
          <cell r="C7149" t="str">
            <v>m</v>
          </cell>
          <cell r="D7149">
            <v>0</v>
          </cell>
          <cell r="F7149">
            <v>0</v>
          </cell>
        </row>
        <row r="7150">
          <cell r="A7150" t="str">
            <v>268121</v>
          </cell>
          <cell r="B7150" t="str">
            <v>Tubo PEAD PE-100 PN-8 DE 75</v>
          </cell>
          <cell r="C7150" t="str">
            <v>m</v>
          </cell>
          <cell r="D7150">
            <v>0</v>
          </cell>
          <cell r="F7150">
            <v>0</v>
          </cell>
        </row>
        <row r="7151">
          <cell r="A7151" t="str">
            <v>268122</v>
          </cell>
          <cell r="B7151" t="str">
            <v>Tubo PEAD PE-100 PN-8 DE 90</v>
          </cell>
          <cell r="C7151" t="str">
            <v>m</v>
          </cell>
          <cell r="D7151">
            <v>0</v>
          </cell>
          <cell r="F7151">
            <v>0</v>
          </cell>
        </row>
        <row r="7152">
          <cell r="A7152" t="str">
            <v>268123</v>
          </cell>
          <cell r="B7152" t="str">
            <v>Tubo PEAD PE-100 PN-8 DE 110 (284444)</v>
          </cell>
          <cell r="C7152" t="str">
            <v>m</v>
          </cell>
          <cell r="D7152">
            <v>0</v>
          </cell>
          <cell r="F7152">
            <v>0</v>
          </cell>
        </row>
        <row r="7153">
          <cell r="A7153" t="str">
            <v>268124</v>
          </cell>
          <cell r="B7153" t="str">
            <v>Tubo PEAD PE-100 PN-8 DE 125</v>
          </cell>
          <cell r="C7153" t="str">
            <v>m</v>
          </cell>
          <cell r="D7153">
            <v>0</v>
          </cell>
          <cell r="F7153">
            <v>0</v>
          </cell>
        </row>
        <row r="7154">
          <cell r="A7154" t="str">
            <v>268125</v>
          </cell>
          <cell r="B7154" t="str">
            <v>Tubo PEAD PE-100 PN-8 DE 140 (291597)</v>
          </cell>
          <cell r="C7154" t="str">
            <v>m</v>
          </cell>
          <cell r="D7154">
            <v>0</v>
          </cell>
          <cell r="F7154">
            <v>0</v>
          </cell>
        </row>
        <row r="7155">
          <cell r="A7155" t="str">
            <v>268126</v>
          </cell>
          <cell r="B7155" t="str">
            <v>Tubo PEAD PE-100 PN-8 DE 160 (284306)</v>
          </cell>
          <cell r="C7155" t="str">
            <v>m</v>
          </cell>
          <cell r="D7155">
            <v>0</v>
          </cell>
          <cell r="F7155">
            <v>0</v>
          </cell>
        </row>
        <row r="7156">
          <cell r="A7156" t="str">
            <v>268127</v>
          </cell>
          <cell r="B7156" t="str">
            <v>Tubo PEAD PE-100 PN-8 DE 180 (294760)</v>
          </cell>
          <cell r="C7156" t="str">
            <v>m</v>
          </cell>
          <cell r="D7156">
            <v>0</v>
          </cell>
          <cell r="F7156">
            <v>0</v>
          </cell>
        </row>
        <row r="7157">
          <cell r="A7157" t="str">
            <v>268128</v>
          </cell>
          <cell r="B7157" t="str">
            <v>Tubo PEAD PE-100 PN-8 DE 200 (291638)</v>
          </cell>
          <cell r="C7157" t="str">
            <v>m</v>
          </cell>
          <cell r="D7157">
            <v>0</v>
          </cell>
          <cell r="F7157">
            <v>0</v>
          </cell>
        </row>
        <row r="7158">
          <cell r="A7158" t="str">
            <v>268129</v>
          </cell>
          <cell r="B7158" t="str">
            <v>Tubo PEAD PE-100 PN-8 DE 225 (284307)</v>
          </cell>
          <cell r="C7158" t="str">
            <v>m</v>
          </cell>
          <cell r="D7158">
            <v>0</v>
          </cell>
          <cell r="F7158">
            <v>0</v>
          </cell>
        </row>
        <row r="7159">
          <cell r="A7159" t="str">
            <v>268130</v>
          </cell>
          <cell r="B7159" t="str">
            <v>Tubo PEAD PE-100 PN-8 DE 250 (291596)</v>
          </cell>
          <cell r="C7159" t="str">
            <v>m</v>
          </cell>
          <cell r="D7159">
            <v>0</v>
          </cell>
          <cell r="F7159">
            <v>0</v>
          </cell>
        </row>
        <row r="7160">
          <cell r="A7160" t="str">
            <v>268131</v>
          </cell>
          <cell r="B7160" t="str">
            <v>Tubo PEAD PE-100 PN-8 DE 280 (284308)</v>
          </cell>
          <cell r="C7160" t="str">
            <v>m</v>
          </cell>
          <cell r="D7160">
            <v>0</v>
          </cell>
          <cell r="F7160">
            <v>0</v>
          </cell>
        </row>
        <row r="7161">
          <cell r="A7161" t="str">
            <v>268132</v>
          </cell>
          <cell r="B7161" t="str">
            <v>Tubo PEAD PE-100 PN-8 DE 315 (284309)</v>
          </cell>
          <cell r="C7161" t="str">
            <v>m</v>
          </cell>
          <cell r="D7161">
            <v>0</v>
          </cell>
          <cell r="F7161">
            <v>0</v>
          </cell>
        </row>
        <row r="7162">
          <cell r="A7162" t="str">
            <v>268133</v>
          </cell>
          <cell r="B7162" t="str">
            <v>Tubo PEAD PE-100 PN-8 DE 355</v>
          </cell>
          <cell r="C7162" t="str">
            <v>m</v>
          </cell>
          <cell r="D7162">
            <v>0</v>
          </cell>
          <cell r="F7162">
            <v>0</v>
          </cell>
        </row>
        <row r="7163">
          <cell r="A7163" t="str">
            <v>268134</v>
          </cell>
          <cell r="B7163" t="str">
            <v>Tubo PEAD PE-100 PN-8 DE 400</v>
          </cell>
          <cell r="C7163" t="str">
            <v>m</v>
          </cell>
          <cell r="D7163">
            <v>0</v>
          </cell>
          <cell r="F7163">
            <v>0</v>
          </cell>
        </row>
        <row r="7164">
          <cell r="A7164" t="str">
            <v>268135</v>
          </cell>
          <cell r="B7164" t="str">
            <v>Tubo PEAD PE-100 PN-8 DE 450</v>
          </cell>
          <cell r="C7164" t="str">
            <v>m</v>
          </cell>
          <cell r="D7164">
            <v>0</v>
          </cell>
          <cell r="F7164">
            <v>0</v>
          </cell>
        </row>
        <row r="7165">
          <cell r="A7165" t="str">
            <v>268136</v>
          </cell>
          <cell r="B7165" t="str">
            <v>Tubo PEAD PE-100 PN-8 DE 500</v>
          </cell>
          <cell r="C7165" t="str">
            <v>m</v>
          </cell>
          <cell r="D7165">
            <v>0</v>
          </cell>
          <cell r="F7165">
            <v>0</v>
          </cell>
        </row>
        <row r="7166">
          <cell r="A7166" t="str">
            <v>268137</v>
          </cell>
          <cell r="B7166" t="str">
            <v>Tubo PEAD PE-100 PN-8 DE 560</v>
          </cell>
          <cell r="C7166" t="str">
            <v>m</v>
          </cell>
          <cell r="D7166">
            <v>0</v>
          </cell>
          <cell r="F7166">
            <v>0</v>
          </cell>
        </row>
        <row r="7167">
          <cell r="A7167" t="str">
            <v>268138</v>
          </cell>
          <cell r="B7167" t="str">
            <v>Tubo PEAD PE-100 PN-8 DE 630</v>
          </cell>
          <cell r="C7167" t="str">
            <v>m</v>
          </cell>
          <cell r="D7167">
            <v>0</v>
          </cell>
          <cell r="F7167">
            <v>0</v>
          </cell>
        </row>
        <row r="7168">
          <cell r="A7168" t="str">
            <v>268139</v>
          </cell>
          <cell r="B7168" t="str">
            <v>Tubo PEAD PE-100 PN-10 DE 63</v>
          </cell>
          <cell r="C7168" t="str">
            <v>m</v>
          </cell>
          <cell r="D7168">
            <v>0</v>
          </cell>
          <cell r="F7168">
            <v>0</v>
          </cell>
        </row>
        <row r="7169">
          <cell r="A7169" t="str">
            <v>268140</v>
          </cell>
          <cell r="B7169" t="str">
            <v>Tubo PEAD PE-100 PN-10 DE 75</v>
          </cell>
          <cell r="C7169" t="str">
            <v>m</v>
          </cell>
          <cell r="D7169">
            <v>0</v>
          </cell>
          <cell r="F7169">
            <v>0</v>
          </cell>
        </row>
        <row r="7170">
          <cell r="A7170" t="str">
            <v>268141</v>
          </cell>
          <cell r="B7170" t="str">
            <v>Tubo PEAD PE-100 PN-10 DE 90 (285936)</v>
          </cell>
          <cell r="C7170" t="str">
            <v>m</v>
          </cell>
          <cell r="D7170">
            <v>0</v>
          </cell>
          <cell r="F7170">
            <v>0</v>
          </cell>
        </row>
        <row r="7171">
          <cell r="A7171" t="str">
            <v>268142</v>
          </cell>
          <cell r="B7171" t="str">
            <v>Tubo PEAD PE-100 PN-10 DE 110 (292187)</v>
          </cell>
          <cell r="C7171" t="str">
            <v>m</v>
          </cell>
          <cell r="D7171">
            <v>0</v>
          </cell>
          <cell r="F7171">
            <v>0</v>
          </cell>
        </row>
        <row r="7172">
          <cell r="A7172" t="str">
            <v>268143</v>
          </cell>
          <cell r="B7172" t="str">
            <v>Tubo PEAD PE-100 PN-10 DE 125</v>
          </cell>
          <cell r="C7172" t="str">
            <v>m</v>
          </cell>
          <cell r="D7172">
            <v>0</v>
          </cell>
          <cell r="F7172">
            <v>0</v>
          </cell>
        </row>
        <row r="7173">
          <cell r="A7173" t="str">
            <v>268144</v>
          </cell>
          <cell r="B7173" t="str">
            <v>Tubo PEAD PE-100 PN-10 DE 140</v>
          </cell>
          <cell r="C7173" t="str">
            <v>m</v>
          </cell>
          <cell r="D7173">
            <v>0</v>
          </cell>
          <cell r="F7173">
            <v>0</v>
          </cell>
        </row>
        <row r="7174">
          <cell r="A7174" t="str">
            <v>268145</v>
          </cell>
          <cell r="B7174" t="str">
            <v>Tubo PEAD PE-100 PN-10 DE 160 (284441)</v>
          </cell>
          <cell r="C7174" t="str">
            <v>m</v>
          </cell>
          <cell r="D7174">
            <v>0</v>
          </cell>
          <cell r="F7174">
            <v>0</v>
          </cell>
        </row>
        <row r="7175">
          <cell r="A7175" t="str">
            <v>268146</v>
          </cell>
          <cell r="B7175" t="str">
            <v>Tubo PEAD PE-100 PN-10 DE 180</v>
          </cell>
          <cell r="C7175" t="str">
            <v>m</v>
          </cell>
          <cell r="D7175">
            <v>0</v>
          </cell>
          <cell r="F7175">
            <v>0</v>
          </cell>
        </row>
        <row r="7176">
          <cell r="A7176" t="str">
            <v>268147</v>
          </cell>
          <cell r="B7176" t="str">
            <v>Tubo PEAD PE-100 PN-10 DE 200</v>
          </cell>
          <cell r="C7176" t="str">
            <v>m</v>
          </cell>
          <cell r="D7176">
            <v>0</v>
          </cell>
          <cell r="F7176">
            <v>0</v>
          </cell>
        </row>
        <row r="7177">
          <cell r="A7177" t="str">
            <v>268148</v>
          </cell>
          <cell r="B7177" t="str">
            <v>Tubo PEAD PE-100 PN-10 DE 225 (284443)</v>
          </cell>
          <cell r="C7177" t="str">
            <v>m</v>
          </cell>
          <cell r="D7177">
            <v>0</v>
          </cell>
          <cell r="F7177">
            <v>0</v>
          </cell>
        </row>
        <row r="7178">
          <cell r="A7178" t="str">
            <v>268149</v>
          </cell>
          <cell r="B7178" t="str">
            <v>Tubo PEAD PE-100 PN-10 DE 250</v>
          </cell>
          <cell r="C7178" t="str">
            <v>m</v>
          </cell>
          <cell r="D7178">
            <v>0</v>
          </cell>
          <cell r="F7178">
            <v>0</v>
          </cell>
        </row>
        <row r="7179">
          <cell r="A7179" t="str">
            <v>268150</v>
          </cell>
          <cell r="B7179" t="str">
            <v>Tubo PEAD PE-100 PN-10 DE 280 (43567)</v>
          </cell>
          <cell r="C7179" t="str">
            <v>m</v>
          </cell>
          <cell r="D7179">
            <v>0</v>
          </cell>
          <cell r="F7179">
            <v>0</v>
          </cell>
        </row>
        <row r="7180">
          <cell r="A7180" t="str">
            <v>268151</v>
          </cell>
          <cell r="B7180" t="str">
            <v>Tubo PEAD PE-100 PN-10 DE 315</v>
          </cell>
          <cell r="C7180" t="str">
            <v>m</v>
          </cell>
          <cell r="D7180">
            <v>0</v>
          </cell>
          <cell r="F7180">
            <v>0</v>
          </cell>
        </row>
        <row r="7181">
          <cell r="A7181" t="str">
            <v>268152</v>
          </cell>
          <cell r="B7181" t="str">
            <v>Tubo PEAD PE-100 PN-10 DE 355</v>
          </cell>
          <cell r="C7181" t="str">
            <v>m</v>
          </cell>
          <cell r="D7181">
            <v>0</v>
          </cell>
          <cell r="F7181">
            <v>0</v>
          </cell>
        </row>
        <row r="7182">
          <cell r="A7182" t="str">
            <v>268153</v>
          </cell>
          <cell r="B7182" t="str">
            <v>Tubo PEAD PE-100 PN-10 DE 400</v>
          </cell>
          <cell r="C7182" t="str">
            <v>m</v>
          </cell>
          <cell r="D7182">
            <v>0</v>
          </cell>
          <cell r="F7182">
            <v>0</v>
          </cell>
        </row>
        <row r="7183">
          <cell r="A7183" t="str">
            <v>268154</v>
          </cell>
          <cell r="B7183" t="str">
            <v>Tubo PEAD PE-100 PN-10 DE 450</v>
          </cell>
          <cell r="C7183" t="str">
            <v>m</v>
          </cell>
          <cell r="D7183">
            <v>0</v>
          </cell>
          <cell r="F7183">
            <v>0</v>
          </cell>
        </row>
        <row r="7184">
          <cell r="A7184" t="str">
            <v>268155</v>
          </cell>
          <cell r="B7184" t="str">
            <v>Tubo PEAD PE-100 PN-10 DE 500</v>
          </cell>
          <cell r="C7184" t="str">
            <v>m</v>
          </cell>
          <cell r="D7184">
            <v>0</v>
          </cell>
          <cell r="F7184">
            <v>0</v>
          </cell>
        </row>
        <row r="7185">
          <cell r="A7185" t="str">
            <v>268156</v>
          </cell>
          <cell r="B7185" t="str">
            <v>Tubo PEAD PE-100 PN-10 DE 560</v>
          </cell>
          <cell r="C7185" t="str">
            <v>m</v>
          </cell>
          <cell r="D7185">
            <v>0</v>
          </cell>
          <cell r="F7185">
            <v>0</v>
          </cell>
        </row>
        <row r="7186">
          <cell r="A7186" t="str">
            <v>268157</v>
          </cell>
          <cell r="B7186" t="str">
            <v>Tubo PEAD PE-100 PN-10 DE 630</v>
          </cell>
          <cell r="C7186" t="str">
            <v>m</v>
          </cell>
          <cell r="D7186">
            <v>0</v>
          </cell>
          <cell r="F7186">
            <v>0</v>
          </cell>
        </row>
        <row r="7187">
          <cell r="A7187" t="str">
            <v>268158</v>
          </cell>
          <cell r="B7187" t="str">
            <v>Tubo PEAD PE-100 PN-12,5 DE 63 (292864)</v>
          </cell>
          <cell r="C7187" t="str">
            <v>m</v>
          </cell>
          <cell r="D7187">
            <v>0</v>
          </cell>
          <cell r="F7187">
            <v>0</v>
          </cell>
        </row>
        <row r="7188">
          <cell r="A7188" t="str">
            <v>268159</v>
          </cell>
          <cell r="B7188" t="str">
            <v>Tubo PEAD PE-100 PN-12,5 DE 75</v>
          </cell>
          <cell r="C7188" t="str">
            <v>m</v>
          </cell>
          <cell r="D7188">
            <v>0</v>
          </cell>
          <cell r="F7188">
            <v>0</v>
          </cell>
        </row>
        <row r="7189">
          <cell r="A7189" t="str">
            <v>268160</v>
          </cell>
          <cell r="B7189" t="str">
            <v>Tubo PEAD PE-100 PN-12,5 DE 90</v>
          </cell>
          <cell r="C7189" t="str">
            <v>m</v>
          </cell>
          <cell r="D7189">
            <v>0</v>
          </cell>
          <cell r="F7189">
            <v>0</v>
          </cell>
        </row>
        <row r="7190">
          <cell r="A7190" t="str">
            <v>268161</v>
          </cell>
          <cell r="B7190" t="str">
            <v>Tubo PEAD PE-100 PN-12,5 DE 110</v>
          </cell>
          <cell r="C7190" t="str">
            <v>m</v>
          </cell>
          <cell r="D7190">
            <v>0</v>
          </cell>
          <cell r="F7190">
            <v>0</v>
          </cell>
        </row>
        <row r="7191">
          <cell r="A7191" t="str">
            <v>268162</v>
          </cell>
          <cell r="B7191" t="str">
            <v>Tubo PEAD PE-100 PN-12,5 DE 125</v>
          </cell>
          <cell r="C7191" t="str">
            <v>m</v>
          </cell>
          <cell r="D7191">
            <v>0</v>
          </cell>
          <cell r="F7191">
            <v>0</v>
          </cell>
        </row>
        <row r="7192">
          <cell r="A7192" t="str">
            <v>268163</v>
          </cell>
          <cell r="B7192" t="str">
            <v>Tubo PEAD PE-100 PN-12,5 DE 140</v>
          </cell>
          <cell r="C7192" t="str">
            <v>m</v>
          </cell>
          <cell r="D7192">
            <v>0</v>
          </cell>
          <cell r="F7192">
            <v>0</v>
          </cell>
        </row>
        <row r="7193">
          <cell r="A7193" t="str">
            <v>268164</v>
          </cell>
          <cell r="B7193" t="str">
            <v>Tubo PEAD PE-100 PN-12,5 DE 160 (292523)</v>
          </cell>
          <cell r="C7193" t="str">
            <v>m</v>
          </cell>
          <cell r="D7193">
            <v>0</v>
          </cell>
          <cell r="F7193">
            <v>0</v>
          </cell>
        </row>
        <row r="7194">
          <cell r="A7194" t="str">
            <v>268165</v>
          </cell>
          <cell r="B7194" t="str">
            <v>Tubo PEAD PE-100 PN-12,5 DE 180</v>
          </cell>
          <cell r="C7194" t="str">
            <v>m</v>
          </cell>
          <cell r="D7194">
            <v>0</v>
          </cell>
          <cell r="F7194">
            <v>0</v>
          </cell>
        </row>
        <row r="7195">
          <cell r="A7195" t="str">
            <v>268166</v>
          </cell>
          <cell r="B7195" t="str">
            <v>Tubo PEAD PE-100 PN-12,5 DE 200</v>
          </cell>
          <cell r="C7195" t="str">
            <v>m</v>
          </cell>
          <cell r="D7195">
            <v>0</v>
          </cell>
          <cell r="F7195">
            <v>0</v>
          </cell>
        </row>
        <row r="7196">
          <cell r="A7196" t="str">
            <v>268167</v>
          </cell>
          <cell r="B7196" t="str">
            <v>Tubo PEAD PE-100 PN-12,5 DE 225</v>
          </cell>
          <cell r="C7196" t="str">
            <v>m</v>
          </cell>
          <cell r="D7196">
            <v>0</v>
          </cell>
          <cell r="F7196">
            <v>0</v>
          </cell>
        </row>
        <row r="7197">
          <cell r="A7197" t="str">
            <v>268168</v>
          </cell>
          <cell r="B7197" t="str">
            <v>Tubo PEAD PE-100 PN-12,5 DE 250</v>
          </cell>
          <cell r="C7197" t="str">
            <v>m</v>
          </cell>
          <cell r="D7197">
            <v>0</v>
          </cell>
          <cell r="F7197">
            <v>0</v>
          </cell>
        </row>
        <row r="7198">
          <cell r="A7198" t="str">
            <v>268169</v>
          </cell>
          <cell r="B7198" t="str">
            <v>Tubo PEAD PE-100 PN-12,5 DE 280</v>
          </cell>
          <cell r="C7198" t="str">
            <v>m</v>
          </cell>
          <cell r="D7198">
            <v>0</v>
          </cell>
          <cell r="F7198">
            <v>0</v>
          </cell>
        </row>
        <row r="7199">
          <cell r="A7199" t="str">
            <v>268170</v>
          </cell>
          <cell r="B7199" t="str">
            <v>Tubo PEAD PE-100 PN-12,5 DE 315</v>
          </cell>
          <cell r="C7199" t="str">
            <v>m</v>
          </cell>
          <cell r="D7199">
            <v>0</v>
          </cell>
          <cell r="F7199">
            <v>0</v>
          </cell>
        </row>
        <row r="7200">
          <cell r="A7200" t="str">
            <v>268171</v>
          </cell>
          <cell r="B7200" t="str">
            <v>Tubo PEAD PE-100 PN-12,5 DE 355</v>
          </cell>
          <cell r="C7200" t="str">
            <v>m</v>
          </cell>
          <cell r="D7200">
            <v>0</v>
          </cell>
          <cell r="F7200">
            <v>0</v>
          </cell>
        </row>
        <row r="7201">
          <cell r="A7201" t="str">
            <v>268172</v>
          </cell>
          <cell r="B7201" t="str">
            <v>Tubo PEAD PE-100 PN-12,5 DE 400</v>
          </cell>
          <cell r="C7201" t="str">
            <v>m</v>
          </cell>
          <cell r="D7201">
            <v>0</v>
          </cell>
          <cell r="F7201">
            <v>0</v>
          </cell>
        </row>
        <row r="7202">
          <cell r="A7202" t="str">
            <v>268173</v>
          </cell>
          <cell r="B7202" t="str">
            <v>Tubo PEAD PE-100 PN-12,5 DE 450</v>
          </cell>
          <cell r="C7202" t="str">
            <v>m</v>
          </cell>
          <cell r="D7202">
            <v>0</v>
          </cell>
          <cell r="F7202">
            <v>0</v>
          </cell>
        </row>
        <row r="7203">
          <cell r="A7203" t="str">
            <v>268174</v>
          </cell>
          <cell r="B7203" t="str">
            <v>Tubo PEAD PE-100 PN-12,5 DE 500</v>
          </cell>
          <cell r="C7203" t="str">
            <v>m</v>
          </cell>
          <cell r="D7203">
            <v>0</v>
          </cell>
          <cell r="F7203">
            <v>0</v>
          </cell>
        </row>
        <row r="7204">
          <cell r="A7204" t="str">
            <v>268175</v>
          </cell>
          <cell r="B7204" t="str">
            <v>Tubo PEAD PE-100 PN-12,5 DE 560</v>
          </cell>
          <cell r="C7204" t="str">
            <v>m</v>
          </cell>
          <cell r="D7204">
            <v>0</v>
          </cell>
          <cell r="F7204">
            <v>0</v>
          </cell>
        </row>
        <row r="7205">
          <cell r="A7205" t="str">
            <v>268176</v>
          </cell>
          <cell r="B7205" t="str">
            <v>Tubo PEAD PE-100 PN-12,5 DE 630</v>
          </cell>
          <cell r="C7205" t="str">
            <v>m</v>
          </cell>
          <cell r="D7205">
            <v>0</v>
          </cell>
          <cell r="F7205">
            <v>0</v>
          </cell>
        </row>
        <row r="7206">
          <cell r="A7206" t="str">
            <v>268177</v>
          </cell>
          <cell r="B7206" t="str">
            <v>Tubo PEAD PE-100 PN-16 DE 63</v>
          </cell>
          <cell r="C7206" t="str">
            <v>m</v>
          </cell>
          <cell r="D7206">
            <v>0</v>
          </cell>
          <cell r="F7206">
            <v>0</v>
          </cell>
        </row>
        <row r="7207">
          <cell r="A7207" t="str">
            <v>268178</v>
          </cell>
          <cell r="B7207" t="str">
            <v>Tubo PEAD PE-100 PN-16 DE 75</v>
          </cell>
          <cell r="C7207" t="str">
            <v>m</v>
          </cell>
          <cell r="D7207">
            <v>0</v>
          </cell>
          <cell r="F7207">
            <v>0</v>
          </cell>
        </row>
        <row r="7208">
          <cell r="A7208" t="str">
            <v>268179</v>
          </cell>
          <cell r="B7208" t="str">
            <v>Tubo PEAD PE-100 PN-16 DE 90</v>
          </cell>
          <cell r="C7208" t="str">
            <v>m</v>
          </cell>
          <cell r="D7208">
            <v>0</v>
          </cell>
          <cell r="F7208">
            <v>0</v>
          </cell>
        </row>
        <row r="7209">
          <cell r="A7209" t="str">
            <v>268180</v>
          </cell>
          <cell r="B7209" t="str">
            <v>Tubo PEAD PE-100 PN-16 DE 110</v>
          </cell>
          <cell r="C7209" t="str">
            <v>m</v>
          </cell>
          <cell r="D7209">
            <v>0</v>
          </cell>
          <cell r="F7209">
            <v>0</v>
          </cell>
        </row>
        <row r="7210">
          <cell r="A7210" t="str">
            <v>268181</v>
          </cell>
          <cell r="B7210" t="str">
            <v>Tubo PEAD PE-100 PN-16 DE 125 (292210)</v>
          </cell>
          <cell r="C7210" t="str">
            <v>m</v>
          </cell>
          <cell r="D7210">
            <v>0</v>
          </cell>
          <cell r="F7210">
            <v>0</v>
          </cell>
        </row>
        <row r="7211">
          <cell r="A7211" t="str">
            <v>268182</v>
          </cell>
          <cell r="B7211" t="str">
            <v>Tubo PEAD PE-100 PN-16 DE 140</v>
          </cell>
          <cell r="C7211" t="str">
            <v>m</v>
          </cell>
          <cell r="D7211">
            <v>0</v>
          </cell>
          <cell r="F7211">
            <v>0</v>
          </cell>
        </row>
        <row r="7212">
          <cell r="A7212" t="str">
            <v>268183</v>
          </cell>
          <cell r="B7212" t="str">
            <v>Tubo PEAD PE-100 PN-16 DE 160 (292525)</v>
          </cell>
          <cell r="C7212" t="str">
            <v>m</v>
          </cell>
          <cell r="D7212">
            <v>0</v>
          </cell>
          <cell r="F7212">
            <v>0</v>
          </cell>
        </row>
        <row r="7213">
          <cell r="A7213" t="str">
            <v>268184</v>
          </cell>
          <cell r="B7213" t="str">
            <v>Tubo PEAD PE-100 PN-16 DE 180</v>
          </cell>
          <cell r="C7213" t="str">
            <v>m</v>
          </cell>
          <cell r="D7213">
            <v>0</v>
          </cell>
          <cell r="F7213">
            <v>0</v>
          </cell>
        </row>
        <row r="7214">
          <cell r="A7214" t="str">
            <v>268185</v>
          </cell>
          <cell r="B7214" t="str">
            <v>Tubo PEAD PE-100 PN-16 DE 200</v>
          </cell>
          <cell r="C7214" t="str">
            <v>m</v>
          </cell>
          <cell r="D7214">
            <v>0</v>
          </cell>
          <cell r="F7214">
            <v>0</v>
          </cell>
        </row>
        <row r="7215">
          <cell r="A7215" t="str">
            <v>268186</v>
          </cell>
          <cell r="B7215" t="str">
            <v>Tubo PEAD PE-100 PN-16 DE 225</v>
          </cell>
          <cell r="C7215" t="str">
            <v>m</v>
          </cell>
          <cell r="D7215">
            <v>0</v>
          </cell>
          <cell r="F7215">
            <v>0</v>
          </cell>
        </row>
        <row r="7216">
          <cell r="A7216" t="str">
            <v>268187</v>
          </cell>
          <cell r="B7216" t="str">
            <v>Tubo PEAD PE-100 PN-16 DE 250</v>
          </cell>
          <cell r="C7216" t="str">
            <v>m</v>
          </cell>
          <cell r="D7216">
            <v>0</v>
          </cell>
          <cell r="F7216">
            <v>0</v>
          </cell>
        </row>
        <row r="7217">
          <cell r="A7217" t="str">
            <v>268188</v>
          </cell>
          <cell r="B7217" t="str">
            <v>Tubo PEAD PE-100 PN-16 DE 280</v>
          </cell>
          <cell r="C7217" t="str">
            <v>m</v>
          </cell>
          <cell r="D7217">
            <v>0</v>
          </cell>
          <cell r="F7217">
            <v>0</v>
          </cell>
        </row>
        <row r="7218">
          <cell r="A7218" t="str">
            <v>268189</v>
          </cell>
          <cell r="B7218" t="str">
            <v>Tubo PEAD PE-100 PN-16 DE 315</v>
          </cell>
          <cell r="C7218" t="str">
            <v>m</v>
          </cell>
          <cell r="D7218">
            <v>0</v>
          </cell>
          <cell r="F7218">
            <v>0</v>
          </cell>
        </row>
        <row r="7219">
          <cell r="A7219" t="str">
            <v>268190</v>
          </cell>
          <cell r="B7219" t="str">
            <v>Tubo PEAD PE-100 PN-16 DE 355</v>
          </cell>
          <cell r="C7219" t="str">
            <v>m</v>
          </cell>
          <cell r="D7219">
            <v>0</v>
          </cell>
          <cell r="F7219">
            <v>0</v>
          </cell>
        </row>
        <row r="7220">
          <cell r="A7220" t="str">
            <v>268191</v>
          </cell>
          <cell r="B7220" t="str">
            <v>Tubo PEAD PE-100 PN-16 DE 400</v>
          </cell>
          <cell r="C7220" t="str">
            <v>m</v>
          </cell>
          <cell r="D7220">
            <v>0</v>
          </cell>
          <cell r="F7220">
            <v>0</v>
          </cell>
        </row>
        <row r="7221">
          <cell r="A7221" t="str">
            <v>268192</v>
          </cell>
          <cell r="B7221" t="str">
            <v>Tubo PEAD PE-100 PN-16 DE 450</v>
          </cell>
          <cell r="C7221" t="str">
            <v>m</v>
          </cell>
          <cell r="D7221">
            <v>0</v>
          </cell>
          <cell r="F7221">
            <v>0</v>
          </cell>
        </row>
        <row r="7222">
          <cell r="A7222" t="str">
            <v>268193</v>
          </cell>
          <cell r="B7222" t="str">
            <v>Tubo PEAD PE-100 PN-16 DE 500</v>
          </cell>
          <cell r="C7222" t="str">
            <v>m</v>
          </cell>
          <cell r="D7222">
            <v>0</v>
          </cell>
          <cell r="F7222">
            <v>0</v>
          </cell>
        </row>
        <row r="7223">
          <cell r="A7223" t="str">
            <v>268194</v>
          </cell>
          <cell r="B7223" t="str">
            <v>Tubo PEAD PE-100 PN-16 DE 560 (293398)</v>
          </cell>
          <cell r="C7223" t="str">
            <v>m</v>
          </cell>
          <cell r="D7223">
            <v>0</v>
          </cell>
          <cell r="F7223">
            <v>0</v>
          </cell>
        </row>
        <row r="7224">
          <cell r="A7224" t="str">
            <v>268195</v>
          </cell>
          <cell r="B7224" t="str">
            <v>Tubo PEAD PE-100 PN-16 DE 630</v>
          </cell>
          <cell r="C7224" t="str">
            <v>m</v>
          </cell>
          <cell r="D7224">
            <v>0</v>
          </cell>
          <cell r="F7224">
            <v>0</v>
          </cell>
        </row>
        <row r="7225">
          <cell r="A7225" t="str">
            <v>27</v>
          </cell>
          <cell r="B7225" t="str">
            <v>MATERIAIS DIVERSOS CONF. ESPECIFICAÇÃO</v>
          </cell>
        </row>
        <row r="7226">
          <cell r="A7226" t="str">
            <v>2710</v>
          </cell>
          <cell r="B7226" t="str">
            <v>MANÔMETRO E ACESSÓRIOS</v>
          </cell>
        </row>
        <row r="7227">
          <cell r="A7227" t="str">
            <v>271001</v>
          </cell>
          <cell r="B7227" t="str">
            <v>Manômetro 0 à   4 kgf/cm²    60 mm rosca BSP 1/4"</v>
          </cell>
          <cell r="C7227" t="str">
            <v>ud</v>
          </cell>
          <cell r="D7227">
            <v>0</v>
          </cell>
        </row>
        <row r="7228">
          <cell r="A7228" t="str">
            <v>271002</v>
          </cell>
          <cell r="B7228" t="str">
            <v xml:space="preserve">Manômetro 0 à   7 kgf/cm²    60 mm rosca BSP 1/4" </v>
          </cell>
          <cell r="C7228" t="str">
            <v>ud</v>
          </cell>
          <cell r="D7228">
            <v>0</v>
          </cell>
        </row>
        <row r="7229">
          <cell r="A7229" t="str">
            <v>271003</v>
          </cell>
          <cell r="B7229" t="str">
            <v>Manômetro 0 à 10 kgf/cm²    60 mm rosca BSP 1/4"</v>
          </cell>
          <cell r="C7229" t="str">
            <v>ud</v>
          </cell>
          <cell r="D7229">
            <v>0</v>
          </cell>
        </row>
        <row r="7230">
          <cell r="A7230" t="str">
            <v>271004</v>
          </cell>
          <cell r="B7230" t="str">
            <v>Manômetro 0 à 15 kgf/cm²    60 mm rosca BSP 1/2"</v>
          </cell>
          <cell r="C7230" t="str">
            <v>ud</v>
          </cell>
          <cell r="D7230">
            <v>0</v>
          </cell>
        </row>
        <row r="7231">
          <cell r="A7231" t="str">
            <v>271005</v>
          </cell>
          <cell r="B7231" t="str">
            <v>Manômetro 0 à 20 kgf/cm²    60 mm rosca BSP 1/2"</v>
          </cell>
          <cell r="C7231" t="str">
            <v>ud</v>
          </cell>
          <cell r="D7231">
            <v>0</v>
          </cell>
        </row>
        <row r="7232">
          <cell r="A7232" t="str">
            <v>271006</v>
          </cell>
          <cell r="B7232" t="str">
            <v>Manômetro 0 à 25 kgf/cm²  100 mm rosca BSP 1/2"</v>
          </cell>
          <cell r="C7232" t="str">
            <v>ud</v>
          </cell>
          <cell r="D7232">
            <v>0</v>
          </cell>
        </row>
        <row r="7233">
          <cell r="A7233" t="str">
            <v>271007</v>
          </cell>
          <cell r="B7233" t="str">
            <v>Manômetro 0 à 30 kgf/cm²  100 mm rosca BSP 1/2"</v>
          </cell>
          <cell r="C7233" t="str">
            <v>ud</v>
          </cell>
          <cell r="D7233">
            <v>0</v>
          </cell>
        </row>
        <row r="7234">
          <cell r="A7234" t="str">
            <v>271008</v>
          </cell>
          <cell r="B7234" t="str">
            <v xml:space="preserve">Manômetro 0 à 40 kgf/cm²  100 mm rosca BSP 1/2" </v>
          </cell>
          <cell r="C7234" t="str">
            <v>ud</v>
          </cell>
          <cell r="D7234">
            <v>0</v>
          </cell>
        </row>
        <row r="7235">
          <cell r="A7235" t="str">
            <v>271009</v>
          </cell>
          <cell r="B7235" t="str">
            <v>Manômetro 0 à 50 kgf/cm²  100 mm rosca BSP 1/2"</v>
          </cell>
          <cell r="C7235" t="str">
            <v>ud</v>
          </cell>
          <cell r="D7235">
            <v>0</v>
          </cell>
        </row>
        <row r="7236">
          <cell r="A7236" t="str">
            <v>271010</v>
          </cell>
          <cell r="B7236" t="str">
            <v>Registro para manômetro rosca BSP interna/externa 1/2"</v>
          </cell>
          <cell r="C7236" t="str">
            <v>ud</v>
          </cell>
          <cell r="D7236">
            <v>0</v>
          </cell>
        </row>
        <row r="7237">
          <cell r="A7237" t="str">
            <v>271011</v>
          </cell>
          <cell r="B7237" t="str">
            <v>Registro para manômetro rosca BSP interna/externa 1/4"</v>
          </cell>
          <cell r="C7237" t="str">
            <v>ud</v>
          </cell>
          <cell r="D7237">
            <v>0</v>
          </cell>
        </row>
        <row r="7238">
          <cell r="A7238" t="str">
            <v>2750</v>
          </cell>
          <cell r="B7238" t="str">
            <v>VENTOSA</v>
          </cell>
        </row>
        <row r="7239">
          <cell r="A7239" t="str">
            <v>275001</v>
          </cell>
          <cell r="B7239" t="str">
            <v>Ventosa simples com flange PN-10 DN 50</v>
          </cell>
          <cell r="C7239" t="str">
            <v>ud</v>
          </cell>
          <cell r="D7239">
            <v>0</v>
          </cell>
          <cell r="F7239">
            <v>0</v>
          </cell>
        </row>
        <row r="7240">
          <cell r="A7240" t="str">
            <v>275002</v>
          </cell>
          <cell r="B7240" t="str">
            <v>Ventosa simples com flange PN-10 DN 75/80</v>
          </cell>
          <cell r="C7240" t="str">
            <v>ud</v>
          </cell>
          <cell r="D7240">
            <v>0</v>
          </cell>
          <cell r="F7240">
            <v>0</v>
          </cell>
        </row>
        <row r="7241">
          <cell r="A7241" t="str">
            <v>275003</v>
          </cell>
          <cell r="B7241" t="str">
            <v>Ventosa simples com flange PN-10 DN 100</v>
          </cell>
          <cell r="C7241" t="str">
            <v>ud</v>
          </cell>
          <cell r="D7241">
            <v>0</v>
          </cell>
          <cell r="F7241">
            <v>0</v>
          </cell>
        </row>
        <row r="7242">
          <cell r="A7242" t="str">
            <v>275006</v>
          </cell>
          <cell r="B7242" t="str">
            <v>Ventosa simples com flange PN-16 DN 50</v>
          </cell>
          <cell r="C7242" t="str">
            <v>ud</v>
          </cell>
          <cell r="D7242">
            <v>0</v>
          </cell>
          <cell r="F7242">
            <v>0</v>
          </cell>
        </row>
        <row r="7243">
          <cell r="A7243" t="str">
            <v>275007</v>
          </cell>
          <cell r="B7243" t="str">
            <v>Ventosa simples com flange PN-16 DN 75/80</v>
          </cell>
          <cell r="C7243" t="str">
            <v>ud</v>
          </cell>
          <cell r="D7243">
            <v>0</v>
          </cell>
          <cell r="F7243">
            <v>0</v>
          </cell>
        </row>
        <row r="7244">
          <cell r="A7244" t="str">
            <v>275008</v>
          </cell>
          <cell r="B7244" t="str">
            <v>Ventosa simples com flange PN-16 DN 100</v>
          </cell>
          <cell r="C7244" t="str">
            <v>ud</v>
          </cell>
          <cell r="D7244">
            <v>0</v>
          </cell>
          <cell r="F7244">
            <v>0</v>
          </cell>
        </row>
        <row r="7245">
          <cell r="A7245" t="str">
            <v>275011</v>
          </cell>
          <cell r="B7245" t="str">
            <v>Ventosa simples com flange PN-25 DN 50</v>
          </cell>
          <cell r="C7245" t="str">
            <v>ud</v>
          </cell>
          <cell r="D7245">
            <v>0</v>
          </cell>
          <cell r="F7245">
            <v>0</v>
          </cell>
        </row>
        <row r="7246">
          <cell r="A7246" t="str">
            <v>275012</v>
          </cell>
          <cell r="B7246" t="str">
            <v>Ventosa simples com flange PN-25 DN 75/80</v>
          </cell>
          <cell r="C7246" t="str">
            <v>ud</v>
          </cell>
          <cell r="D7246">
            <v>0</v>
          </cell>
          <cell r="F7246">
            <v>0</v>
          </cell>
        </row>
        <row r="7247">
          <cell r="A7247" t="str">
            <v>275013</v>
          </cell>
          <cell r="B7247" t="str">
            <v>Ventosa simples com flange PN-25 DN 100</v>
          </cell>
          <cell r="C7247" t="str">
            <v>ud</v>
          </cell>
          <cell r="D7247">
            <v>0</v>
          </cell>
          <cell r="F7247">
            <v>0</v>
          </cell>
        </row>
        <row r="7248">
          <cell r="A7248" t="str">
            <v>275021</v>
          </cell>
          <cell r="B7248" t="str">
            <v>Ventosa simples com rosca BSP DN 3/4"</v>
          </cell>
          <cell r="C7248" t="str">
            <v>ud</v>
          </cell>
          <cell r="D7248">
            <v>0</v>
          </cell>
          <cell r="F7248">
            <v>0</v>
          </cell>
        </row>
        <row r="7249">
          <cell r="A7249" t="str">
            <v>275022</v>
          </cell>
          <cell r="B7249" t="str">
            <v>Ventosa simples com rosca BSP DN 1"</v>
          </cell>
          <cell r="C7249" t="str">
            <v>ud</v>
          </cell>
          <cell r="D7249">
            <v>0</v>
          </cell>
          <cell r="F7249">
            <v>0</v>
          </cell>
        </row>
        <row r="7250">
          <cell r="A7250" t="str">
            <v>275023</v>
          </cell>
          <cell r="B7250" t="str">
            <v>Ventosa simples com rosca BSP DN 1 1/4"</v>
          </cell>
          <cell r="C7250" t="str">
            <v>ud</v>
          </cell>
          <cell r="D7250">
            <v>0</v>
          </cell>
          <cell r="F7250">
            <v>0</v>
          </cell>
        </row>
        <row r="7251">
          <cell r="A7251" t="str">
            <v>275024</v>
          </cell>
          <cell r="B7251" t="str">
            <v>Ventosa simples com rosca BSP DN 1 1/2"</v>
          </cell>
          <cell r="C7251" t="str">
            <v>ud</v>
          </cell>
          <cell r="D7251">
            <v>0</v>
          </cell>
          <cell r="F7251">
            <v>0</v>
          </cell>
        </row>
        <row r="7252">
          <cell r="A7252" t="str">
            <v>275025</v>
          </cell>
          <cell r="B7252" t="str">
            <v>Ventosa simples com rosca BSP DN 2"</v>
          </cell>
          <cell r="C7252" t="str">
            <v>ud</v>
          </cell>
          <cell r="D7252">
            <v>0</v>
          </cell>
          <cell r="F7252">
            <v>0</v>
          </cell>
        </row>
        <row r="7253">
          <cell r="A7253" t="str">
            <v>275028</v>
          </cell>
          <cell r="B7253" t="str">
            <v>Ventosa triplice função com flange PN-10 DN 50</v>
          </cell>
          <cell r="C7253" t="str">
            <v>ud</v>
          </cell>
          <cell r="D7253">
            <v>0</v>
          </cell>
          <cell r="F7253">
            <v>0</v>
          </cell>
        </row>
        <row r="7254">
          <cell r="A7254" t="str">
            <v>275029</v>
          </cell>
          <cell r="B7254" t="str">
            <v>Ventosa triplice função com flange PN-10 DN 75/80</v>
          </cell>
          <cell r="C7254" t="str">
            <v>ud</v>
          </cell>
          <cell r="D7254">
            <v>0</v>
          </cell>
          <cell r="F7254">
            <v>0</v>
          </cell>
        </row>
        <row r="7255">
          <cell r="A7255" t="str">
            <v>275030</v>
          </cell>
          <cell r="B7255" t="str">
            <v>Ventosa triplice função com flange PN-10 DN 100</v>
          </cell>
          <cell r="C7255" t="str">
            <v>ud</v>
          </cell>
          <cell r="D7255">
            <v>0</v>
          </cell>
          <cell r="F7255">
            <v>0</v>
          </cell>
        </row>
        <row r="7256">
          <cell r="A7256" t="str">
            <v>275031</v>
          </cell>
          <cell r="B7256" t="str">
            <v>Ventosa triplice função com flange PN-10 DN 150</v>
          </cell>
          <cell r="C7256" t="str">
            <v>ud</v>
          </cell>
          <cell r="D7256">
            <v>0</v>
          </cell>
          <cell r="F7256">
            <v>0</v>
          </cell>
        </row>
        <row r="7257">
          <cell r="A7257" t="str">
            <v>275032</v>
          </cell>
          <cell r="B7257" t="str">
            <v>Ventosa triplice função com flange PN-10 DN 200</v>
          </cell>
          <cell r="C7257" t="str">
            <v>ud</v>
          </cell>
          <cell r="D7257">
            <v>0</v>
          </cell>
          <cell r="F7257">
            <v>0</v>
          </cell>
        </row>
        <row r="7258">
          <cell r="A7258" t="str">
            <v>275035</v>
          </cell>
          <cell r="B7258" t="str">
            <v>Ventosa triplice função com flange PN-16 DN 50</v>
          </cell>
          <cell r="C7258" t="str">
            <v>ud</v>
          </cell>
          <cell r="D7258">
            <v>0</v>
          </cell>
          <cell r="F7258">
            <v>0</v>
          </cell>
        </row>
        <row r="7259">
          <cell r="A7259" t="str">
            <v>275036</v>
          </cell>
          <cell r="B7259" t="str">
            <v>Ventosa triplice função com flange PN-16 DN 75/80</v>
          </cell>
          <cell r="C7259" t="str">
            <v>ud</v>
          </cell>
          <cell r="D7259">
            <v>0</v>
          </cell>
          <cell r="F7259">
            <v>0</v>
          </cell>
        </row>
        <row r="7260">
          <cell r="A7260" t="str">
            <v>275037</v>
          </cell>
          <cell r="B7260" t="str">
            <v>Ventosa triplice função com flange PN-16 DN 100</v>
          </cell>
          <cell r="C7260" t="str">
            <v>ud</v>
          </cell>
          <cell r="D7260">
            <v>0</v>
          </cell>
          <cell r="F7260">
            <v>0</v>
          </cell>
        </row>
        <row r="7261">
          <cell r="A7261" t="str">
            <v>275038</v>
          </cell>
          <cell r="B7261" t="str">
            <v>Ventosa triplice função com flange PN-16 DN 150</v>
          </cell>
          <cell r="C7261" t="str">
            <v>ud</v>
          </cell>
          <cell r="D7261">
            <v>0</v>
          </cell>
          <cell r="F7261">
            <v>0</v>
          </cell>
        </row>
        <row r="7262">
          <cell r="A7262" t="str">
            <v>275039</v>
          </cell>
          <cell r="B7262" t="str">
            <v>Ventosa triplice função com flange PN-16 DN 200</v>
          </cell>
          <cell r="C7262" t="str">
            <v>ud</v>
          </cell>
          <cell r="D7262">
            <v>0</v>
          </cell>
          <cell r="F7262">
            <v>0</v>
          </cell>
        </row>
        <row r="7263">
          <cell r="A7263" t="str">
            <v>275042</v>
          </cell>
          <cell r="B7263" t="str">
            <v>Ventosa triplice função com flange PN-25 DN 50</v>
          </cell>
          <cell r="C7263" t="str">
            <v>ud</v>
          </cell>
          <cell r="D7263">
            <v>0</v>
          </cell>
          <cell r="F7263">
            <v>0</v>
          </cell>
        </row>
        <row r="7264">
          <cell r="A7264" t="str">
            <v>275043</v>
          </cell>
          <cell r="B7264" t="str">
            <v>Ventosa triplice função com flange PN-25 DN 75/80</v>
          </cell>
          <cell r="C7264" t="str">
            <v>ud</v>
          </cell>
          <cell r="D7264">
            <v>0</v>
          </cell>
          <cell r="F7264">
            <v>0</v>
          </cell>
        </row>
        <row r="7265">
          <cell r="A7265" t="str">
            <v>275044</v>
          </cell>
          <cell r="B7265" t="str">
            <v>Ventosa triplice função com flange PN-25 DN 100</v>
          </cell>
          <cell r="C7265" t="str">
            <v>ud</v>
          </cell>
          <cell r="D7265">
            <v>0</v>
          </cell>
          <cell r="F7265">
            <v>0</v>
          </cell>
        </row>
        <row r="7266">
          <cell r="A7266" t="str">
            <v>275045</v>
          </cell>
          <cell r="B7266" t="str">
            <v>Ventosa triplice função com flange PN-25 DN 150</v>
          </cell>
          <cell r="C7266" t="str">
            <v>ud</v>
          </cell>
          <cell r="D7266">
            <v>0</v>
          </cell>
          <cell r="F7266">
            <v>0</v>
          </cell>
        </row>
        <row r="7267">
          <cell r="A7267" t="str">
            <v>275046</v>
          </cell>
          <cell r="B7267" t="str">
            <v>Ventosa triplice função com flange PN-25 DN 200</v>
          </cell>
          <cell r="C7267" t="str">
            <v>ud</v>
          </cell>
          <cell r="D7267">
            <v>0</v>
          </cell>
          <cell r="F7267">
            <v>0</v>
          </cell>
        </row>
        <row r="7268">
          <cell r="A7268" t="str">
            <v>28</v>
          </cell>
          <cell r="B7268" t="str">
            <v>REGISTROS E VÁLVULAS DE BRONZE</v>
          </cell>
        </row>
        <row r="7269">
          <cell r="A7269" t="str">
            <v>2801</v>
          </cell>
          <cell r="B7269" t="str">
            <v>REGISTRO DE GAVETA BRONZE</v>
          </cell>
        </row>
        <row r="7270">
          <cell r="A7270" t="str">
            <v>280101</v>
          </cell>
          <cell r="B7270" t="str">
            <v>Registro de gaveta EB 387 PB 145 CL 125 rosca BSP Ø 1/4"</v>
          </cell>
          <cell r="C7270" t="str">
            <v>ud</v>
          </cell>
          <cell r="D7270">
            <v>0</v>
          </cell>
        </row>
        <row r="7271">
          <cell r="A7271" t="str">
            <v>280102</v>
          </cell>
          <cell r="B7271" t="str">
            <v>Registro de gaveta EB 387 PB 145 CL 125 rosca BSP Ø 1/2"</v>
          </cell>
          <cell r="C7271" t="str">
            <v>ud</v>
          </cell>
          <cell r="D7271">
            <v>0</v>
          </cell>
        </row>
        <row r="7272">
          <cell r="A7272" t="str">
            <v>280103</v>
          </cell>
          <cell r="B7272" t="str">
            <v>Registro de gaveta EB 387 PB 145 CL 125 rosca BSP Ø 3/4"</v>
          </cell>
          <cell r="C7272" t="str">
            <v>ud</v>
          </cell>
          <cell r="D7272">
            <v>0</v>
          </cell>
        </row>
        <row r="7273">
          <cell r="A7273" t="str">
            <v>280104</v>
          </cell>
          <cell r="B7273" t="str">
            <v>Registro de gaveta EB 387 PB 145 CL 125 rosca BSP Ø 1"</v>
          </cell>
          <cell r="C7273" t="str">
            <v>ud</v>
          </cell>
          <cell r="D7273">
            <v>0</v>
          </cell>
        </row>
        <row r="7274">
          <cell r="A7274" t="str">
            <v>280105</v>
          </cell>
          <cell r="B7274" t="str">
            <v>Registro de gaveta EB 387 PB 145 CL 125 rosca BSP Ø 1 1/4"</v>
          </cell>
          <cell r="C7274" t="str">
            <v>ud</v>
          </cell>
          <cell r="D7274">
            <v>0</v>
          </cell>
        </row>
        <row r="7275">
          <cell r="A7275" t="str">
            <v>280106</v>
          </cell>
          <cell r="B7275" t="str">
            <v>Registro de gaveta EB 387 PB 145 CL 125 rosca BSP Ø 1 1/2"</v>
          </cell>
          <cell r="C7275" t="str">
            <v>ud</v>
          </cell>
          <cell r="D7275">
            <v>0</v>
          </cell>
        </row>
        <row r="7276">
          <cell r="A7276" t="str">
            <v>280107</v>
          </cell>
          <cell r="B7276" t="str">
            <v>Registro de gaveta EB 387 PB 145 CL 125 rosca BSP Ø 2"</v>
          </cell>
          <cell r="C7276" t="str">
            <v>ud</v>
          </cell>
          <cell r="D7276">
            <v>0</v>
          </cell>
        </row>
        <row r="7277">
          <cell r="A7277" t="str">
            <v>280108</v>
          </cell>
          <cell r="B7277" t="str">
            <v>Registro de gaveta EB 387 PB 145 CL 125 rosca BSP Ø 2 1/2"</v>
          </cell>
          <cell r="C7277" t="str">
            <v>ud</v>
          </cell>
          <cell r="D7277">
            <v>0</v>
          </cell>
        </row>
        <row r="7278">
          <cell r="A7278" t="str">
            <v>280109</v>
          </cell>
          <cell r="B7278" t="str">
            <v>Registro de gaveta EB 387 PB 145 CL 125 rosca BSP Ø 3"</v>
          </cell>
          <cell r="C7278" t="str">
            <v>ud</v>
          </cell>
          <cell r="D7278">
            <v>0</v>
          </cell>
        </row>
        <row r="7279">
          <cell r="A7279" t="str">
            <v>280110</v>
          </cell>
          <cell r="B7279" t="str">
            <v>Registro de gaveta EB 387 PB 145 CL 125 rosca BSP Ø 4"</v>
          </cell>
          <cell r="C7279" t="str">
            <v>ud</v>
          </cell>
          <cell r="D7279">
            <v>0</v>
          </cell>
        </row>
        <row r="7280">
          <cell r="A7280" t="str">
            <v>280111</v>
          </cell>
          <cell r="B7280" t="str">
            <v>Registro de gaveta EB 387 PB 145 CL 125 rosca BSP Ø 5"</v>
          </cell>
          <cell r="C7280" t="str">
            <v>ud</v>
          </cell>
          <cell r="D7280">
            <v>0</v>
          </cell>
        </row>
        <row r="7281">
          <cell r="A7281" t="str">
            <v>280112</v>
          </cell>
          <cell r="B7281" t="str">
            <v>Registro de gaveta EB 387 PB 145 CL 125 rosca BSP Ø 6"</v>
          </cell>
          <cell r="C7281" t="str">
            <v>ud</v>
          </cell>
          <cell r="D7281">
            <v>0</v>
          </cell>
        </row>
        <row r="7282">
          <cell r="A7282" t="str">
            <v>2802</v>
          </cell>
          <cell r="B7282" t="str">
            <v>REGISTRO GLOBO BRONZE</v>
          </cell>
        </row>
        <row r="7283">
          <cell r="A7283" t="str">
            <v>280201</v>
          </cell>
          <cell r="B7283" t="str">
            <v>Registro Globo CL 125 rosca BSP Ø 1/4"</v>
          </cell>
          <cell r="C7283" t="str">
            <v>ud</v>
          </cell>
          <cell r="D7283">
            <v>0</v>
          </cell>
        </row>
        <row r="7284">
          <cell r="A7284" t="str">
            <v>280202</v>
          </cell>
          <cell r="B7284" t="str">
            <v>Registro Globo CL 125 rosca BSP Ø 1/2"</v>
          </cell>
          <cell r="C7284" t="str">
            <v>ud</v>
          </cell>
          <cell r="D7284">
            <v>0</v>
          </cell>
        </row>
        <row r="7285">
          <cell r="A7285" t="str">
            <v>280203</v>
          </cell>
          <cell r="B7285" t="str">
            <v>Registro Globo CL 125 rosca BSP Ø 3/4"</v>
          </cell>
          <cell r="C7285" t="str">
            <v>ud</v>
          </cell>
          <cell r="D7285">
            <v>0</v>
          </cell>
        </row>
        <row r="7286">
          <cell r="A7286" t="str">
            <v>280204</v>
          </cell>
          <cell r="B7286" t="str">
            <v>Registro Globo CL 125 rosca BSP Ø 1"</v>
          </cell>
          <cell r="C7286" t="str">
            <v>ud</v>
          </cell>
          <cell r="D7286">
            <v>0</v>
          </cell>
        </row>
        <row r="7287">
          <cell r="A7287" t="str">
            <v>280205</v>
          </cell>
          <cell r="B7287" t="str">
            <v>Registro Globo CL 125 rosca BSP Ø 1 1/4"</v>
          </cell>
          <cell r="C7287" t="str">
            <v>ud</v>
          </cell>
          <cell r="D7287">
            <v>0</v>
          </cell>
        </row>
        <row r="7288">
          <cell r="A7288" t="str">
            <v>280206</v>
          </cell>
          <cell r="B7288" t="str">
            <v>Registro Globo CL 125 rosca BSP Ø 1 1/2"</v>
          </cell>
          <cell r="C7288" t="str">
            <v>ud</v>
          </cell>
          <cell r="D7288">
            <v>0</v>
          </cell>
        </row>
        <row r="7289">
          <cell r="A7289" t="str">
            <v>280207</v>
          </cell>
          <cell r="B7289" t="str">
            <v>Registro Globo CL 125 rosca BSP Ø 2"</v>
          </cell>
          <cell r="C7289" t="str">
            <v>ud</v>
          </cell>
          <cell r="D7289">
            <v>0</v>
          </cell>
          <cell r="E7289">
            <v>0</v>
          </cell>
          <cell r="F7289">
            <v>0</v>
          </cell>
        </row>
        <row r="7290">
          <cell r="A7290" t="str">
            <v>280208</v>
          </cell>
          <cell r="B7290" t="str">
            <v>Registro Globo CL 125 rosca BSP Ø 2 1/2"</v>
          </cell>
          <cell r="C7290" t="str">
            <v>ud</v>
          </cell>
          <cell r="D7290">
            <v>0</v>
          </cell>
        </row>
        <row r="7291">
          <cell r="A7291" t="str">
            <v>280209</v>
          </cell>
          <cell r="B7291" t="str">
            <v>Registro Globo CL 125 rosca BSP Ø 3"</v>
          </cell>
          <cell r="C7291" t="str">
            <v>ud</v>
          </cell>
          <cell r="D7291">
            <v>0</v>
          </cell>
        </row>
        <row r="7292">
          <cell r="A7292" t="str">
            <v>280210</v>
          </cell>
          <cell r="B7292" t="str">
            <v>Registro Globo CL 125 rosca BSP Ø 4"</v>
          </cell>
          <cell r="C7292" t="str">
            <v>ud</v>
          </cell>
          <cell r="D7292">
            <v>0</v>
          </cell>
        </row>
        <row r="7293">
          <cell r="A7293" t="str">
            <v>280211</v>
          </cell>
          <cell r="B7293" t="str">
            <v>Registro Globo tipo agulha rosca BSP Ø 1/4" conforme especificação</v>
          </cell>
          <cell r="C7293" t="str">
            <v>ud</v>
          </cell>
          <cell r="D7293">
            <v>0</v>
          </cell>
        </row>
        <row r="7294">
          <cell r="A7294" t="str">
            <v>280212</v>
          </cell>
          <cell r="B7294" t="str">
            <v>Registro Globo tipo agulha rosca BSP Ø 1/2" conforme especificação</v>
          </cell>
          <cell r="C7294" t="str">
            <v>ud</v>
          </cell>
          <cell r="D7294">
            <v>0</v>
          </cell>
        </row>
        <row r="7295">
          <cell r="A7295" t="str">
            <v>280213</v>
          </cell>
          <cell r="B7295" t="str">
            <v>Registro Globo tipo agulha rosca BSP Ø 3/8" conforme especificação</v>
          </cell>
          <cell r="C7295" t="str">
            <v>ud</v>
          </cell>
          <cell r="D7295">
            <v>0</v>
          </cell>
        </row>
        <row r="7296">
          <cell r="A7296" t="str">
            <v>280214</v>
          </cell>
          <cell r="B7296" t="str">
            <v>Registro Globo tipo agulha rosca BSP Ø 1" conforme especificação</v>
          </cell>
          <cell r="C7296" t="str">
            <v>ud</v>
          </cell>
          <cell r="D7296">
            <v>0</v>
          </cell>
        </row>
        <row r="7297">
          <cell r="A7297" t="str">
            <v>280215</v>
          </cell>
          <cell r="B7297" t="str">
            <v>Registro Globo tipo agulha rosca BSP Ø 1 1/2" conforme especificação</v>
          </cell>
          <cell r="C7297" t="str">
            <v>ud</v>
          </cell>
          <cell r="D7297">
            <v>0</v>
          </cell>
        </row>
        <row r="7298">
          <cell r="A7298" t="str">
            <v>2803</v>
          </cell>
          <cell r="B7298" t="str">
            <v>VÁLVULA BRONZE COM PONTA DE AGULHA</v>
          </cell>
        </row>
        <row r="7299">
          <cell r="A7299" t="str">
            <v>280301</v>
          </cell>
          <cell r="B7299" t="str">
            <v>Válvula com ponta de agulha  Ø 1/4"</v>
          </cell>
          <cell r="C7299" t="str">
            <v>ud</v>
          </cell>
          <cell r="D7299">
            <v>0</v>
          </cell>
        </row>
        <row r="7300">
          <cell r="A7300" t="str">
            <v>280302</v>
          </cell>
          <cell r="B7300" t="str">
            <v>Válvula com ponta de agulha  Ø 1/2"</v>
          </cell>
          <cell r="C7300" t="str">
            <v>ud</v>
          </cell>
          <cell r="D7300">
            <v>0</v>
          </cell>
        </row>
        <row r="7301">
          <cell r="A7301" t="str">
            <v>280303</v>
          </cell>
          <cell r="B7301" t="str">
            <v>Válvula com ponta de agulha  Ø 3/4"</v>
          </cell>
          <cell r="C7301" t="str">
            <v>ud</v>
          </cell>
          <cell r="D7301">
            <v>0</v>
          </cell>
        </row>
        <row r="7302">
          <cell r="A7302" t="str">
            <v>280304</v>
          </cell>
          <cell r="B7302" t="str">
            <v>Válvula com ponta de agulha  Ø 1"</v>
          </cell>
          <cell r="C7302" t="str">
            <v>ud</v>
          </cell>
          <cell r="D7302">
            <v>0</v>
          </cell>
        </row>
        <row r="7303">
          <cell r="A7303" t="str">
            <v>280305</v>
          </cell>
          <cell r="B7303" t="str">
            <v>Válvula com ponta de agulha  Ø 1 1/2"</v>
          </cell>
          <cell r="C7303" t="str">
            <v>ud</v>
          </cell>
          <cell r="D7303">
            <v>0</v>
          </cell>
        </row>
        <row r="7304">
          <cell r="A7304" t="str">
            <v>280306</v>
          </cell>
          <cell r="B7304" t="str">
            <v>Válvula com ponta de agulha  Ø 2"</v>
          </cell>
          <cell r="C7304" t="str">
            <v>ud</v>
          </cell>
          <cell r="D7304">
            <v>0</v>
          </cell>
        </row>
        <row r="7305">
          <cell r="A7305" t="str">
            <v>2804</v>
          </cell>
          <cell r="B7305" t="str">
            <v>VÁLVULA PÉ COM CRIVO BRONZE</v>
          </cell>
        </row>
        <row r="7306">
          <cell r="A7306" t="str">
            <v>280401</v>
          </cell>
          <cell r="B7306" t="str">
            <v>Válvula pé com crivo  Ø 1"</v>
          </cell>
          <cell r="C7306" t="str">
            <v>ud</v>
          </cell>
          <cell r="D7306">
            <v>0</v>
          </cell>
        </row>
        <row r="7307">
          <cell r="A7307" t="str">
            <v>280402</v>
          </cell>
          <cell r="B7307" t="str">
            <v>Válvula pé com crivo  Ø 1 1/2"</v>
          </cell>
          <cell r="C7307" t="str">
            <v>ud</v>
          </cell>
          <cell r="D7307">
            <v>0</v>
          </cell>
        </row>
        <row r="7308">
          <cell r="A7308" t="str">
            <v>280403</v>
          </cell>
          <cell r="B7308" t="str">
            <v>Válvula pé com crivo  Ø 2"</v>
          </cell>
          <cell r="C7308" t="str">
            <v>ud</v>
          </cell>
          <cell r="D7308">
            <v>0</v>
          </cell>
        </row>
        <row r="7309">
          <cell r="A7309" t="str">
            <v>280404</v>
          </cell>
          <cell r="B7309" t="str">
            <v>Válvula pé com crivo  Ø 2 1/2"</v>
          </cell>
          <cell r="C7309" t="str">
            <v>ud</v>
          </cell>
          <cell r="D7309">
            <v>0</v>
          </cell>
        </row>
        <row r="7310">
          <cell r="A7310" t="str">
            <v>280405</v>
          </cell>
          <cell r="B7310" t="str">
            <v>Válvula pé com crivo  Ø 3"</v>
          </cell>
          <cell r="C7310" t="str">
            <v>ud</v>
          </cell>
          <cell r="D7310">
            <v>0</v>
          </cell>
        </row>
        <row r="7311">
          <cell r="A7311" t="str">
            <v>280406</v>
          </cell>
          <cell r="B7311" t="str">
            <v>Válvula pé com crivo  Ø 4"</v>
          </cell>
          <cell r="C7311" t="str">
            <v>ud</v>
          </cell>
          <cell r="D7311">
            <v>0</v>
          </cell>
        </row>
        <row r="7312">
          <cell r="A7312" t="str">
            <v>2805</v>
          </cell>
          <cell r="B7312" t="str">
            <v>VÁLVULA DE RETENÇÃO BRONZE</v>
          </cell>
        </row>
        <row r="7313">
          <cell r="A7313" t="str">
            <v>280501</v>
          </cell>
          <cell r="B7313" t="str">
            <v>Válvula de retenção horizontal  Ø 3/4"</v>
          </cell>
          <cell r="C7313" t="str">
            <v>ud</v>
          </cell>
          <cell r="D7313">
            <v>0</v>
          </cell>
        </row>
        <row r="7314">
          <cell r="A7314" t="str">
            <v>280502</v>
          </cell>
          <cell r="B7314" t="str">
            <v>Válvula de retenção horizontal  Ø 1"</v>
          </cell>
          <cell r="C7314" t="str">
            <v>ud</v>
          </cell>
          <cell r="D7314">
            <v>0</v>
          </cell>
        </row>
        <row r="7315">
          <cell r="A7315" t="str">
            <v>280503</v>
          </cell>
          <cell r="B7315" t="str">
            <v>Válvula de retenção horizontal  Ø 1 1/2"</v>
          </cell>
          <cell r="C7315" t="str">
            <v>ud</v>
          </cell>
          <cell r="D7315">
            <v>0</v>
          </cell>
        </row>
        <row r="7316">
          <cell r="A7316" t="str">
            <v>280504</v>
          </cell>
          <cell r="B7316" t="str">
            <v>Válvula de retenção horizontal  Ø 2"</v>
          </cell>
          <cell r="C7316" t="str">
            <v>ud</v>
          </cell>
          <cell r="D7316">
            <v>0</v>
          </cell>
        </row>
        <row r="7317">
          <cell r="A7317" t="str">
            <v>280505</v>
          </cell>
          <cell r="B7317" t="str">
            <v>Válvula de retenção horizontal  Ø 2 1/2"</v>
          </cell>
          <cell r="C7317" t="str">
            <v>ud</v>
          </cell>
          <cell r="D7317">
            <v>0</v>
          </cell>
        </row>
        <row r="7318">
          <cell r="A7318" t="str">
            <v>280506</v>
          </cell>
          <cell r="B7318" t="str">
            <v>Válvula de retenção horizontal  Ø 3"</v>
          </cell>
          <cell r="C7318" t="str">
            <v>ud</v>
          </cell>
          <cell r="D7318">
            <v>0</v>
          </cell>
        </row>
        <row r="7319">
          <cell r="A7319" t="str">
            <v>280507</v>
          </cell>
          <cell r="B7319" t="str">
            <v>Válvula de retenção horizontal  Ø 4"</v>
          </cell>
          <cell r="C7319" t="str">
            <v>ud</v>
          </cell>
          <cell r="D7319">
            <v>0</v>
          </cell>
        </row>
        <row r="7320">
          <cell r="A7320" t="str">
            <v>280508</v>
          </cell>
          <cell r="B7320" t="str">
            <v>Válvula de retenção horizontal  Ø 5"</v>
          </cell>
          <cell r="C7320" t="str">
            <v>ud</v>
          </cell>
          <cell r="D7320">
            <v>0</v>
          </cell>
        </row>
        <row r="7321">
          <cell r="A7321" t="str">
            <v>280509</v>
          </cell>
          <cell r="B7321" t="str">
            <v>Válvula de retenção horizontal  Ø 6"</v>
          </cell>
          <cell r="C7321" t="str">
            <v>ud</v>
          </cell>
          <cell r="D7321">
            <v>0</v>
          </cell>
        </row>
        <row r="7322">
          <cell r="A7322" t="str">
            <v>280510</v>
          </cell>
          <cell r="B7322" t="str">
            <v>Válvula de retenção vertical  Ø 3/4"</v>
          </cell>
          <cell r="C7322" t="str">
            <v>ud</v>
          </cell>
          <cell r="D7322">
            <v>0</v>
          </cell>
        </row>
        <row r="7323">
          <cell r="A7323" t="str">
            <v>280511</v>
          </cell>
          <cell r="B7323" t="str">
            <v>Válvula de retenção vertical  Ø 1"</v>
          </cell>
          <cell r="C7323" t="str">
            <v>ud</v>
          </cell>
          <cell r="D7323">
            <v>0</v>
          </cell>
        </row>
        <row r="7324">
          <cell r="A7324" t="str">
            <v>280512</v>
          </cell>
          <cell r="B7324" t="str">
            <v>Válvula de retenção vertical  Ø 1 1/2"</v>
          </cell>
          <cell r="C7324" t="str">
            <v>ud</v>
          </cell>
          <cell r="D7324">
            <v>0</v>
          </cell>
        </row>
        <row r="7325">
          <cell r="A7325" t="str">
            <v>280513</v>
          </cell>
          <cell r="B7325" t="str">
            <v>Válvula de retenção vertical  Ø 2"</v>
          </cell>
          <cell r="C7325" t="str">
            <v>ud</v>
          </cell>
          <cell r="D7325">
            <v>0</v>
          </cell>
        </row>
        <row r="7326">
          <cell r="A7326" t="str">
            <v>280514</v>
          </cell>
          <cell r="B7326" t="str">
            <v>Válvula de retenção vertical  Ø 2 1/2"</v>
          </cell>
          <cell r="C7326" t="str">
            <v>ud</v>
          </cell>
          <cell r="D7326">
            <v>0</v>
          </cell>
        </row>
        <row r="7327">
          <cell r="A7327" t="str">
            <v>280515</v>
          </cell>
          <cell r="B7327" t="str">
            <v>Válvula de retenção vertical  Ø 3"</v>
          </cell>
          <cell r="C7327" t="str">
            <v>ud</v>
          </cell>
          <cell r="D7327">
            <v>0</v>
          </cell>
        </row>
        <row r="7328">
          <cell r="A7328" t="str">
            <v>280516</v>
          </cell>
          <cell r="B7328" t="str">
            <v>Válvula de retenção vertical  Ø 4"</v>
          </cell>
          <cell r="C7328" t="str">
            <v>ud</v>
          </cell>
          <cell r="D7328">
            <v>0</v>
          </cell>
        </row>
        <row r="7329">
          <cell r="A7329" t="str">
            <v>280517</v>
          </cell>
          <cell r="B7329" t="str">
            <v>Válvula de retenção vertical  Ø 5"</v>
          </cell>
          <cell r="C7329" t="str">
            <v>ud</v>
          </cell>
          <cell r="D7329">
            <v>0</v>
          </cell>
        </row>
        <row r="7330">
          <cell r="A7330" t="str">
            <v>280518</v>
          </cell>
          <cell r="B7330" t="str">
            <v>Válvula de retenção vertical  Ø 6"</v>
          </cell>
          <cell r="C7330" t="str">
            <v>ud</v>
          </cell>
          <cell r="D7330">
            <v>0</v>
          </cell>
        </row>
        <row r="7331">
          <cell r="A7331" t="str">
            <v>29</v>
          </cell>
          <cell r="B7331" t="str">
            <v>REGISTROS E VÁLVULAS CONF. ESPECIFICAÇÃO - ÁGUA / ESGOTO</v>
          </cell>
        </row>
        <row r="7332">
          <cell r="A7332" t="str">
            <v>2901</v>
          </cell>
          <cell r="B7332" t="str">
            <v>REGISTRO AUTOMÁTICO DE ENTRADA</v>
          </cell>
        </row>
        <row r="7333">
          <cell r="A7333" t="str">
            <v>290101</v>
          </cell>
          <cell r="B7333" t="str">
            <v xml:space="preserve">Registro automático de entrada FD FF PN-10 DN  50 </v>
          </cell>
          <cell r="C7333" t="str">
            <v>ud</v>
          </cell>
          <cell r="D7333">
            <v>0</v>
          </cell>
        </row>
        <row r="7334">
          <cell r="A7334" t="str">
            <v>290102</v>
          </cell>
          <cell r="B7334" t="str">
            <v>Registro automático de entrada FD FF PN-10 DN  75/80</v>
          </cell>
          <cell r="C7334" t="str">
            <v>ud</v>
          </cell>
          <cell r="D7334">
            <v>0</v>
          </cell>
        </row>
        <row r="7335">
          <cell r="A7335" t="str">
            <v>290103</v>
          </cell>
          <cell r="B7335" t="str">
            <v xml:space="preserve">Registro automático de entrada FD FF PN-10 DN 100 </v>
          </cell>
          <cell r="C7335" t="str">
            <v>ud</v>
          </cell>
          <cell r="D7335">
            <v>0</v>
          </cell>
        </row>
        <row r="7336">
          <cell r="A7336" t="str">
            <v>290104</v>
          </cell>
          <cell r="B7336" t="str">
            <v xml:space="preserve">Registro automático de entrada FD FF PN-10 DN 150 </v>
          </cell>
          <cell r="C7336" t="str">
            <v>ud</v>
          </cell>
          <cell r="D7336">
            <v>0</v>
          </cell>
        </row>
        <row r="7337">
          <cell r="A7337" t="str">
            <v>290105</v>
          </cell>
          <cell r="B7337" t="str">
            <v xml:space="preserve">Registro automático de entrada FD FF PN-10 DN 200 </v>
          </cell>
          <cell r="C7337" t="str">
            <v>ud</v>
          </cell>
          <cell r="D7337">
            <v>0</v>
          </cell>
        </row>
        <row r="7338">
          <cell r="A7338" t="str">
            <v>290106</v>
          </cell>
          <cell r="B7338" t="str">
            <v xml:space="preserve">Registro automático de entrada FD FF PN-10 DN 250 </v>
          </cell>
          <cell r="C7338" t="str">
            <v>ud</v>
          </cell>
          <cell r="D7338">
            <v>0</v>
          </cell>
        </row>
        <row r="7339">
          <cell r="A7339" t="str">
            <v>2902</v>
          </cell>
          <cell r="B7339" t="str">
            <v>REGISTRO DE GAVETA C.CURTO C.EMB. FF E CABEÇOTE</v>
          </cell>
        </row>
        <row r="7340">
          <cell r="A7340" t="str">
            <v>290201</v>
          </cell>
          <cell r="B7340" t="str">
            <v>Registro de gaveta FD corpo curto cunha emborrachada FF PN-10 e cabeçote DN50 - NBR14968 (282668)</v>
          </cell>
          <cell r="C7340" t="str">
            <v>ud</v>
          </cell>
          <cell r="D7340">
            <v>0</v>
          </cell>
        </row>
        <row r="7341">
          <cell r="A7341" t="str">
            <v>290202</v>
          </cell>
          <cell r="B7341" t="str">
            <v>Registro de gaveta FD corpo curto cunha emborrachada FF PN-10 e cabeçote DN80 - NBR14968 (280496)</v>
          </cell>
          <cell r="C7341" t="str">
            <v>ud</v>
          </cell>
          <cell r="D7341">
            <v>0</v>
          </cell>
        </row>
        <row r="7342">
          <cell r="A7342" t="str">
            <v>290203</v>
          </cell>
          <cell r="B7342" t="str">
            <v>Registro de gaveta FD corpo curto cunha emborrachada FF PN-10 e cabeçote DN100 - NBR14968 (282666)</v>
          </cell>
          <cell r="C7342" t="str">
            <v>ud</v>
          </cell>
          <cell r="D7342">
            <v>0</v>
          </cell>
        </row>
        <row r="7343">
          <cell r="A7343" t="str">
            <v>290204</v>
          </cell>
          <cell r="B7343" t="str">
            <v>Registro de gaveta FD corpo curto cunha emborrachada FF PN-10 e cabeçote DN150 - NBR14968 (282667)</v>
          </cell>
          <cell r="C7343" t="str">
            <v>ud</v>
          </cell>
          <cell r="D7343">
            <v>0</v>
          </cell>
        </row>
        <row r="7344">
          <cell r="A7344" t="str">
            <v>290205</v>
          </cell>
          <cell r="B7344" t="str">
            <v>Registro de gaveta FD corpo curto cunha emborrachada FF PN-10 e cabeçote DN200 - NBR14968 (137243)</v>
          </cell>
          <cell r="C7344" t="str">
            <v>ud</v>
          </cell>
          <cell r="D7344">
            <v>0</v>
          </cell>
        </row>
        <row r="7345">
          <cell r="A7345" t="str">
            <v>290206</v>
          </cell>
          <cell r="B7345" t="str">
            <v>Registro de gaveta FD corpo curto cunha emborrachada FF PN-10 e cabeçote DN250 - NBR14968 (17809)</v>
          </cell>
          <cell r="C7345" t="str">
            <v>ud</v>
          </cell>
          <cell r="D7345">
            <v>0</v>
          </cell>
        </row>
        <row r="7346">
          <cell r="A7346" t="str">
            <v>290207</v>
          </cell>
          <cell r="B7346" t="str">
            <v>Registro de gaveta FD corpo curto cunha emborrachada FF PN-10 e cabeçote DN300 - NBR14968 (282220)</v>
          </cell>
          <cell r="C7346" t="str">
            <v>ud</v>
          </cell>
          <cell r="D7346">
            <v>0</v>
          </cell>
        </row>
        <row r="7347">
          <cell r="A7347" t="str">
            <v>290208</v>
          </cell>
          <cell r="B7347" t="str">
            <v>Registro de gaveta FD corpo curto cunha emborrachada FF PN-10 e cabeçote DN350 - NBR14968 (17469)</v>
          </cell>
          <cell r="C7347" t="str">
            <v>ud</v>
          </cell>
          <cell r="D7347">
            <v>0</v>
          </cell>
        </row>
        <row r="7348">
          <cell r="A7348" t="str">
            <v>290209</v>
          </cell>
          <cell r="B7348" t="str">
            <v>Registro de gaveta FD corpo curto cunha emborrachada FF PN-10 e cabeçote DN400 - NBR14968 (283656)</v>
          </cell>
          <cell r="C7348" t="str">
            <v>ud</v>
          </cell>
          <cell r="D7348">
            <v>0</v>
          </cell>
        </row>
        <row r="7349">
          <cell r="A7349" t="str">
            <v>290213</v>
          </cell>
          <cell r="B7349" t="str">
            <v>Registro de gaveta FD corpo curto cunha emborrachada FF PN-16 e cabeçote DN50 - NBR14968 (282668)</v>
          </cell>
          <cell r="C7349" t="str">
            <v>ud</v>
          </cell>
          <cell r="D7349">
            <v>0</v>
          </cell>
        </row>
        <row r="7350">
          <cell r="A7350" t="str">
            <v>290214</v>
          </cell>
          <cell r="B7350" t="str">
            <v>Registro de gaveta FD corpo curto cunha emborrachada FF PN-16 e cabeçote DN80 - NBR14968 (83313)</v>
          </cell>
          <cell r="C7350" t="str">
            <v>ud</v>
          </cell>
          <cell r="D7350">
            <v>0</v>
          </cell>
        </row>
        <row r="7351">
          <cell r="A7351" t="str">
            <v>290215</v>
          </cell>
          <cell r="B7351" t="str">
            <v>Registro de gaveta FD corpo curto cunha emborrachada FF PN-16 e cabeçote DN100 - NBR14968 (282225)</v>
          </cell>
          <cell r="C7351" t="str">
            <v>ud</v>
          </cell>
          <cell r="D7351">
            <v>0</v>
          </cell>
        </row>
        <row r="7352">
          <cell r="A7352" t="str">
            <v>290216</v>
          </cell>
          <cell r="B7352" t="str">
            <v>Registro de gaveta FD corpo curto cunha emborrachada FF PN-16 e cabeçote DN150 - NBR14968 (282669)</v>
          </cell>
          <cell r="C7352" t="str">
            <v>ud</v>
          </cell>
          <cell r="D7352">
            <v>0</v>
          </cell>
        </row>
        <row r="7353">
          <cell r="A7353" t="str">
            <v>290217</v>
          </cell>
          <cell r="B7353" t="str">
            <v>Registro de gaveta FD corpo curto cunha emborrachada FF PN-16 e cabeçote DN200 - NBR14968 (285599)</v>
          </cell>
          <cell r="C7353" t="str">
            <v>ud</v>
          </cell>
          <cell r="D7353">
            <v>0</v>
          </cell>
        </row>
        <row r="7354">
          <cell r="A7354" t="str">
            <v>290218</v>
          </cell>
          <cell r="B7354" t="str">
            <v>Registro de gaveta FD corpo curto cunha emborrachada FF PN-16 e cabeçote DN250 - NBR14968 (137103)</v>
          </cell>
          <cell r="C7354" t="str">
            <v>ud</v>
          </cell>
          <cell r="D7354">
            <v>0</v>
          </cell>
        </row>
        <row r="7355">
          <cell r="A7355" t="str">
            <v>290219</v>
          </cell>
          <cell r="B7355" t="str">
            <v>Registro de gaveta FD corpo curto cunha emborrachada FF PN-16 e cabeçote DN300 - NBR14968</v>
          </cell>
          <cell r="C7355" t="str">
            <v>ud</v>
          </cell>
          <cell r="D7355">
            <v>0</v>
          </cell>
        </row>
        <row r="7356">
          <cell r="A7356" t="str">
            <v>290220</v>
          </cell>
          <cell r="B7356" t="str">
            <v>Registro de gaveta FD corpo curto cunha emborrachada FF PN-16 e cabeçote DN350 - NBR14968</v>
          </cell>
          <cell r="C7356" t="str">
            <v>ud</v>
          </cell>
          <cell r="D7356">
            <v>0</v>
          </cell>
        </row>
        <row r="7357">
          <cell r="A7357" t="str">
            <v>290221</v>
          </cell>
          <cell r="B7357" t="str">
            <v>Registro de gaveta FD corpo curto cunha emborrachada FF PN-16 e cabeçote DN400 - NBR14968 (17485)</v>
          </cell>
          <cell r="C7357" t="str">
            <v>ud</v>
          </cell>
          <cell r="D7357">
            <v>0</v>
          </cell>
        </row>
        <row r="7358">
          <cell r="A7358" t="str">
            <v>2903</v>
          </cell>
          <cell r="B7358" t="str">
            <v>REGISTRO DE GAVETA C.CURTO C.EMB. FF E VOLANTE</v>
          </cell>
        </row>
        <row r="7359">
          <cell r="A7359" t="str">
            <v>290301</v>
          </cell>
          <cell r="B7359" t="str">
            <v>Registro de gaveta FD corpo curto cunha emborrachada FF PN-10 e volante DN50 - NBR14968 (235733)</v>
          </cell>
          <cell r="C7359" t="str">
            <v>ud</v>
          </cell>
          <cell r="D7359">
            <v>0</v>
          </cell>
        </row>
        <row r="7360">
          <cell r="A7360" t="str">
            <v>290302</v>
          </cell>
          <cell r="B7360" t="str">
            <v>Registro de gaveta FD corpo curto cunha emborrachada FF PN-10 e volante DN80 - NBR14968</v>
          </cell>
          <cell r="C7360" t="str">
            <v>ud</v>
          </cell>
          <cell r="D7360">
            <v>0</v>
          </cell>
        </row>
        <row r="7361">
          <cell r="A7361" t="str">
            <v>290303</v>
          </cell>
          <cell r="B7361" t="str">
            <v>Registro de gaveta FD corpo curto cunha emborrachada FF PN-10 e volante DN100 - NBR14968 (252654)</v>
          </cell>
          <cell r="C7361" t="str">
            <v>ud</v>
          </cell>
          <cell r="D7361">
            <v>0</v>
          </cell>
        </row>
        <row r="7362">
          <cell r="A7362" t="str">
            <v>290304</v>
          </cell>
          <cell r="B7362" t="str">
            <v>Registro de gaveta FD corpo curto cunha emborrachada FF PN-10 e volante DN150 - NBR14968</v>
          </cell>
          <cell r="C7362" t="str">
            <v>ud</v>
          </cell>
          <cell r="D7362">
            <v>0</v>
          </cell>
        </row>
        <row r="7363">
          <cell r="A7363" t="str">
            <v>290305</v>
          </cell>
          <cell r="B7363" t="str">
            <v>Registro de gaveta FD corpo curto cunha emborrachada FF PN-10 e volante DN200 - NBR14968 (227420)</v>
          </cell>
          <cell r="C7363" t="str">
            <v>ud</v>
          </cell>
          <cell r="D7363">
            <v>0</v>
          </cell>
        </row>
        <row r="7364">
          <cell r="A7364" t="str">
            <v>290306</v>
          </cell>
          <cell r="B7364" t="str">
            <v>Registro de gaveta FD corpo curto cunha emborrachada FF PN-10 e volante DN250 - NBR14968 (249424)</v>
          </cell>
          <cell r="C7364" t="str">
            <v>ud</v>
          </cell>
          <cell r="D7364">
            <v>0</v>
          </cell>
        </row>
        <row r="7365">
          <cell r="A7365" t="str">
            <v>290307</v>
          </cell>
          <cell r="B7365" t="str">
            <v>Registro de gaveta FD corpo curto cunha emborrachada FF PN-10 e volante DN300 - NBR14968 (247391)</v>
          </cell>
          <cell r="C7365" t="str">
            <v>ud</v>
          </cell>
          <cell r="D7365">
            <v>0</v>
          </cell>
        </row>
        <row r="7366">
          <cell r="A7366" t="str">
            <v>290308</v>
          </cell>
          <cell r="B7366" t="str">
            <v>Registro de gaveta FD corpo curto cunha emborrachada FF PN-10 e volante DN350 - NBR14968</v>
          </cell>
          <cell r="C7366" t="str">
            <v>ud</v>
          </cell>
          <cell r="D7366">
            <v>0</v>
          </cell>
        </row>
        <row r="7367">
          <cell r="A7367" t="str">
            <v>290309</v>
          </cell>
          <cell r="B7367" t="str">
            <v>Registro de gaveta FD corpo curto cunha emborrachada FF PN-10 e volante DN400 - NBR14968 (273171)</v>
          </cell>
          <cell r="C7367" t="str">
            <v>ud</v>
          </cell>
          <cell r="D7367">
            <v>0</v>
          </cell>
        </row>
        <row r="7368">
          <cell r="A7368" t="str">
            <v>290313</v>
          </cell>
          <cell r="B7368" t="str">
            <v>Registro de gaveta FD corpo curto cunha emborrachada FF PN-16 e volante DN50 - NBR14968 (235733)</v>
          </cell>
          <cell r="C7368" t="str">
            <v>ud</v>
          </cell>
          <cell r="D7368">
            <v>0</v>
          </cell>
        </row>
        <row r="7369">
          <cell r="A7369" t="str">
            <v>290314</v>
          </cell>
          <cell r="B7369" t="str">
            <v>Registro de gaveta FD corpo curto cunha emborrachada FF PN-16 e volante DN80 - NBR14968 (227404)</v>
          </cell>
          <cell r="C7369" t="str">
            <v>ud</v>
          </cell>
          <cell r="D7369">
            <v>0</v>
          </cell>
        </row>
        <row r="7370">
          <cell r="A7370" t="str">
            <v>290315</v>
          </cell>
          <cell r="B7370" t="str">
            <v>Registro de gaveta FD corpo curto cunha emborrachada FF PN-16 e volante DN100 - NBR14968 (227412)</v>
          </cell>
          <cell r="C7370" t="str">
            <v>ud</v>
          </cell>
          <cell r="D7370">
            <v>0</v>
          </cell>
        </row>
        <row r="7371">
          <cell r="A7371" t="str">
            <v>290316</v>
          </cell>
          <cell r="B7371" t="str">
            <v>Registro de gaveta FD corpo curto cunha emborrachada FF PN-16 e volante DN150 - NBR14968 (227536)</v>
          </cell>
          <cell r="C7371" t="str">
            <v>ud</v>
          </cell>
          <cell r="D7371">
            <v>0</v>
          </cell>
        </row>
        <row r="7372">
          <cell r="A7372" t="str">
            <v>290317</v>
          </cell>
          <cell r="B7372" t="str">
            <v>Registro de gaveta FD corpo curto cunha emborrachada FF PN-16 e volante DN200 - NBR14968 (255319)</v>
          </cell>
          <cell r="C7372" t="str">
            <v>ud</v>
          </cell>
          <cell r="D7372">
            <v>0</v>
          </cell>
        </row>
        <row r="7373">
          <cell r="A7373" t="str">
            <v>290318</v>
          </cell>
          <cell r="B7373" t="str">
            <v>Registro de gaveta FD corpo curto cunha emborrachada FF PN-16 e volante DN250 - NBR14968</v>
          </cell>
          <cell r="C7373" t="str">
            <v>ud</v>
          </cell>
          <cell r="D7373">
            <v>0</v>
          </cell>
        </row>
        <row r="7374">
          <cell r="A7374" t="str">
            <v>290319</v>
          </cell>
          <cell r="B7374" t="str">
            <v>Registro de gaveta FD corpo curto cunha emborrachada FF PN-16 e volante DN300 - NBR14968 (137219)</v>
          </cell>
          <cell r="C7374" t="str">
            <v>ud</v>
          </cell>
          <cell r="D7374">
            <v>0</v>
          </cell>
        </row>
        <row r="7375">
          <cell r="A7375" t="str">
            <v>290320</v>
          </cell>
          <cell r="B7375" t="str">
            <v>Registro de gaveta FD corpo curto cunha emborrachada FF PN-16 e volante DN350 - NBR14968</v>
          </cell>
          <cell r="C7375" t="str">
            <v>ud</v>
          </cell>
          <cell r="D7375">
            <v>0</v>
          </cell>
        </row>
        <row r="7376">
          <cell r="A7376" t="str">
            <v>290321</v>
          </cell>
          <cell r="B7376" t="str">
            <v>Registro de gaveta FD corpo curto cunha emborrachada FF PN-16 e volante DN400 - NBR14968</v>
          </cell>
          <cell r="C7376" t="str">
            <v>ud</v>
          </cell>
          <cell r="D7376">
            <v>0</v>
          </cell>
        </row>
        <row r="7377">
          <cell r="A7377" t="str">
            <v>2904</v>
          </cell>
          <cell r="B7377" t="str">
            <v>REGISTRO DE GAVETA C.EMB. BB JE E CABEÇOTE</v>
          </cell>
        </row>
        <row r="7378">
          <cell r="A7378" t="str">
            <v>290402</v>
          </cell>
          <cell r="B7378" t="str">
            <v>Registro de gaveta FD cunha emborrachada BB JE e cabeçote DN80 - NBR14968 (17434)</v>
          </cell>
          <cell r="C7378" t="str">
            <v>ud</v>
          </cell>
          <cell r="D7378">
            <v>0</v>
          </cell>
        </row>
        <row r="7379">
          <cell r="A7379" t="str">
            <v>290403</v>
          </cell>
          <cell r="B7379" t="str">
            <v>Registro de gaveta FD cunha emborrachada BB JE e cabeçote DN100 - NBR14968 (282129)</v>
          </cell>
          <cell r="C7379" t="str">
            <v>ud</v>
          </cell>
          <cell r="D7379">
            <v>0</v>
          </cell>
        </row>
        <row r="7380">
          <cell r="A7380" t="str">
            <v>290404</v>
          </cell>
          <cell r="B7380" t="str">
            <v>Registro de gaveta FD cunha emborrachada BB JE e cabeçote DN150 - NBR14968 (282087)</v>
          </cell>
          <cell r="C7380" t="str">
            <v>ud</v>
          </cell>
          <cell r="D7380">
            <v>0</v>
          </cell>
        </row>
        <row r="7381">
          <cell r="A7381" t="str">
            <v>290405</v>
          </cell>
          <cell r="B7381" t="str">
            <v>Registro de gaveta FD cunha emborrachada BB JE e cabeçote DN200 - NBR14968 (280518)</v>
          </cell>
          <cell r="C7381" t="str">
            <v>ud</v>
          </cell>
          <cell r="D7381">
            <v>0</v>
          </cell>
        </row>
        <row r="7382">
          <cell r="A7382" t="str">
            <v>290406</v>
          </cell>
          <cell r="B7382" t="str">
            <v>Registro de gaveta FD cunha emborrachada BB JE e cabeçote DN250 - NBR14968 (281974)</v>
          </cell>
          <cell r="C7382" t="str">
            <v>ud</v>
          </cell>
          <cell r="D7382">
            <v>0</v>
          </cell>
        </row>
        <row r="7383">
          <cell r="A7383" t="str">
            <v>290407</v>
          </cell>
          <cell r="B7383" t="str">
            <v>Registro de gaveta FD cunha emborrachada BB JE e cabeçote DN300 - NBR14968 (272582)</v>
          </cell>
          <cell r="C7383" t="str">
            <v>ud</v>
          </cell>
          <cell r="D7383">
            <v>0</v>
          </cell>
        </row>
        <row r="7384">
          <cell r="A7384" t="str">
            <v>2905</v>
          </cell>
          <cell r="B7384" t="str">
            <v>REGISTRO DE GAVETA C.EMB. BB JE E VOLANTE</v>
          </cell>
        </row>
        <row r="7385">
          <cell r="A7385" t="str">
            <v>290502</v>
          </cell>
          <cell r="B7385" t="str">
            <v>Registro de gaveta FD cunha emborrachada BB JE e volante DN80 - NBR14968</v>
          </cell>
          <cell r="C7385" t="str">
            <v>ud</v>
          </cell>
          <cell r="D7385">
            <v>0</v>
          </cell>
        </row>
        <row r="7386">
          <cell r="A7386" t="str">
            <v>290503</v>
          </cell>
          <cell r="B7386" t="str">
            <v>Registro de gaveta FD cunha emborrachada BB JE e volante DN100 - NBR14968</v>
          </cell>
          <cell r="C7386" t="str">
            <v>ud</v>
          </cell>
          <cell r="D7386">
            <v>0</v>
          </cell>
        </row>
        <row r="7387">
          <cell r="A7387" t="str">
            <v>290504</v>
          </cell>
          <cell r="B7387" t="str">
            <v>Registro de gaveta FD cunha emborrachada BB JE e volante DN150 - NBR14968</v>
          </cell>
          <cell r="C7387" t="str">
            <v>ud</v>
          </cell>
          <cell r="D7387">
            <v>0</v>
          </cell>
        </row>
        <row r="7388">
          <cell r="A7388" t="str">
            <v>290505</v>
          </cell>
          <cell r="B7388" t="str">
            <v>Registro de gaveta FD cunha emborrachada BB JE e volante DN200 - NBR14968</v>
          </cell>
          <cell r="C7388" t="str">
            <v>ud</v>
          </cell>
          <cell r="D7388">
            <v>0</v>
          </cell>
        </row>
        <row r="7389">
          <cell r="A7389" t="str">
            <v>290506</v>
          </cell>
          <cell r="B7389" t="str">
            <v>Registro de gaveta FD cunha emborrachada BB JE e volante DN250 - NBR14968</v>
          </cell>
          <cell r="C7389" t="str">
            <v>ud</v>
          </cell>
          <cell r="D7389">
            <v>0</v>
          </cell>
        </row>
        <row r="7390">
          <cell r="A7390" t="str">
            <v>290507</v>
          </cell>
          <cell r="B7390" t="str">
            <v>Registro de gaveta FD cunha emborrachada BB JE e volante DN300 - NBR14968</v>
          </cell>
          <cell r="C7390" t="str">
            <v>ud</v>
          </cell>
          <cell r="D7390">
            <v>0</v>
          </cell>
        </row>
        <row r="7391">
          <cell r="A7391" t="str">
            <v>2906</v>
          </cell>
          <cell r="B7391" t="str">
            <v>REGISTRO DE GAVETA P/ PVC BB JE E CABEÇOTE</v>
          </cell>
        </row>
        <row r="7392">
          <cell r="A7392" t="str">
            <v>290601</v>
          </cell>
          <cell r="B7392" t="str">
            <v>Registro de gaveta FD chato cunha emborrachada BB JE para PVC/PBA e cabeçote DN50 - NBR14968 (280186)</v>
          </cell>
          <cell r="C7392" t="str">
            <v>ud</v>
          </cell>
          <cell r="D7392">
            <v>0</v>
          </cell>
        </row>
        <row r="7393">
          <cell r="A7393" t="str">
            <v>290602</v>
          </cell>
          <cell r="B7393" t="str">
            <v>Registro de gaveta FD chato cunha emborrachada BB JE para PVC/PBA e cabeçote DN75 - NBR14968 (280160)</v>
          </cell>
          <cell r="C7393" t="str">
            <v>ud</v>
          </cell>
          <cell r="D7393">
            <v>0</v>
          </cell>
        </row>
        <row r="7394">
          <cell r="A7394" t="str">
            <v>290603</v>
          </cell>
          <cell r="B7394" t="str">
            <v>Registro de gaveta FD chato cunha emborrachada BB JE para PVC/PBA e cabeçote DN100 - NBR14968 (280178)</v>
          </cell>
          <cell r="C7394" t="str">
            <v>ud</v>
          </cell>
          <cell r="D7394">
            <v>0</v>
          </cell>
        </row>
        <row r="7395">
          <cell r="A7395" t="str">
            <v>2907</v>
          </cell>
          <cell r="B7395" t="str">
            <v>REGISTRO DE GAVETA P/ PVC BB JE E VOLANTE</v>
          </cell>
        </row>
        <row r="7396">
          <cell r="A7396" t="str">
            <v>290701</v>
          </cell>
          <cell r="B7396" t="str">
            <v>Registro de gaveta FD cunha emborrachada BB JE para PVC/PBA e volante DN50 - NBR14968</v>
          </cell>
          <cell r="C7396" t="str">
            <v>ud</v>
          </cell>
          <cell r="D7396">
            <v>0</v>
          </cell>
        </row>
        <row r="7397">
          <cell r="A7397" t="str">
            <v>290702</v>
          </cell>
          <cell r="B7397" t="str">
            <v>Registro de gaveta FD cunha emborrachada BB JE para PVC/PBA e volante DN75 - NBR14968</v>
          </cell>
          <cell r="C7397" t="str">
            <v>ud</v>
          </cell>
          <cell r="D7397">
            <v>0</v>
          </cell>
        </row>
        <row r="7398">
          <cell r="A7398" t="str">
            <v>290703</v>
          </cell>
          <cell r="B7398" t="str">
            <v>Registro de gaveta FD cunha emborrachada BB JE para PVC/PBA e volante DN100 - NBR14968</v>
          </cell>
          <cell r="C7398" t="str">
            <v>ud</v>
          </cell>
          <cell r="D7398">
            <v>0</v>
          </cell>
        </row>
        <row r="7399">
          <cell r="A7399" t="str">
            <v>2908</v>
          </cell>
          <cell r="B7399" t="str">
            <v>REGISTRO DE GAVETA C.LONGO C.EMB. FF E CABEÇOTE</v>
          </cell>
        </row>
        <row r="7400">
          <cell r="A7400" t="str">
            <v>290801</v>
          </cell>
          <cell r="B7400" t="str">
            <v>Registro de gaveta FD corpo longo cunha emborrachada FF PN-10 e cabeçote DN50 - NBR14968</v>
          </cell>
          <cell r="C7400" t="str">
            <v>ud</v>
          </cell>
          <cell r="D7400">
            <v>0</v>
          </cell>
        </row>
        <row r="7401">
          <cell r="A7401" t="str">
            <v>290802</v>
          </cell>
          <cell r="B7401" t="str">
            <v>Registro de gaveta FD corpo longo cunha emborrachada FF PN-10 e cabeçote DN80 - NBR14968</v>
          </cell>
          <cell r="C7401" t="str">
            <v>ud</v>
          </cell>
          <cell r="D7401">
            <v>0</v>
          </cell>
        </row>
        <row r="7402">
          <cell r="A7402" t="str">
            <v>290803</v>
          </cell>
          <cell r="B7402" t="str">
            <v>Registro de gaveta FD corpo longo cunha emborrachada FF PN-10 e cabeçote DN100 - NBR14968</v>
          </cell>
          <cell r="C7402" t="str">
            <v>ud</v>
          </cell>
          <cell r="D7402">
            <v>0</v>
          </cell>
        </row>
        <row r="7403">
          <cell r="A7403" t="str">
            <v>290804</v>
          </cell>
          <cell r="B7403" t="str">
            <v>Registro de gaveta FD corpo longo cunha emborrachada FF PN-10 e cabeçote DN150 - NBR14968</v>
          </cell>
          <cell r="C7403" t="str">
            <v>ud</v>
          </cell>
          <cell r="D7403">
            <v>0</v>
          </cell>
        </row>
        <row r="7404">
          <cell r="A7404" t="str">
            <v>290805</v>
          </cell>
          <cell r="B7404" t="str">
            <v>Registro de gaveta FD corpo longo cunha emborrachada FF PN-10 e cabeçote DN200 - NBR14968</v>
          </cell>
          <cell r="C7404" t="str">
            <v>ud</v>
          </cell>
          <cell r="D7404">
            <v>0</v>
          </cell>
        </row>
        <row r="7405">
          <cell r="A7405" t="str">
            <v>290806</v>
          </cell>
          <cell r="B7405" t="str">
            <v>Registro de gaveta FD corpo longo cunha emborrachada FF PN-10 e cabeçote DN250 - NBR14968</v>
          </cell>
          <cell r="C7405" t="str">
            <v>ud</v>
          </cell>
          <cell r="D7405">
            <v>0</v>
          </cell>
        </row>
        <row r="7406">
          <cell r="A7406" t="str">
            <v>290807</v>
          </cell>
          <cell r="B7406" t="str">
            <v>Registro de gaveta FD corpo longo cunha emborrachada FF PN-10 e cabeçote DN300 - NBR14968</v>
          </cell>
          <cell r="C7406" t="str">
            <v>ud</v>
          </cell>
          <cell r="D7406">
            <v>0</v>
          </cell>
        </row>
        <row r="7407">
          <cell r="A7407" t="str">
            <v>290819</v>
          </cell>
          <cell r="B7407" t="str">
            <v>Registro de gaveta FD corpo longo cunha emborrachada FF PN-16 e cabeçote DN50 - NBR14968</v>
          </cell>
          <cell r="C7407" t="str">
            <v>ud</v>
          </cell>
          <cell r="D7407">
            <v>0</v>
          </cell>
        </row>
        <row r="7408">
          <cell r="A7408" t="str">
            <v>290820</v>
          </cell>
          <cell r="B7408" t="str">
            <v>Registro de gaveta FD corpo longo cunha emborrachada FF PN-16 e cabeçote DN80 - NBR14968</v>
          </cell>
          <cell r="C7408" t="str">
            <v>ud</v>
          </cell>
          <cell r="D7408">
            <v>0</v>
          </cell>
        </row>
        <row r="7409">
          <cell r="A7409" t="str">
            <v>290821</v>
          </cell>
          <cell r="B7409" t="str">
            <v>Registro de gaveta FD corpo longo cunha emborrachada FF PN-16 e cabeçote DN100 - NBR14968</v>
          </cell>
          <cell r="C7409" t="str">
            <v>ud</v>
          </cell>
          <cell r="D7409">
            <v>0</v>
          </cell>
        </row>
        <row r="7410">
          <cell r="A7410" t="str">
            <v>290822</v>
          </cell>
          <cell r="B7410" t="str">
            <v>Registro de gaveta FD corpo longo cunha emborrachada FF PN-16 e cabeçote DN150 - NBR14968</v>
          </cell>
          <cell r="C7410" t="str">
            <v>ud</v>
          </cell>
          <cell r="D7410">
            <v>0</v>
          </cell>
        </row>
        <row r="7411">
          <cell r="A7411" t="str">
            <v>290823</v>
          </cell>
          <cell r="B7411" t="str">
            <v>Registro de gaveta FD corpo longo cunha emborrachada FF PN-16 e cabeçote DN200 - NBR14968</v>
          </cell>
          <cell r="C7411" t="str">
            <v>ud</v>
          </cell>
          <cell r="D7411">
            <v>0</v>
          </cell>
        </row>
        <row r="7412">
          <cell r="A7412" t="str">
            <v>290824</v>
          </cell>
          <cell r="B7412" t="str">
            <v>Registro de gaveta FD corpo longo cunha emborrachada FF PN-16 e cabeçote DN250 - NBR14968</v>
          </cell>
          <cell r="C7412" t="str">
            <v>ud</v>
          </cell>
          <cell r="D7412">
            <v>0</v>
          </cell>
        </row>
        <row r="7413">
          <cell r="A7413" t="str">
            <v>290825</v>
          </cell>
          <cell r="B7413" t="str">
            <v>Registro de gaveta FD corpo longo cunha emborrachada FF PN-16 e cabeçote DN300 - NBR14968</v>
          </cell>
          <cell r="C7413" t="str">
            <v>ud</v>
          </cell>
          <cell r="D7413">
            <v>0</v>
          </cell>
        </row>
        <row r="7414">
          <cell r="A7414" t="str">
            <v>290837</v>
          </cell>
          <cell r="B7414" t="str">
            <v>Registro de gaveta FD corpo longo cunha emborrachada FF PN-25 e cabeçote DN50 - NBR12430</v>
          </cell>
          <cell r="C7414" t="str">
            <v>ud</v>
          </cell>
          <cell r="D7414">
            <v>0</v>
          </cell>
        </row>
        <row r="7415">
          <cell r="A7415" t="str">
            <v>290838</v>
          </cell>
          <cell r="B7415" t="str">
            <v>Registro de gaveta FD corpo longo cunha emborrachada FF PN-25 e cabeçote DN80 - NBR12430</v>
          </cell>
          <cell r="C7415" t="str">
            <v>ud</v>
          </cell>
          <cell r="D7415">
            <v>0</v>
          </cell>
        </row>
        <row r="7416">
          <cell r="A7416" t="str">
            <v>290839</v>
          </cell>
          <cell r="B7416" t="str">
            <v>Registro de gaveta FD corpo longo cunha emborrachada FF PN-25 e cabeçote DN100 - NBR12430</v>
          </cell>
          <cell r="C7416" t="str">
            <v>ud</v>
          </cell>
          <cell r="D7416">
            <v>0</v>
          </cell>
        </row>
        <row r="7417">
          <cell r="A7417" t="str">
            <v>290840</v>
          </cell>
          <cell r="B7417" t="str">
            <v>Registro de gaveta FD corpo longo cunha emborrachada FF PN-25 e cabeçote DN150 - NBR12430</v>
          </cell>
          <cell r="C7417" t="str">
            <v>ud</v>
          </cell>
          <cell r="D7417">
            <v>0</v>
          </cell>
        </row>
        <row r="7418">
          <cell r="A7418" t="str">
            <v>2909</v>
          </cell>
          <cell r="B7418" t="str">
            <v>REGISTRO DE GAVETA C.LONGO C.EMB. FF E VOLANTE</v>
          </cell>
        </row>
        <row r="7419">
          <cell r="A7419" t="str">
            <v>290939</v>
          </cell>
          <cell r="B7419" t="str">
            <v>Registro de gaveta FD corpo longo cunha emborrachada FF PN-25 e volante DN100 - NBR12430</v>
          </cell>
          <cell r="C7419" t="str">
            <v>ud</v>
          </cell>
          <cell r="D7419">
            <v>0</v>
          </cell>
        </row>
        <row r="7420">
          <cell r="A7420" t="str">
            <v>290940</v>
          </cell>
          <cell r="B7420" t="str">
            <v>Registro de gaveta FD corpo longo cunha emborrachada FF PN-25 e volante DN150 - NBR12430</v>
          </cell>
          <cell r="C7420" t="str">
            <v>ud</v>
          </cell>
          <cell r="D7420">
            <v>0</v>
          </cell>
        </row>
        <row r="7421">
          <cell r="A7421" t="str">
            <v>290901</v>
          </cell>
          <cell r="B7421" t="str">
            <v>Registro de gaveta FD corpo longo cunha emborrachada FF PN-10 e volante DN50 - NBR14968</v>
          </cell>
          <cell r="C7421" t="str">
            <v>ud</v>
          </cell>
          <cell r="D7421">
            <v>0</v>
          </cell>
        </row>
        <row r="7422">
          <cell r="A7422" t="str">
            <v>290902</v>
          </cell>
          <cell r="B7422" t="str">
            <v>Registro de gaveta FD corpo longo cunha emborrachada FF PN-10 e volante DN80 - NBR14968</v>
          </cell>
          <cell r="C7422" t="str">
            <v>ud</v>
          </cell>
          <cell r="D7422">
            <v>0</v>
          </cell>
        </row>
        <row r="7423">
          <cell r="A7423" t="str">
            <v>290903</v>
          </cell>
          <cell r="B7423" t="str">
            <v>Registro de gaveta FD corpo longo cunha emborrachada FF PN-10 e volante DN100 - NBR14968</v>
          </cell>
          <cell r="C7423" t="str">
            <v>ud</v>
          </cell>
          <cell r="D7423">
            <v>0</v>
          </cell>
        </row>
        <row r="7424">
          <cell r="A7424" t="str">
            <v>290904</v>
          </cell>
          <cell r="B7424" t="str">
            <v>Registro de gaveta FD corpo longo cunha emborrachada FF PN-10 e volante DN150 - NBR14968</v>
          </cell>
          <cell r="C7424" t="str">
            <v>ud</v>
          </cell>
          <cell r="D7424">
            <v>0</v>
          </cell>
        </row>
        <row r="7425">
          <cell r="A7425" t="str">
            <v>290905</v>
          </cell>
          <cell r="B7425" t="str">
            <v>Registro de gaveta FD corpo longo cunha emborrachada FF PN-10 e volante DN200 - NBR14968</v>
          </cell>
          <cell r="C7425" t="str">
            <v>ud</v>
          </cell>
          <cell r="D7425">
            <v>0</v>
          </cell>
        </row>
        <row r="7426">
          <cell r="A7426" t="str">
            <v>290906</v>
          </cell>
          <cell r="B7426" t="str">
            <v>Registro de gaveta FD corpo longo cunha emborrachada FF PN-10 e volante DN250 - NBR14968</v>
          </cell>
          <cell r="C7426" t="str">
            <v>ud</v>
          </cell>
          <cell r="D7426">
            <v>0</v>
          </cell>
        </row>
        <row r="7427">
          <cell r="A7427" t="str">
            <v>290907</v>
          </cell>
          <cell r="B7427" t="str">
            <v>Registro de gaveta FD corpo longo cunha emborrachada FF PN-10 e volante DN300 - NBR14968</v>
          </cell>
          <cell r="C7427" t="str">
            <v>ud</v>
          </cell>
          <cell r="D7427">
            <v>0</v>
          </cell>
        </row>
        <row r="7428">
          <cell r="A7428" t="str">
            <v>290919</v>
          </cell>
          <cell r="B7428" t="str">
            <v>Registro de gaveta FD corpo longo cunha emborrachada FF PN-16 e volante DN50 - NBR14968</v>
          </cell>
          <cell r="C7428" t="str">
            <v>ud</v>
          </cell>
          <cell r="D7428">
            <v>0</v>
          </cell>
        </row>
        <row r="7429">
          <cell r="A7429" t="str">
            <v>290920</v>
          </cell>
          <cell r="B7429" t="str">
            <v>Registro de gaveta FD corpo longo cunha emborrachada FF PN-16 e volante DN80 - NBR14968</v>
          </cell>
          <cell r="C7429" t="str">
            <v>ud</v>
          </cell>
          <cell r="D7429">
            <v>0</v>
          </cell>
        </row>
        <row r="7430">
          <cell r="A7430" t="str">
            <v>290921</v>
          </cell>
          <cell r="B7430" t="str">
            <v>Registro de gaveta FD corpo longo cunha emborrachada FF PN-16 e volante DN100 - NBR14968</v>
          </cell>
          <cell r="C7430" t="str">
            <v>ud</v>
          </cell>
          <cell r="D7430">
            <v>0</v>
          </cell>
        </row>
        <row r="7431">
          <cell r="A7431" t="str">
            <v>290922</v>
          </cell>
          <cell r="B7431" t="str">
            <v>Registro de gaveta FD corpo longo cunha emborrachada FF PN-16 e volante DN150 - NBR14968</v>
          </cell>
          <cell r="C7431" t="str">
            <v>ud</v>
          </cell>
          <cell r="D7431">
            <v>0</v>
          </cell>
        </row>
        <row r="7432">
          <cell r="A7432" t="str">
            <v>290923</v>
          </cell>
          <cell r="B7432" t="str">
            <v>Registro de gaveta FD corpo longo cunha emborrachada FF PN-16 e volante DN200 - NBR14968</v>
          </cell>
          <cell r="C7432" t="str">
            <v>ud</v>
          </cell>
          <cell r="D7432">
            <v>0</v>
          </cell>
        </row>
        <row r="7433">
          <cell r="A7433" t="str">
            <v>290924</v>
          </cell>
          <cell r="B7433" t="str">
            <v>Registro de gaveta FD corpo longo cunha emborrachada FF PN-16 e volante DN250 - NBR14968</v>
          </cell>
          <cell r="C7433" t="str">
            <v>ud</v>
          </cell>
          <cell r="D7433">
            <v>0</v>
          </cell>
        </row>
        <row r="7434">
          <cell r="A7434" t="str">
            <v>290925</v>
          </cell>
          <cell r="B7434" t="str">
            <v>Registro de gaveta FD corpo longo cunha emborrachada FF PN-16 e volante DN300 - NBR14968</v>
          </cell>
          <cell r="C7434" t="str">
            <v>ud</v>
          </cell>
          <cell r="D7434">
            <v>0</v>
          </cell>
        </row>
        <row r="7435">
          <cell r="A7435" t="str">
            <v>290937</v>
          </cell>
          <cell r="B7435" t="str">
            <v>Registro de gaveta FD corpo longo cunha emborrachada FF PN-25 e volante DN50 - NBR12430</v>
          </cell>
          <cell r="C7435" t="str">
            <v>ud</v>
          </cell>
          <cell r="D7435">
            <v>0</v>
          </cell>
        </row>
        <row r="7436">
          <cell r="A7436" t="str">
            <v>290938</v>
          </cell>
          <cell r="B7436" t="str">
            <v>Registro de gaveta FD corpo longo cunha emborrachada FF PN-25 e volante DN80 - NBR12430</v>
          </cell>
          <cell r="C7436" t="str">
            <v>ud</v>
          </cell>
          <cell r="D7436">
            <v>0</v>
          </cell>
        </row>
        <row r="7437">
          <cell r="A7437" t="str">
            <v>2910</v>
          </cell>
          <cell r="B7437" t="str">
            <v>REGISTRO DE GAVETA C.MET. BB JE E CABEÇOTE</v>
          </cell>
        </row>
        <row r="7438">
          <cell r="A7438" t="str">
            <v>291008</v>
          </cell>
          <cell r="B7438" t="str">
            <v>Registro de gaveta cunha metálica BB JE e cabeçote DN350 - NBR12430</v>
          </cell>
          <cell r="C7438" t="str">
            <v>ud</v>
          </cell>
          <cell r="D7438">
            <v>0</v>
          </cell>
        </row>
        <row r="7439">
          <cell r="A7439" t="str">
            <v>291009</v>
          </cell>
          <cell r="B7439" t="str">
            <v>Registro de gaveta cunha metálica BB JE e cabeçote DN400 - NBR12430</v>
          </cell>
          <cell r="C7439" t="str">
            <v>ud</v>
          </cell>
          <cell r="D7439">
            <v>0</v>
          </cell>
        </row>
        <row r="7440">
          <cell r="A7440" t="str">
            <v>291010</v>
          </cell>
          <cell r="B7440" t="str">
            <v>Registro de gaveta cunha metálica BB JE e cabeçote DN450 - NBR12430</v>
          </cell>
          <cell r="C7440" t="str">
            <v>ud</v>
          </cell>
          <cell r="D7440">
            <v>0</v>
          </cell>
        </row>
        <row r="7441">
          <cell r="A7441" t="str">
            <v>291011</v>
          </cell>
          <cell r="B7441" t="str">
            <v>Registro de gaveta cunha metálica BB JE e cabeçote DN500 - NBR12430</v>
          </cell>
          <cell r="C7441" t="str">
            <v>ud</v>
          </cell>
          <cell r="D7441">
            <v>0</v>
          </cell>
        </row>
        <row r="7442">
          <cell r="A7442" t="str">
            <v>291012</v>
          </cell>
          <cell r="B7442" t="str">
            <v>Registro de gaveta cunha metálica BB JE e cabeçote DN600 - NBR12430</v>
          </cell>
          <cell r="C7442" t="str">
            <v>ud</v>
          </cell>
          <cell r="D7442">
            <v>0</v>
          </cell>
        </row>
        <row r="7443">
          <cell r="A7443" t="str">
            <v>291013</v>
          </cell>
          <cell r="B7443" t="str">
            <v>Registro de gaveta cunha metálica BB JE e cabeçote DN700 - NBR12430</v>
          </cell>
          <cell r="C7443" t="str">
            <v>ud</v>
          </cell>
          <cell r="D7443">
            <v>0</v>
          </cell>
        </row>
        <row r="7444">
          <cell r="A7444" t="str">
            <v>291014</v>
          </cell>
          <cell r="B7444" t="str">
            <v>Registro de gaveta cunha metálica BB JE e cabeçote DN800 - NBR12430</v>
          </cell>
          <cell r="C7444" t="str">
            <v>ud</v>
          </cell>
          <cell r="D7444">
            <v>0</v>
          </cell>
        </row>
        <row r="7445">
          <cell r="A7445" t="str">
            <v>291015</v>
          </cell>
          <cell r="B7445" t="str">
            <v>Registro de gaveta cunha metálica BB JE e cabeçote DN900 - NBR12430</v>
          </cell>
          <cell r="C7445" t="str">
            <v>ud</v>
          </cell>
          <cell r="D7445">
            <v>0</v>
          </cell>
        </row>
        <row r="7446">
          <cell r="A7446" t="str">
            <v>291016</v>
          </cell>
          <cell r="B7446" t="str">
            <v>Registro de gaveta cunha metálica BB JE e cabeçote DN1000 - NBR12430</v>
          </cell>
          <cell r="C7446" t="str">
            <v>ud</v>
          </cell>
          <cell r="D7446">
            <v>0</v>
          </cell>
        </row>
        <row r="7447">
          <cell r="A7447" t="str">
            <v>291017</v>
          </cell>
          <cell r="B7447" t="str">
            <v>Registro de gaveta cunha metálica BB JE e cabeçote DN1100 - NBR12430</v>
          </cell>
          <cell r="C7447" t="str">
            <v>ud</v>
          </cell>
          <cell r="D7447">
            <v>0</v>
          </cell>
        </row>
        <row r="7448">
          <cell r="A7448" t="str">
            <v>291018</v>
          </cell>
          <cell r="B7448" t="str">
            <v>Registro de gaveta cunha metálica BB JE e cabeçote DN1200 - NBR12430</v>
          </cell>
          <cell r="C7448" t="str">
            <v>ud</v>
          </cell>
          <cell r="D7448">
            <v>0</v>
          </cell>
        </row>
        <row r="7449">
          <cell r="A7449" t="str">
            <v>2911</v>
          </cell>
          <cell r="B7449" t="str">
            <v>REGISTRO DE GAVETA C.MET. BB JE E VOLANTE</v>
          </cell>
        </row>
        <row r="7450">
          <cell r="A7450" t="str">
            <v>291108</v>
          </cell>
          <cell r="B7450" t="str">
            <v>Registro de gaveta cunha metálica BB JE e volante DN350 - NBR12430</v>
          </cell>
          <cell r="C7450" t="str">
            <v>ud</v>
          </cell>
          <cell r="D7450">
            <v>0</v>
          </cell>
        </row>
        <row r="7451">
          <cell r="A7451" t="str">
            <v>291109</v>
          </cell>
          <cell r="B7451" t="str">
            <v>Registro de gaveta cunha metálica BB JE e volante DN400 - NBR12430</v>
          </cell>
          <cell r="C7451" t="str">
            <v>ud</v>
          </cell>
          <cell r="D7451">
            <v>0</v>
          </cell>
        </row>
        <row r="7452">
          <cell r="A7452" t="str">
            <v>291110</v>
          </cell>
          <cell r="B7452" t="str">
            <v>Registro de gaveta cunha metálica BB JE e volante DN450 - NBR12430</v>
          </cell>
          <cell r="C7452" t="str">
            <v>ud</v>
          </cell>
          <cell r="D7452">
            <v>0</v>
          </cell>
        </row>
        <row r="7453">
          <cell r="A7453" t="str">
            <v>291111</v>
          </cell>
          <cell r="B7453" t="str">
            <v>Registro de gaveta cunha metálica BB JE e volante DN500 - NBR12430</v>
          </cell>
          <cell r="C7453" t="str">
            <v>ud</v>
          </cell>
          <cell r="D7453">
            <v>0</v>
          </cell>
        </row>
        <row r="7454">
          <cell r="A7454" t="str">
            <v>291112</v>
          </cell>
          <cell r="B7454" t="str">
            <v>Registro de gaveta cunha metálica BB JE e volante DN600 - NBR12430</v>
          </cell>
          <cell r="C7454" t="str">
            <v>ud</v>
          </cell>
          <cell r="D7454">
            <v>0</v>
          </cell>
        </row>
        <row r="7455">
          <cell r="A7455" t="str">
            <v>291113</v>
          </cell>
          <cell r="B7455" t="str">
            <v>Registro de gaveta cunha metálica BB JE e volante DN700 - NBR12430</v>
          </cell>
          <cell r="C7455" t="str">
            <v>ud</v>
          </cell>
          <cell r="D7455">
            <v>0</v>
          </cell>
        </row>
        <row r="7456">
          <cell r="A7456" t="str">
            <v>291114</v>
          </cell>
          <cell r="B7456" t="str">
            <v>Registro de gaveta cunha metálica BB JE e volante DN800 - NBR12430</v>
          </cell>
          <cell r="C7456" t="str">
            <v>ud</v>
          </cell>
          <cell r="D7456">
            <v>0</v>
          </cell>
        </row>
        <row r="7457">
          <cell r="A7457" t="str">
            <v>291115</v>
          </cell>
          <cell r="B7457" t="str">
            <v>Registro de gaveta cunha metálica BB JE e volante DN900 - NBR12430</v>
          </cell>
          <cell r="C7457" t="str">
            <v>ud</v>
          </cell>
          <cell r="D7457">
            <v>0</v>
          </cell>
        </row>
        <row r="7458">
          <cell r="A7458" t="str">
            <v>291116</v>
          </cell>
          <cell r="B7458" t="str">
            <v>Registro de gaveta cunha metálica BB JE e volante DN1000 - NBR12430</v>
          </cell>
          <cell r="C7458" t="str">
            <v>ud</v>
          </cell>
          <cell r="D7458">
            <v>0</v>
          </cell>
        </row>
        <row r="7459">
          <cell r="A7459" t="str">
            <v>291117</v>
          </cell>
          <cell r="B7459" t="str">
            <v>Registro de gaveta cunha metálica BB JE e volante DN1100 - NBR12430</v>
          </cell>
          <cell r="C7459" t="str">
            <v>ud</v>
          </cell>
          <cell r="D7459">
            <v>0</v>
          </cell>
        </row>
        <row r="7460">
          <cell r="A7460" t="str">
            <v>291118</v>
          </cell>
          <cell r="B7460" t="str">
            <v>Registro de gaveta cunha metálica BB JE e volante DN1200 - NBR12430</v>
          </cell>
          <cell r="C7460" t="str">
            <v>ud</v>
          </cell>
          <cell r="D7460">
            <v>0</v>
          </cell>
        </row>
        <row r="7461">
          <cell r="A7461" t="str">
            <v>2912</v>
          </cell>
          <cell r="B7461" t="str">
            <v>REGISTRO DE GAVETA OVAL C.MET. FF E CABEÇOTE</v>
          </cell>
        </row>
        <row r="7462">
          <cell r="A7462" t="str">
            <v>291208</v>
          </cell>
          <cell r="B7462" t="str">
            <v>Registro de gaveta FD oval cunha metálica FF PN-10 e cabeçote DN350 - NBR12430</v>
          </cell>
          <cell r="C7462" t="str">
            <v>ud</v>
          </cell>
          <cell r="D7462">
            <v>0</v>
          </cell>
          <cell r="F7462">
            <v>0</v>
          </cell>
        </row>
        <row r="7463">
          <cell r="A7463" t="str">
            <v>291209</v>
          </cell>
          <cell r="B7463" t="str">
            <v>Registro de gaveta FD oval cunha metálica FF PN-10 e cabeçote DN400 - NBR12430</v>
          </cell>
          <cell r="C7463" t="str">
            <v>ud</v>
          </cell>
          <cell r="D7463">
            <v>0</v>
          </cell>
          <cell r="F7463">
            <v>0</v>
          </cell>
        </row>
        <row r="7464">
          <cell r="A7464" t="str">
            <v>291210</v>
          </cell>
          <cell r="B7464" t="str">
            <v>Registro de gaveta FD oval cunha metálica FF PN-10 e cabeçote DN450 - NBR12430</v>
          </cell>
          <cell r="C7464" t="str">
            <v>ud</v>
          </cell>
          <cell r="D7464">
            <v>0</v>
          </cell>
          <cell r="F7464">
            <v>0</v>
          </cell>
        </row>
        <row r="7465">
          <cell r="A7465" t="str">
            <v>291211</v>
          </cell>
          <cell r="B7465" t="str">
            <v>Registro de gaveta FD oval cunha metálica FF PN-10 e cabeçote DN500 - NBR12430</v>
          </cell>
          <cell r="C7465" t="str">
            <v>ud</v>
          </cell>
          <cell r="D7465">
            <v>0</v>
          </cell>
          <cell r="F7465">
            <v>0</v>
          </cell>
        </row>
        <row r="7466">
          <cell r="A7466" t="str">
            <v>291212</v>
          </cell>
          <cell r="B7466" t="str">
            <v>Registro de gaveta FD oval cunha metálica FF PN-10 e cabeçote DN600 - NBR12430</v>
          </cell>
          <cell r="C7466" t="str">
            <v>ud</v>
          </cell>
          <cell r="D7466">
            <v>0</v>
          </cell>
          <cell r="F7466">
            <v>0</v>
          </cell>
        </row>
        <row r="7467">
          <cell r="A7467" t="str">
            <v>291213</v>
          </cell>
          <cell r="B7467" t="str">
            <v>Registro de gaveta FD oval cunha metálica FF PN-10 e cabeçote DN700 - NBR12430</v>
          </cell>
          <cell r="C7467" t="str">
            <v>ud</v>
          </cell>
          <cell r="D7467">
            <v>0</v>
          </cell>
          <cell r="F7467">
            <v>0</v>
          </cell>
        </row>
        <row r="7468">
          <cell r="A7468" t="str">
            <v>291214</v>
          </cell>
          <cell r="B7468" t="str">
            <v>Registro de gaveta FD oval cunha metálica FF PN-10 e cabeçote DN800 - NBR12430</v>
          </cell>
          <cell r="C7468" t="str">
            <v>ud</v>
          </cell>
          <cell r="D7468">
            <v>0</v>
          </cell>
          <cell r="F7468">
            <v>0</v>
          </cell>
        </row>
        <row r="7469">
          <cell r="A7469" t="str">
            <v>291215</v>
          </cell>
          <cell r="B7469" t="str">
            <v>Registro de gaveta FD oval cunha metálica FF PN-10 e cabeçote DN900 - NBR12430</v>
          </cell>
          <cell r="C7469" t="str">
            <v>ud</v>
          </cell>
          <cell r="D7469">
            <v>0</v>
          </cell>
          <cell r="F7469">
            <v>0</v>
          </cell>
        </row>
        <row r="7470">
          <cell r="A7470" t="str">
            <v>291216</v>
          </cell>
          <cell r="B7470" t="str">
            <v>Registro de gaveta FD oval cunha metálica FF PN-10 e cabeçote DN1000 - NBR12430</v>
          </cell>
          <cell r="C7470" t="str">
            <v>ud</v>
          </cell>
          <cell r="D7470">
            <v>0</v>
          </cell>
          <cell r="F7470">
            <v>0</v>
          </cell>
        </row>
        <row r="7471">
          <cell r="A7471" t="str">
            <v>291217</v>
          </cell>
          <cell r="B7471" t="str">
            <v>Registro de gaveta FD oval cunha metálica FF PN-10 e cabeçote DN1100 - NBR12430</v>
          </cell>
          <cell r="C7471" t="str">
            <v>ud</v>
          </cell>
          <cell r="D7471">
            <v>0</v>
          </cell>
          <cell r="F7471">
            <v>0</v>
          </cell>
        </row>
        <row r="7472">
          <cell r="A7472" t="str">
            <v>291218</v>
          </cell>
          <cell r="B7472" t="str">
            <v>Registro de gaveta FD oval cunha metálica FF PN-10 e cabeçote DN1200 - NBR12430</v>
          </cell>
          <cell r="C7472" t="str">
            <v>ud</v>
          </cell>
          <cell r="D7472">
            <v>0</v>
          </cell>
          <cell r="F7472">
            <v>0</v>
          </cell>
        </row>
        <row r="7473">
          <cell r="A7473" t="str">
            <v>291226</v>
          </cell>
          <cell r="B7473" t="str">
            <v>Registro de gaveta FD oval cunha metálica FF PN-16 e cabeçote DN350 - NBR12430</v>
          </cell>
          <cell r="C7473" t="str">
            <v>ud</v>
          </cell>
          <cell r="D7473">
            <v>0</v>
          </cell>
          <cell r="F7473">
            <v>0</v>
          </cell>
        </row>
        <row r="7474">
          <cell r="A7474" t="str">
            <v>291227</v>
          </cell>
          <cell r="B7474" t="str">
            <v>Registro de gaveta FD oval cunha metálica FF PN-16 e cabeçote DN400 - NBR12430</v>
          </cell>
          <cell r="C7474" t="str">
            <v>ud</v>
          </cell>
          <cell r="D7474">
            <v>0</v>
          </cell>
          <cell r="F7474">
            <v>0</v>
          </cell>
        </row>
        <row r="7475">
          <cell r="A7475" t="str">
            <v>291228</v>
          </cell>
          <cell r="B7475" t="str">
            <v>Registro de gaveta FD oval cunha metálica FF PN-16 e cabeçote DN450 - NBR12430</v>
          </cell>
          <cell r="C7475" t="str">
            <v>ud</v>
          </cell>
          <cell r="D7475">
            <v>0</v>
          </cell>
          <cell r="F7475">
            <v>0</v>
          </cell>
        </row>
        <row r="7476">
          <cell r="A7476" t="str">
            <v>291229</v>
          </cell>
          <cell r="B7476" t="str">
            <v>Registro de gaveta FD oval cunha metálica FF PN-16 e cabeçote DN500 -NBR12430</v>
          </cell>
          <cell r="C7476" t="str">
            <v>ud</v>
          </cell>
          <cell r="D7476">
            <v>0</v>
          </cell>
          <cell r="F7476">
            <v>0</v>
          </cell>
        </row>
        <row r="7477">
          <cell r="A7477" t="str">
            <v>291230</v>
          </cell>
          <cell r="B7477" t="str">
            <v>Registro de gaveta FD oval cunha metálica FF PN-16 e cabeçote DN600 - NBR12430</v>
          </cell>
          <cell r="C7477" t="str">
            <v>ud</v>
          </cell>
          <cell r="D7477">
            <v>0</v>
          </cell>
          <cell r="F7477">
            <v>0</v>
          </cell>
        </row>
        <row r="7478">
          <cell r="A7478" t="str">
            <v>291231</v>
          </cell>
          <cell r="B7478" t="str">
            <v>Registro de gaveta FD oval cunha metálica FF PN-16 e cabeçote DN700 - NBR12430</v>
          </cell>
          <cell r="C7478" t="str">
            <v>ud</v>
          </cell>
          <cell r="D7478">
            <v>0</v>
          </cell>
          <cell r="F7478">
            <v>0</v>
          </cell>
        </row>
        <row r="7479">
          <cell r="A7479" t="str">
            <v>291232</v>
          </cell>
          <cell r="B7479" t="str">
            <v>Registro de gaveta FD oval cunha metálica FF PN-16 e cabeçote DN800 - NBR12430</v>
          </cell>
          <cell r="C7479" t="str">
            <v>ud</v>
          </cell>
          <cell r="D7479">
            <v>0</v>
          </cell>
          <cell r="F7479">
            <v>0</v>
          </cell>
        </row>
        <row r="7480">
          <cell r="A7480" t="str">
            <v>291233</v>
          </cell>
          <cell r="B7480" t="str">
            <v>Registro de gaveta FD oval cunha metálica FF PN-16 e cabeçote DN900 - NBR12430</v>
          </cell>
          <cell r="C7480" t="str">
            <v>ud</v>
          </cell>
          <cell r="D7480">
            <v>0</v>
          </cell>
          <cell r="F7480">
            <v>0</v>
          </cell>
        </row>
        <row r="7481">
          <cell r="A7481" t="str">
            <v>291234</v>
          </cell>
          <cell r="B7481" t="str">
            <v>Registro de gaveta FD oval cunha metálica FF PN-16 e cabeçote DN1000 - NBR12430</v>
          </cell>
          <cell r="C7481" t="str">
            <v>ud</v>
          </cell>
          <cell r="D7481">
            <v>0</v>
          </cell>
          <cell r="F7481">
            <v>0</v>
          </cell>
        </row>
        <row r="7482">
          <cell r="A7482" t="str">
            <v>291235</v>
          </cell>
          <cell r="B7482" t="str">
            <v>Registro de gaveta FD oval cunha metálica FF PN-16 e cabeçote DN1100 - NBR12430</v>
          </cell>
          <cell r="C7482" t="str">
            <v>ud</v>
          </cell>
          <cell r="D7482">
            <v>0</v>
          </cell>
          <cell r="F7482">
            <v>0</v>
          </cell>
        </row>
        <row r="7483">
          <cell r="A7483" t="str">
            <v>291236</v>
          </cell>
          <cell r="B7483" t="str">
            <v>Registro de gaveta FD oval cunha metálica FF PN-16 e cabeçote DN1200 - NBR12430</v>
          </cell>
          <cell r="C7483" t="str">
            <v>ud</v>
          </cell>
          <cell r="D7483">
            <v>0</v>
          </cell>
          <cell r="F7483">
            <v>0</v>
          </cell>
        </row>
        <row r="7484">
          <cell r="A7484" t="str">
            <v>291242</v>
          </cell>
          <cell r="B7484" t="str">
            <v>Registro de gaveta FD oval cunha metálica FF PN-25 e cabeçote DN250 - NBR12430</v>
          </cell>
          <cell r="C7484" t="str">
            <v>ud</v>
          </cell>
          <cell r="D7484">
            <v>0</v>
          </cell>
          <cell r="F7484">
            <v>0</v>
          </cell>
        </row>
        <row r="7485">
          <cell r="A7485" t="str">
            <v>291243</v>
          </cell>
          <cell r="B7485" t="str">
            <v>Registro de gaveta FD oval cunha metálica FF PN-25 e cabeçote DN300 - NBR12430</v>
          </cell>
          <cell r="C7485" t="str">
            <v>ud</v>
          </cell>
          <cell r="D7485">
            <v>0</v>
          </cell>
          <cell r="F7485">
            <v>0</v>
          </cell>
        </row>
        <row r="7486">
          <cell r="A7486" t="str">
            <v>291244</v>
          </cell>
          <cell r="B7486" t="str">
            <v>Registro de gaveta FD oval cunha metálica FF PN-25 e cabeçote DN350 - NBR12430</v>
          </cell>
          <cell r="C7486" t="str">
            <v>ud</v>
          </cell>
          <cell r="D7486">
            <v>0</v>
          </cell>
          <cell r="F7486">
            <v>0</v>
          </cell>
        </row>
        <row r="7487">
          <cell r="A7487" t="str">
            <v>291245</v>
          </cell>
          <cell r="B7487" t="str">
            <v>Registro de gaveta FD oval cunha metálica FF PN-25 e cabeçote DN400 - NBR12430</v>
          </cell>
          <cell r="C7487" t="str">
            <v>ud</v>
          </cell>
          <cell r="D7487">
            <v>0</v>
          </cell>
          <cell r="F7487">
            <v>0</v>
          </cell>
        </row>
        <row r="7488">
          <cell r="A7488" t="str">
            <v>291246</v>
          </cell>
          <cell r="B7488" t="str">
            <v>Registro de gaveta FD oval cunha metálica FF PN-25 e cabeçote DN450 - NBR12430</v>
          </cell>
          <cell r="C7488" t="str">
            <v>ud</v>
          </cell>
          <cell r="D7488">
            <v>0</v>
          </cell>
          <cell r="F7488">
            <v>0</v>
          </cell>
        </row>
        <row r="7489">
          <cell r="A7489" t="str">
            <v>291247</v>
          </cell>
          <cell r="B7489" t="str">
            <v>Registro de gaveta FD oval cunha metálica FF PN-25 e cabeçote DN500 - NBR12430</v>
          </cell>
          <cell r="C7489" t="str">
            <v>ud</v>
          </cell>
          <cell r="D7489">
            <v>0</v>
          </cell>
          <cell r="F7489">
            <v>0</v>
          </cell>
        </row>
        <row r="7490">
          <cell r="A7490" t="str">
            <v>291248</v>
          </cell>
          <cell r="B7490" t="str">
            <v>Registro de gaveta FD oval cunha metálica FF PN-25 e cabeçote DN600 - NBR12430</v>
          </cell>
          <cell r="C7490" t="str">
            <v>ud</v>
          </cell>
          <cell r="D7490">
            <v>0</v>
          </cell>
          <cell r="F7490">
            <v>0</v>
          </cell>
        </row>
        <row r="7491">
          <cell r="A7491" t="str">
            <v>291249</v>
          </cell>
          <cell r="B7491" t="str">
            <v>Registro de gaveta FD oval cunha metálica FF PN-25 e cabeçote DN700 - NBR12430</v>
          </cell>
          <cell r="C7491" t="str">
            <v>ud</v>
          </cell>
          <cell r="D7491">
            <v>0</v>
          </cell>
          <cell r="F7491">
            <v>0</v>
          </cell>
        </row>
        <row r="7492">
          <cell r="A7492" t="str">
            <v>291250</v>
          </cell>
          <cell r="B7492" t="str">
            <v>Registro de gaveta FD oval cunha metálica FF PN-25 e cabeçote DN800 - NBR12430</v>
          </cell>
          <cell r="C7492" t="str">
            <v>ud</v>
          </cell>
          <cell r="D7492">
            <v>0</v>
          </cell>
          <cell r="F7492">
            <v>0</v>
          </cell>
        </row>
        <row r="7493">
          <cell r="A7493" t="str">
            <v>291251</v>
          </cell>
          <cell r="B7493" t="str">
            <v>Registro de gaveta FD oval cunha metálica FF PN-25 e cabeçote DN900 - NBR12430</v>
          </cell>
          <cell r="C7493" t="str">
            <v>ud</v>
          </cell>
          <cell r="D7493">
            <v>0</v>
          </cell>
          <cell r="F7493">
            <v>0</v>
          </cell>
        </row>
        <row r="7494">
          <cell r="A7494" t="str">
            <v>291252</v>
          </cell>
          <cell r="B7494" t="str">
            <v>Registro de gaveta FD oval cunha metálica FF PN-25 e cabeçote DN1000 - NBR12430</v>
          </cell>
          <cell r="C7494" t="str">
            <v>ud</v>
          </cell>
          <cell r="D7494">
            <v>0</v>
          </cell>
          <cell r="F7494">
            <v>0</v>
          </cell>
        </row>
        <row r="7495">
          <cell r="A7495" t="str">
            <v>291253</v>
          </cell>
          <cell r="B7495" t="str">
            <v>Registro de gaveta FD oval cunha metálica FF PN-25 e cabeçote DN1100 - NBR12430</v>
          </cell>
          <cell r="C7495" t="str">
            <v>ud</v>
          </cell>
          <cell r="D7495">
            <v>0</v>
          </cell>
          <cell r="F7495">
            <v>0</v>
          </cell>
        </row>
        <row r="7496">
          <cell r="A7496" t="str">
            <v>291254</v>
          </cell>
          <cell r="B7496" t="str">
            <v>Registro de gaveta FD oval cunha metálica FF PN-25 e cabeçote DN1200 - NBR12430</v>
          </cell>
          <cell r="C7496" t="str">
            <v>ud</v>
          </cell>
          <cell r="D7496">
            <v>0</v>
          </cell>
          <cell r="F7496">
            <v>0</v>
          </cell>
        </row>
        <row r="7497">
          <cell r="A7497" t="str">
            <v>2913</v>
          </cell>
          <cell r="B7497" t="str">
            <v>REGISTRO DE GAVETA OVAL C.MET. FF E VOLANTE</v>
          </cell>
        </row>
        <row r="7498">
          <cell r="A7498" t="str">
            <v>291308</v>
          </cell>
          <cell r="B7498" t="str">
            <v>Registro de gaveta FD oval cunha metálica FF PN-10 e volante DN350 - NBR12430</v>
          </cell>
          <cell r="C7498" t="str">
            <v>ud</v>
          </cell>
          <cell r="D7498">
            <v>0</v>
          </cell>
          <cell r="F7498">
            <v>0</v>
          </cell>
        </row>
        <row r="7499">
          <cell r="A7499" t="str">
            <v>291309</v>
          </cell>
          <cell r="B7499" t="str">
            <v>Registro de gaveta FD oval cunha metálica FF PN-10 e volante DN400 - NBR12430</v>
          </cell>
          <cell r="C7499" t="str">
            <v>ud</v>
          </cell>
          <cell r="D7499">
            <v>0</v>
          </cell>
          <cell r="F7499">
            <v>0</v>
          </cell>
        </row>
        <row r="7500">
          <cell r="A7500" t="str">
            <v>291310</v>
          </cell>
          <cell r="B7500" t="str">
            <v>Registro de gaveta FD oval cunha metálica FF PN-10 e volante DN450 - NBR12430</v>
          </cell>
          <cell r="C7500" t="str">
            <v>ud</v>
          </cell>
          <cell r="D7500">
            <v>0</v>
          </cell>
          <cell r="F7500">
            <v>0</v>
          </cell>
        </row>
        <row r="7501">
          <cell r="A7501" t="str">
            <v>291311</v>
          </cell>
          <cell r="B7501" t="str">
            <v>Registro de gaveta FD oval cunha metálica FF PN-10 e volante DN500 - NBR12430</v>
          </cell>
          <cell r="C7501" t="str">
            <v>ud</v>
          </cell>
          <cell r="D7501">
            <v>0</v>
          </cell>
          <cell r="F7501">
            <v>0</v>
          </cell>
        </row>
        <row r="7502">
          <cell r="A7502" t="str">
            <v>291312</v>
          </cell>
          <cell r="B7502" t="str">
            <v>Registro de gaveta FD oval cunha metálica FF PN-10 e volante DN600 - NBR12430</v>
          </cell>
          <cell r="C7502" t="str">
            <v>ud</v>
          </cell>
          <cell r="D7502">
            <v>0</v>
          </cell>
          <cell r="F7502">
            <v>0</v>
          </cell>
        </row>
        <row r="7503">
          <cell r="A7503" t="str">
            <v>291313</v>
          </cell>
          <cell r="B7503" t="str">
            <v>Registro de gaveta FD oval cunha metálica FF PN-10 e volante DN700 - NBR12430</v>
          </cell>
          <cell r="C7503" t="str">
            <v>ud</v>
          </cell>
          <cell r="D7503">
            <v>0</v>
          </cell>
          <cell r="F7503">
            <v>0</v>
          </cell>
        </row>
        <row r="7504">
          <cell r="A7504" t="str">
            <v>291314</v>
          </cell>
          <cell r="B7504" t="str">
            <v>Registro de gaveta FD oval cunha metálica FF PN-10 e volante DN800 - NBR12430</v>
          </cell>
          <cell r="C7504" t="str">
            <v>ud</v>
          </cell>
          <cell r="D7504">
            <v>0</v>
          </cell>
          <cell r="F7504">
            <v>0</v>
          </cell>
        </row>
        <row r="7505">
          <cell r="A7505" t="str">
            <v>291315</v>
          </cell>
          <cell r="B7505" t="str">
            <v>Registro de gaveta FD oval cunha metálica FF PN-10 e volante DN900 - NBR12430</v>
          </cell>
          <cell r="C7505" t="str">
            <v>ud</v>
          </cell>
          <cell r="D7505">
            <v>0</v>
          </cell>
          <cell r="F7505">
            <v>0</v>
          </cell>
        </row>
        <row r="7506">
          <cell r="A7506" t="str">
            <v>291316</v>
          </cell>
          <cell r="B7506" t="str">
            <v>Registro de gaveta FD oval cunha metálica FF PN-10 e volante DN1000 - NBR12430</v>
          </cell>
          <cell r="C7506" t="str">
            <v>ud</v>
          </cell>
          <cell r="D7506">
            <v>0</v>
          </cell>
          <cell r="F7506">
            <v>0</v>
          </cell>
        </row>
        <row r="7507">
          <cell r="A7507" t="str">
            <v>291317</v>
          </cell>
          <cell r="B7507" t="str">
            <v>Registro de gaveta FD oval cunha metálica FF PN-10 e volante DN1100 - NBR12430</v>
          </cell>
          <cell r="C7507" t="str">
            <v>ud</v>
          </cell>
          <cell r="D7507">
            <v>0</v>
          </cell>
          <cell r="F7507">
            <v>0</v>
          </cell>
        </row>
        <row r="7508">
          <cell r="A7508" t="str">
            <v>291318</v>
          </cell>
          <cell r="B7508" t="str">
            <v>Registro de gaveta FD oval cunha metálica FF PN-10 e volante DN1200 - NBR12430</v>
          </cell>
          <cell r="C7508" t="str">
            <v>ud</v>
          </cell>
          <cell r="D7508">
            <v>0</v>
          </cell>
          <cell r="F7508">
            <v>0</v>
          </cell>
        </row>
        <row r="7509">
          <cell r="A7509" t="str">
            <v>291326</v>
          </cell>
          <cell r="B7509" t="str">
            <v>Registro de gaveta FD oval cunha metálica FF PN-16 e volante DN350 - NBR12430</v>
          </cell>
          <cell r="C7509" t="str">
            <v>ud</v>
          </cell>
          <cell r="D7509">
            <v>0</v>
          </cell>
          <cell r="F7509">
            <v>0</v>
          </cell>
        </row>
        <row r="7510">
          <cell r="A7510" t="str">
            <v>291327</v>
          </cell>
          <cell r="B7510" t="str">
            <v>Registro de gaveta FD oval cunha metálica FF PN-16 e volante DN400 - NBR12430</v>
          </cell>
          <cell r="C7510" t="str">
            <v>ud</v>
          </cell>
          <cell r="D7510">
            <v>0</v>
          </cell>
          <cell r="F7510">
            <v>0</v>
          </cell>
        </row>
        <row r="7511">
          <cell r="A7511" t="str">
            <v>291328</v>
          </cell>
          <cell r="B7511" t="str">
            <v>Registro de gaveta FD oval cunha metálica FF PN-16 e volante DN450 - NBR12430</v>
          </cell>
          <cell r="C7511" t="str">
            <v>ud</v>
          </cell>
          <cell r="D7511">
            <v>0</v>
          </cell>
          <cell r="F7511">
            <v>0</v>
          </cell>
        </row>
        <row r="7512">
          <cell r="A7512" t="str">
            <v>291329</v>
          </cell>
          <cell r="B7512" t="str">
            <v>Registro de gaveta FD oval cunha metálica FF PN-16 e volante DN500 - NBR12430</v>
          </cell>
          <cell r="C7512" t="str">
            <v>ud</v>
          </cell>
          <cell r="D7512">
            <v>0</v>
          </cell>
          <cell r="F7512">
            <v>0</v>
          </cell>
        </row>
        <row r="7513">
          <cell r="A7513" t="str">
            <v>291330</v>
          </cell>
          <cell r="B7513" t="str">
            <v>Registro de gaveta FD oval cunha metálica FF PN-16 e volante DN600 - NBR12430</v>
          </cell>
          <cell r="C7513" t="str">
            <v>ud</v>
          </cell>
          <cell r="D7513">
            <v>0</v>
          </cell>
          <cell r="F7513">
            <v>0</v>
          </cell>
        </row>
        <row r="7514">
          <cell r="A7514" t="str">
            <v>291331</v>
          </cell>
          <cell r="B7514" t="str">
            <v>Registro de gaveta FD oval cunha metálica FF PN-16 e volante DN700 - NBR12430</v>
          </cell>
          <cell r="C7514" t="str">
            <v>ud</v>
          </cell>
          <cell r="D7514">
            <v>0</v>
          </cell>
          <cell r="F7514">
            <v>0</v>
          </cell>
        </row>
        <row r="7515">
          <cell r="A7515" t="str">
            <v>291332</v>
          </cell>
          <cell r="B7515" t="str">
            <v>Registro de gaveta FD oval cunha metálica FF PN-16 e volante DN800 - NBR12430</v>
          </cell>
          <cell r="C7515" t="str">
            <v>ud</v>
          </cell>
          <cell r="D7515">
            <v>0</v>
          </cell>
          <cell r="F7515">
            <v>0</v>
          </cell>
        </row>
        <row r="7516">
          <cell r="A7516" t="str">
            <v>291333</v>
          </cell>
          <cell r="B7516" t="str">
            <v>Registro de gaveta FD oval cunha metálica FF PN-16 e volante DN900 - NBR12430</v>
          </cell>
          <cell r="C7516" t="str">
            <v>ud</v>
          </cell>
          <cell r="D7516">
            <v>0</v>
          </cell>
          <cell r="F7516">
            <v>0</v>
          </cell>
        </row>
        <row r="7517">
          <cell r="A7517" t="str">
            <v>291334</v>
          </cell>
          <cell r="B7517" t="str">
            <v>Registro de gaveta FD oval cunha metálica FF PN-16 e volante DN1000 - NBR12430</v>
          </cell>
          <cell r="C7517" t="str">
            <v>ud</v>
          </cell>
          <cell r="D7517">
            <v>0</v>
          </cell>
          <cell r="F7517">
            <v>0</v>
          </cell>
        </row>
        <row r="7518">
          <cell r="A7518" t="str">
            <v>291335</v>
          </cell>
          <cell r="B7518" t="str">
            <v>Registro de gaveta FD oval cunha metálica FF PN-16 e volante DN1100 - NBR12430</v>
          </cell>
          <cell r="C7518" t="str">
            <v>ud</v>
          </cell>
          <cell r="D7518">
            <v>0</v>
          </cell>
          <cell r="F7518">
            <v>0</v>
          </cell>
        </row>
        <row r="7519">
          <cell r="A7519" t="str">
            <v>291336</v>
          </cell>
          <cell r="B7519" t="str">
            <v>Registro de gaveta FD oval cunha metálica FF PN-16 e volante DN1200 - NBR12430</v>
          </cell>
          <cell r="C7519" t="str">
            <v>ud</v>
          </cell>
          <cell r="D7519">
            <v>0</v>
          </cell>
          <cell r="F7519">
            <v>0</v>
          </cell>
        </row>
        <row r="7520">
          <cell r="A7520" t="str">
            <v>291342</v>
          </cell>
          <cell r="B7520" t="str">
            <v>Registro de gaveta FD oval cunha metálica FF PN-25 e volante DN250 - NBR12430</v>
          </cell>
          <cell r="C7520" t="str">
            <v>ud</v>
          </cell>
          <cell r="D7520">
            <v>0</v>
          </cell>
          <cell r="F7520">
            <v>0</v>
          </cell>
        </row>
        <row r="7521">
          <cell r="A7521" t="str">
            <v>291343</v>
          </cell>
          <cell r="B7521" t="str">
            <v>Registro de gaveta FD oval cunha metálica FF PN-25 e volante DN300 - NBR12430</v>
          </cell>
          <cell r="C7521" t="str">
            <v>ud</v>
          </cell>
          <cell r="D7521">
            <v>0</v>
          </cell>
          <cell r="F7521">
            <v>0</v>
          </cell>
        </row>
        <row r="7522">
          <cell r="A7522" t="str">
            <v>291344</v>
          </cell>
          <cell r="B7522" t="str">
            <v>Registro de gaveta FD oval cunha metálica FF PN-25 e volante DN350 - NBR12430</v>
          </cell>
          <cell r="C7522" t="str">
            <v>ud</v>
          </cell>
          <cell r="D7522">
            <v>0</v>
          </cell>
          <cell r="F7522">
            <v>0</v>
          </cell>
        </row>
        <row r="7523">
          <cell r="A7523" t="str">
            <v>291345</v>
          </cell>
          <cell r="B7523" t="str">
            <v>Registro de gaveta FD oval cunha metálica FF PN-25 e volante DN400 - NBR12430</v>
          </cell>
          <cell r="C7523" t="str">
            <v>ud</v>
          </cell>
          <cell r="D7523">
            <v>0</v>
          </cell>
          <cell r="F7523">
            <v>0</v>
          </cell>
        </row>
        <row r="7524">
          <cell r="A7524" t="str">
            <v>291346</v>
          </cell>
          <cell r="B7524" t="str">
            <v>Registro de gaveta FD oval cunha metálica FF PN-25 e volante DN450 - NBR12430</v>
          </cell>
          <cell r="C7524" t="str">
            <v>ud</v>
          </cell>
          <cell r="D7524">
            <v>0</v>
          </cell>
          <cell r="F7524">
            <v>0</v>
          </cell>
        </row>
        <row r="7525">
          <cell r="A7525" t="str">
            <v>291347</v>
          </cell>
          <cell r="B7525" t="str">
            <v>Registro de gaveta FD oval cunha metálica FF PN-25 e volante DN500 - NBR12430</v>
          </cell>
          <cell r="C7525" t="str">
            <v>ud</v>
          </cell>
          <cell r="D7525">
            <v>0</v>
          </cell>
          <cell r="F7525">
            <v>0</v>
          </cell>
        </row>
        <row r="7526">
          <cell r="A7526" t="str">
            <v>291348</v>
          </cell>
          <cell r="B7526" t="str">
            <v>Registro de gaveta FD oval cunha metálica FF PN-25 e volante DN600 - NBR12430</v>
          </cell>
          <cell r="C7526" t="str">
            <v>ud</v>
          </cell>
          <cell r="D7526">
            <v>0</v>
          </cell>
          <cell r="F7526">
            <v>0</v>
          </cell>
        </row>
        <row r="7527">
          <cell r="A7527" t="str">
            <v>291349</v>
          </cell>
          <cell r="B7527" t="str">
            <v>Registro de gaveta FD oval cunha metálica FF PN-25 e volante DN700 - NBR12430</v>
          </cell>
          <cell r="C7527" t="str">
            <v>ud</v>
          </cell>
          <cell r="D7527">
            <v>0</v>
          </cell>
          <cell r="F7527">
            <v>0</v>
          </cell>
        </row>
        <row r="7528">
          <cell r="A7528" t="str">
            <v>291350</v>
          </cell>
          <cell r="B7528" t="str">
            <v>Registro de gaveta FD oval cunha metálica FF PN-25 e volante DN800 - NBR12430</v>
          </cell>
          <cell r="C7528" t="str">
            <v>ud</v>
          </cell>
          <cell r="D7528">
            <v>0</v>
          </cell>
          <cell r="F7528">
            <v>0</v>
          </cell>
        </row>
        <row r="7529">
          <cell r="A7529" t="str">
            <v>291351</v>
          </cell>
          <cell r="B7529" t="str">
            <v>Registro de gaveta FD oval cunha metálica FF PN-25 e volante DN900 - NBR12430</v>
          </cell>
          <cell r="C7529" t="str">
            <v>ud</v>
          </cell>
          <cell r="D7529">
            <v>0</v>
          </cell>
          <cell r="F7529">
            <v>0</v>
          </cell>
        </row>
        <row r="7530">
          <cell r="A7530" t="str">
            <v>291352</v>
          </cell>
          <cell r="B7530" t="str">
            <v>Registro de gaveta FD oval cunha metálica FF PN-25 e volante DN1000 - NBR12430</v>
          </cell>
          <cell r="C7530" t="str">
            <v>ud</v>
          </cell>
          <cell r="D7530">
            <v>0</v>
          </cell>
          <cell r="F7530">
            <v>0</v>
          </cell>
        </row>
        <row r="7531">
          <cell r="A7531" t="str">
            <v>291353</v>
          </cell>
          <cell r="B7531" t="str">
            <v>Registro de gaveta FD oval cunha metálica FF PN-25 e volante DN1100 - NBR12430</v>
          </cell>
          <cell r="C7531" t="str">
            <v>ud</v>
          </cell>
          <cell r="D7531">
            <v>0</v>
          </cell>
          <cell r="F7531">
            <v>0</v>
          </cell>
        </row>
        <row r="7532">
          <cell r="A7532" t="str">
            <v>291354</v>
          </cell>
          <cell r="B7532" t="str">
            <v>Registro de gaveta FD oval cunha metálica FF PN-25 e volante DN1200 - NBR12430</v>
          </cell>
          <cell r="C7532" t="str">
            <v>ud</v>
          </cell>
          <cell r="D7532">
            <v>0</v>
          </cell>
          <cell r="F7532">
            <v>0</v>
          </cell>
        </row>
        <row r="7533">
          <cell r="A7533" t="str">
            <v>2914</v>
          </cell>
          <cell r="B7533" t="str">
            <v>REGISTRO DE GAVETA H.ASC. C.EMB. FF E CABEÇOTE</v>
          </cell>
        </row>
        <row r="7534">
          <cell r="A7534" t="str">
            <v>291401</v>
          </cell>
          <cell r="B7534" t="str">
            <v>Registro de gaveta FD haste ascendente cunha emborrachada FF PN-10 e cabeçote DN80 - NBR14968</v>
          </cell>
          <cell r="C7534" t="str">
            <v>ud</v>
          </cell>
          <cell r="D7534">
            <v>0</v>
          </cell>
          <cell r="F7534">
            <v>0</v>
          </cell>
        </row>
        <row r="7535">
          <cell r="A7535" t="str">
            <v>291402</v>
          </cell>
          <cell r="B7535" t="str">
            <v>Registro de gaveta FD haste ascendente cunha emborrachada FF PN-10 e cabeçote DN100 - NBR14968</v>
          </cell>
          <cell r="C7535" t="str">
            <v>ud</v>
          </cell>
          <cell r="D7535">
            <v>0</v>
          </cell>
          <cell r="F7535">
            <v>0</v>
          </cell>
        </row>
        <row r="7536">
          <cell r="A7536" t="str">
            <v>291403</v>
          </cell>
          <cell r="B7536" t="str">
            <v>Registro de gaveta FD haste ascendente cunha emborrachada FF PN-10 e cabeçote DN150 - NBR14968</v>
          </cell>
          <cell r="C7536" t="str">
            <v>ud</v>
          </cell>
          <cell r="D7536">
            <v>0</v>
          </cell>
          <cell r="F7536">
            <v>0</v>
          </cell>
        </row>
        <row r="7537">
          <cell r="A7537" t="str">
            <v>291404</v>
          </cell>
          <cell r="B7537" t="str">
            <v>Registro de gaveta FD haste ascendente cunha emborrachada FF PN-10 e cabeçote DN200 - NBR14968</v>
          </cell>
          <cell r="C7537" t="str">
            <v>ud</v>
          </cell>
          <cell r="D7537">
            <v>0</v>
          </cell>
          <cell r="F7537">
            <v>0</v>
          </cell>
        </row>
        <row r="7538">
          <cell r="A7538" t="str">
            <v>291421</v>
          </cell>
          <cell r="B7538" t="str">
            <v>Registro de gaveta FD haste ascendente cunha emborrachada FF PN-16 e cabeçote DN80 - NBR14968</v>
          </cell>
          <cell r="C7538" t="str">
            <v>ud</v>
          </cell>
          <cell r="D7538">
            <v>0</v>
          </cell>
          <cell r="F7538">
            <v>0</v>
          </cell>
        </row>
        <row r="7539">
          <cell r="A7539" t="str">
            <v>291422</v>
          </cell>
          <cell r="B7539" t="str">
            <v>Registro de gaveta FD haste ascendente cunha emborrachada FF PN-16 e cabeçote DN100 - NBR14968</v>
          </cell>
          <cell r="C7539" t="str">
            <v>ud</v>
          </cell>
          <cell r="D7539">
            <v>0</v>
          </cell>
          <cell r="F7539">
            <v>0</v>
          </cell>
        </row>
        <row r="7540">
          <cell r="A7540" t="str">
            <v>291423</v>
          </cell>
          <cell r="B7540" t="str">
            <v>Registro de gaveta FD haste ascendente cunha emborrachada FF PN-16 e cabeçote DN150 - NBR14968</v>
          </cell>
          <cell r="C7540" t="str">
            <v>ud</v>
          </cell>
          <cell r="D7540">
            <v>0</v>
          </cell>
          <cell r="F7540">
            <v>0</v>
          </cell>
        </row>
        <row r="7541">
          <cell r="A7541" t="str">
            <v>291424</v>
          </cell>
          <cell r="B7541" t="str">
            <v>Registro de gaveta FD haste ascendente cunha emborrachada FF PN-16 e cabeçote DN200 - NBR14968</v>
          </cell>
          <cell r="C7541" t="str">
            <v>ud</v>
          </cell>
          <cell r="D7541">
            <v>0</v>
          </cell>
          <cell r="F7541">
            <v>0</v>
          </cell>
        </row>
        <row r="7542">
          <cell r="A7542" t="str">
            <v>2915</v>
          </cell>
          <cell r="B7542" t="str">
            <v>REGISTRO DE GAVETA H.ASC. C.EMB. FF E VOLANTE</v>
          </cell>
        </row>
        <row r="7543">
          <cell r="A7543" t="str">
            <v>291501</v>
          </cell>
          <cell r="B7543" t="str">
            <v>Registro de gaveta FD haste ascendente cunha emborrachada FF PN-10 e volante DN80 - NBR14968</v>
          </cell>
          <cell r="C7543" t="str">
            <v>ud</v>
          </cell>
          <cell r="D7543">
            <v>0</v>
          </cell>
          <cell r="F7543">
            <v>0</v>
          </cell>
        </row>
        <row r="7544">
          <cell r="A7544" t="str">
            <v>291502</v>
          </cell>
          <cell r="B7544" t="str">
            <v>Registro de gaveta FD haste ascendente cunha emborrachada FF PN-10 e volante DN100 - NBR14968</v>
          </cell>
          <cell r="C7544" t="str">
            <v>ud</v>
          </cell>
          <cell r="D7544">
            <v>0</v>
          </cell>
          <cell r="F7544">
            <v>0</v>
          </cell>
        </row>
        <row r="7545">
          <cell r="A7545" t="str">
            <v>291503</v>
          </cell>
          <cell r="B7545" t="str">
            <v>Registro de gaveta FD haste ascendente cunha emborrachada FF PN-10 e volante DN150 - NBR14968</v>
          </cell>
          <cell r="C7545" t="str">
            <v>ud</v>
          </cell>
          <cell r="D7545">
            <v>0</v>
          </cell>
          <cell r="F7545">
            <v>0</v>
          </cell>
        </row>
        <row r="7546">
          <cell r="A7546" t="str">
            <v>291504</v>
          </cell>
          <cell r="B7546" t="str">
            <v>Registro de gaveta FD haste ascendente cunha emborrachada FF PN-10 e volante DN200 - NBR14968</v>
          </cell>
          <cell r="C7546" t="str">
            <v>ud</v>
          </cell>
          <cell r="D7546">
            <v>0</v>
          </cell>
          <cell r="F7546">
            <v>0</v>
          </cell>
        </row>
        <row r="7547">
          <cell r="A7547" t="str">
            <v>291521</v>
          </cell>
          <cell r="B7547" t="str">
            <v>Registro de gaveta FD haste ascendente cunha emborrachada FF PN-16 e volante DN80 - NBR14968</v>
          </cell>
          <cell r="C7547" t="str">
            <v>ud</v>
          </cell>
          <cell r="D7547">
            <v>0</v>
          </cell>
          <cell r="F7547">
            <v>0</v>
          </cell>
        </row>
        <row r="7548">
          <cell r="A7548" t="str">
            <v>291522</v>
          </cell>
          <cell r="B7548" t="str">
            <v>Registro de gaveta FD haste ascendente cunha emborrachada FF PN-16 e volante DN100 - NBR14968</v>
          </cell>
          <cell r="C7548" t="str">
            <v>ud</v>
          </cell>
          <cell r="D7548">
            <v>0</v>
          </cell>
          <cell r="F7548">
            <v>0</v>
          </cell>
        </row>
        <row r="7549">
          <cell r="A7549" t="str">
            <v>291523</v>
          </cell>
          <cell r="B7549" t="str">
            <v>Registro de gaveta FD haste ascendente cunha emborrachada FF PN-16 e volante DN150 - NBR14968</v>
          </cell>
          <cell r="C7549" t="str">
            <v>ud</v>
          </cell>
          <cell r="D7549">
            <v>0</v>
          </cell>
          <cell r="F7549">
            <v>0</v>
          </cell>
        </row>
        <row r="7550">
          <cell r="A7550" t="str">
            <v>291524</v>
          </cell>
          <cell r="B7550" t="str">
            <v>Registro de gaveta FD haste ascendente cunha emborrachada FF PN-16 e volante DN200 - NBR14968</v>
          </cell>
          <cell r="C7550" t="str">
            <v>ud</v>
          </cell>
          <cell r="D7550">
            <v>0</v>
          </cell>
          <cell r="F7550">
            <v>0</v>
          </cell>
        </row>
        <row r="7551">
          <cell r="A7551" t="str">
            <v>2950</v>
          </cell>
          <cell r="B7551" t="str">
            <v>VÁLVULA REDUTORA DE PRESSÃO</v>
          </cell>
        </row>
        <row r="7552">
          <cell r="A7552" t="str">
            <v>295001</v>
          </cell>
          <cell r="B7552" t="str">
            <v>Válvula redutora de pressão 1/2"</v>
          </cell>
          <cell r="C7552" t="str">
            <v>ud</v>
          </cell>
          <cell r="D7552">
            <v>0</v>
          </cell>
        </row>
        <row r="7553">
          <cell r="A7553" t="str">
            <v>295002</v>
          </cell>
          <cell r="B7553" t="str">
            <v>Válvula redutora de pressão 3/4"</v>
          </cell>
          <cell r="C7553" t="str">
            <v>ud</v>
          </cell>
          <cell r="D7553">
            <v>0</v>
          </cell>
        </row>
        <row r="7554">
          <cell r="A7554" t="str">
            <v>295003</v>
          </cell>
          <cell r="B7554" t="str">
            <v>Válvula redutora de pressão 1"</v>
          </cell>
          <cell r="C7554" t="str">
            <v>ud</v>
          </cell>
          <cell r="D7554">
            <v>0</v>
          </cell>
        </row>
        <row r="7555">
          <cell r="A7555" t="str">
            <v>295004</v>
          </cell>
          <cell r="B7555" t="str">
            <v xml:space="preserve">Válvula redutora de pressão 1.1/4" </v>
          </cell>
          <cell r="C7555" t="str">
            <v>ud</v>
          </cell>
          <cell r="D7555">
            <v>0</v>
          </cell>
        </row>
        <row r="7556">
          <cell r="A7556" t="str">
            <v>295005</v>
          </cell>
          <cell r="B7556" t="str">
            <v>Válvula redutora de pressão 1.1/2"</v>
          </cell>
          <cell r="C7556" t="str">
            <v>ud</v>
          </cell>
          <cell r="D7556">
            <v>0</v>
          </cell>
        </row>
        <row r="7557">
          <cell r="A7557" t="str">
            <v>295006</v>
          </cell>
          <cell r="B7557" t="str">
            <v>Válvula redutora de pressão 2"</v>
          </cell>
          <cell r="C7557" t="str">
            <v>ud</v>
          </cell>
          <cell r="D7557">
            <v>0</v>
          </cell>
        </row>
        <row r="7558">
          <cell r="A7558" t="str">
            <v>295007</v>
          </cell>
          <cell r="B7558" t="str">
            <v>Válvula redutora de pressão 2.1/2"</v>
          </cell>
          <cell r="C7558" t="str">
            <v>ud</v>
          </cell>
          <cell r="D7558">
            <v>0</v>
          </cell>
        </row>
        <row r="7559">
          <cell r="A7559" t="str">
            <v>295008</v>
          </cell>
          <cell r="B7559" t="str">
            <v>Válvula redutora de pressão 3"</v>
          </cell>
          <cell r="C7559" t="str">
            <v>ud</v>
          </cell>
          <cell r="D7559">
            <v>0</v>
          </cell>
        </row>
        <row r="7560">
          <cell r="A7560" t="str">
            <v>295009</v>
          </cell>
          <cell r="B7560" t="str">
            <v>Válvula redutora de pressão 4"</v>
          </cell>
          <cell r="C7560" t="str">
            <v>ud</v>
          </cell>
          <cell r="D7560">
            <v>0</v>
          </cell>
        </row>
        <row r="7561">
          <cell r="A7561" t="str">
            <v>295010</v>
          </cell>
          <cell r="B7561" t="str">
            <v xml:space="preserve">Válvula redutora de pressão 5" </v>
          </cell>
          <cell r="C7561" t="str">
            <v>ud</v>
          </cell>
          <cell r="D7561">
            <v>0</v>
          </cell>
        </row>
        <row r="7562">
          <cell r="A7562" t="str">
            <v>295011</v>
          </cell>
          <cell r="B7562" t="str">
            <v>Válvula redutora de pressão 6"</v>
          </cell>
          <cell r="C7562" t="str">
            <v>ud</v>
          </cell>
          <cell r="D7562">
            <v>0</v>
          </cell>
        </row>
        <row r="7563">
          <cell r="A7563" t="str">
            <v>2957</v>
          </cell>
          <cell r="B7563" t="str">
            <v>VÁLVULA BORBOLETA</v>
          </cell>
        </row>
        <row r="7564">
          <cell r="A7564" t="str">
            <v>295701</v>
          </cell>
          <cell r="B7564" t="str">
            <v>Valvula borboleta DN75/80</v>
          </cell>
          <cell r="C7564" t="str">
            <v>ud</v>
          </cell>
          <cell r="D7564">
            <v>0</v>
          </cell>
        </row>
        <row r="7565">
          <cell r="A7565" t="str">
            <v>295702</v>
          </cell>
          <cell r="B7565" t="str">
            <v xml:space="preserve">Valvula borboleta DN100 </v>
          </cell>
          <cell r="C7565" t="str">
            <v>ud</v>
          </cell>
          <cell r="D7565">
            <v>0</v>
          </cell>
        </row>
        <row r="7566">
          <cell r="A7566" t="str">
            <v>295703</v>
          </cell>
          <cell r="B7566" t="str">
            <v>Valvula borboleta DN150</v>
          </cell>
          <cell r="C7566" t="str">
            <v>ud</v>
          </cell>
          <cell r="D7566">
            <v>0</v>
          </cell>
        </row>
        <row r="7567">
          <cell r="A7567" t="str">
            <v>295704</v>
          </cell>
          <cell r="B7567" t="str">
            <v xml:space="preserve">Valvula borboleta DN200 </v>
          </cell>
          <cell r="C7567" t="str">
            <v>ud</v>
          </cell>
          <cell r="D7567">
            <v>0</v>
          </cell>
        </row>
        <row r="7568">
          <cell r="A7568" t="str">
            <v>295705</v>
          </cell>
          <cell r="B7568" t="str">
            <v xml:space="preserve">Valvula borboleta DN250 </v>
          </cell>
          <cell r="C7568" t="str">
            <v>ud</v>
          </cell>
          <cell r="D7568">
            <v>0</v>
          </cell>
        </row>
        <row r="7569">
          <cell r="A7569" t="str">
            <v>295706</v>
          </cell>
          <cell r="B7569" t="str">
            <v>Valvula borboleta DN300</v>
          </cell>
          <cell r="C7569" t="str">
            <v>ud</v>
          </cell>
          <cell r="D7569">
            <v>0</v>
          </cell>
        </row>
        <row r="7570">
          <cell r="A7570" t="str">
            <v>295707</v>
          </cell>
          <cell r="B7570" t="str">
            <v>Valvula borboleta DN350</v>
          </cell>
          <cell r="C7570" t="str">
            <v>ud</v>
          </cell>
          <cell r="D7570">
            <v>0</v>
          </cell>
        </row>
        <row r="7571">
          <cell r="A7571" t="str">
            <v>295708</v>
          </cell>
          <cell r="B7571" t="str">
            <v>Valvula borboleta DN400</v>
          </cell>
          <cell r="C7571" t="str">
            <v>ud</v>
          </cell>
          <cell r="D7571">
            <v>0</v>
          </cell>
        </row>
        <row r="7572">
          <cell r="A7572" t="str">
            <v>295709</v>
          </cell>
          <cell r="B7572" t="str">
            <v>Valvula borboleta DN450</v>
          </cell>
          <cell r="C7572" t="str">
            <v>ud</v>
          </cell>
          <cell r="D7572">
            <v>0</v>
          </cell>
        </row>
        <row r="7573">
          <cell r="A7573" t="str">
            <v>295710</v>
          </cell>
          <cell r="B7573" t="str">
            <v>Valvula borboleta DN500</v>
          </cell>
          <cell r="C7573" t="str">
            <v>ud</v>
          </cell>
          <cell r="D7573">
            <v>0</v>
          </cell>
        </row>
        <row r="7574">
          <cell r="A7574" t="str">
            <v>295711</v>
          </cell>
          <cell r="B7574" t="str">
            <v>Valvula borboleta DN600</v>
          </cell>
          <cell r="C7574" t="str">
            <v>ud</v>
          </cell>
          <cell r="D7574">
            <v>0</v>
          </cell>
        </row>
        <row r="7575">
          <cell r="A7575" t="str">
            <v>295712</v>
          </cell>
          <cell r="B7575" t="str">
            <v>Valvula borboleta DN700</v>
          </cell>
          <cell r="C7575" t="str">
            <v>ud</v>
          </cell>
          <cell r="D7575">
            <v>0</v>
          </cell>
        </row>
        <row r="7576">
          <cell r="A7576" t="str">
            <v>2959</v>
          </cell>
          <cell r="B7576" t="str">
            <v>VÁLVULA DE RETENÇÃO</v>
          </cell>
        </row>
        <row r="7577">
          <cell r="A7577" t="str">
            <v>295901</v>
          </cell>
          <cell r="B7577" t="str">
            <v>Válvula de retenção DN   50</v>
          </cell>
          <cell r="C7577" t="str">
            <v>ud</v>
          </cell>
          <cell r="D7577">
            <v>0</v>
          </cell>
        </row>
        <row r="7578">
          <cell r="A7578" t="str">
            <v>295902</v>
          </cell>
          <cell r="B7578" t="str">
            <v>Válvula de retenção DN   75/80</v>
          </cell>
          <cell r="C7578" t="str">
            <v>ud</v>
          </cell>
          <cell r="D7578">
            <v>0</v>
          </cell>
        </row>
        <row r="7579">
          <cell r="A7579" t="str">
            <v>295903</v>
          </cell>
          <cell r="B7579" t="str">
            <v>Válvula de retenção DN 100</v>
          </cell>
          <cell r="C7579" t="str">
            <v>ud</v>
          </cell>
          <cell r="D7579">
            <v>0</v>
          </cell>
        </row>
        <row r="7580">
          <cell r="A7580" t="str">
            <v>295904</v>
          </cell>
          <cell r="B7580" t="str">
            <v>Válvula de retenção DN 150</v>
          </cell>
          <cell r="C7580" t="str">
            <v>ud</v>
          </cell>
          <cell r="D7580">
            <v>0</v>
          </cell>
        </row>
        <row r="7581">
          <cell r="A7581" t="str">
            <v>295905</v>
          </cell>
          <cell r="B7581" t="str">
            <v>Válvula de retenção DN 200</v>
          </cell>
          <cell r="C7581" t="str">
            <v>ud</v>
          </cell>
          <cell r="D7581">
            <v>0</v>
          </cell>
        </row>
        <row r="7582">
          <cell r="A7582" t="str">
            <v>295906</v>
          </cell>
          <cell r="B7582" t="str">
            <v>Válvula de retenção DN 250</v>
          </cell>
          <cell r="C7582" t="str">
            <v>ud</v>
          </cell>
          <cell r="D7582">
            <v>0</v>
          </cell>
        </row>
        <row r="7583">
          <cell r="A7583" t="str">
            <v>295907</v>
          </cell>
          <cell r="B7583" t="str">
            <v>Válvula de retenção DN 300</v>
          </cell>
          <cell r="C7583" t="str">
            <v>ud</v>
          </cell>
          <cell r="D7583">
            <v>0</v>
          </cell>
        </row>
        <row r="7584">
          <cell r="A7584" t="str">
            <v>295908</v>
          </cell>
          <cell r="B7584" t="str">
            <v>Válvula de retenção DN 350</v>
          </cell>
          <cell r="C7584" t="str">
            <v>ud</v>
          </cell>
          <cell r="D7584">
            <v>0</v>
          </cell>
        </row>
        <row r="7585">
          <cell r="A7585" t="str">
            <v>295909</v>
          </cell>
          <cell r="B7585" t="str">
            <v>Válvula de retenção DN 400</v>
          </cell>
          <cell r="C7585" t="str">
            <v>ud</v>
          </cell>
          <cell r="D7585">
            <v>0</v>
          </cell>
        </row>
        <row r="7586">
          <cell r="A7586" t="str">
            <v>295910</v>
          </cell>
          <cell r="B7586" t="str">
            <v>Válvula de retenção DN 450</v>
          </cell>
          <cell r="C7586" t="str">
            <v>ud</v>
          </cell>
          <cell r="D7586">
            <v>0</v>
          </cell>
        </row>
        <row r="7587">
          <cell r="A7587" t="str">
            <v>295911</v>
          </cell>
          <cell r="B7587" t="str">
            <v>Válvula de retenção DN 500</v>
          </cell>
          <cell r="C7587" t="str">
            <v>ud</v>
          </cell>
          <cell r="D7587">
            <v>0</v>
          </cell>
        </row>
        <row r="7588">
          <cell r="A7588" t="str">
            <v>295912</v>
          </cell>
          <cell r="B7588" t="str">
            <v>Válvula de retenção DN 600</v>
          </cell>
          <cell r="C7588" t="str">
            <v>ud</v>
          </cell>
          <cell r="D7588">
            <v>0</v>
          </cell>
        </row>
        <row r="7589">
          <cell r="A7589" t="str">
            <v>2960</v>
          </cell>
          <cell r="B7589" t="str">
            <v>VÁLVULA DE SEGURANÇA E ALÍVIO</v>
          </cell>
        </row>
        <row r="7590">
          <cell r="A7590" t="str">
            <v>296001</v>
          </cell>
          <cell r="B7590" t="str">
            <v>Válvula segurança e alívio 1/2"</v>
          </cell>
          <cell r="C7590" t="str">
            <v>ud</v>
          </cell>
          <cell r="D7590">
            <v>0</v>
          </cell>
        </row>
        <row r="7591">
          <cell r="A7591" t="str">
            <v>296002</v>
          </cell>
          <cell r="B7591" t="str">
            <v>Válvula segurança e alívio 3/4"</v>
          </cell>
          <cell r="C7591" t="str">
            <v>ud</v>
          </cell>
          <cell r="D7591">
            <v>0</v>
          </cell>
        </row>
        <row r="7592">
          <cell r="A7592" t="str">
            <v>296003</v>
          </cell>
          <cell r="B7592" t="str">
            <v xml:space="preserve">Válvula segurança e alívio 1" </v>
          </cell>
          <cell r="C7592" t="str">
            <v>ud</v>
          </cell>
          <cell r="D7592">
            <v>0</v>
          </cell>
        </row>
        <row r="7593">
          <cell r="A7593" t="str">
            <v>296004</v>
          </cell>
          <cell r="B7593" t="str">
            <v>Válvula segurança e alívio 1.1/4"</v>
          </cell>
          <cell r="C7593" t="str">
            <v>ud</v>
          </cell>
          <cell r="D7593">
            <v>0</v>
          </cell>
        </row>
        <row r="7594">
          <cell r="A7594" t="str">
            <v>296005</v>
          </cell>
          <cell r="B7594" t="str">
            <v>Válvula segurança e alívio 1.1/2"</v>
          </cell>
          <cell r="C7594" t="str">
            <v>ud</v>
          </cell>
          <cell r="D7594">
            <v>0</v>
          </cell>
        </row>
        <row r="7595">
          <cell r="A7595" t="str">
            <v>296006</v>
          </cell>
          <cell r="B7595" t="str">
            <v>Válvula segurança e alívio 2"</v>
          </cell>
          <cell r="C7595" t="str">
            <v>ud</v>
          </cell>
          <cell r="D7595">
            <v>0</v>
          </cell>
        </row>
        <row r="7596">
          <cell r="A7596" t="str">
            <v>296007</v>
          </cell>
          <cell r="B7596" t="str">
            <v>Válvula segurança e alívio 2.1/2"</v>
          </cell>
          <cell r="C7596" t="str">
            <v>ud</v>
          </cell>
          <cell r="D7596">
            <v>0</v>
          </cell>
        </row>
        <row r="7597">
          <cell r="A7597" t="str">
            <v>296008</v>
          </cell>
          <cell r="B7597" t="str">
            <v>Válvula segurança e alívio 3"</v>
          </cell>
          <cell r="C7597" t="str">
            <v>ud</v>
          </cell>
          <cell r="D7597">
            <v>0</v>
          </cell>
        </row>
        <row r="7598">
          <cell r="A7598" t="str">
            <v>296009</v>
          </cell>
          <cell r="B7598" t="str">
            <v>Válvula segurança e alívio 4"</v>
          </cell>
          <cell r="C7598" t="str">
            <v>ud</v>
          </cell>
          <cell r="D7598">
            <v>0</v>
          </cell>
        </row>
        <row r="7599">
          <cell r="A7599" t="str">
            <v>296010</v>
          </cell>
          <cell r="B7599" t="str">
            <v>Válvula segurança e alívio 5"</v>
          </cell>
          <cell r="C7599" t="str">
            <v>ud</v>
          </cell>
          <cell r="D7599">
            <v>0</v>
          </cell>
        </row>
        <row r="7600">
          <cell r="A7600" t="str">
            <v>296011</v>
          </cell>
          <cell r="B7600" t="str">
            <v>Válvula segurança e alívio 6"</v>
          </cell>
          <cell r="C7600" t="str">
            <v>ud</v>
          </cell>
          <cell r="D7600">
            <v>0</v>
          </cell>
        </row>
        <row r="7601">
          <cell r="A7601" t="str">
            <v>2961</v>
          </cell>
          <cell r="B7601" t="str">
            <v>VÁLVULA TIPO FLAP</v>
          </cell>
        </row>
        <row r="7602">
          <cell r="A7602" t="str">
            <v>296101</v>
          </cell>
          <cell r="B7602" t="str">
            <v>Válvula tipo Flap FD DN  100</v>
          </cell>
          <cell r="C7602" t="str">
            <v>ud</v>
          </cell>
          <cell r="D7602">
            <v>0</v>
          </cell>
        </row>
        <row r="7603">
          <cell r="A7603" t="str">
            <v>296102</v>
          </cell>
          <cell r="B7603" t="str">
            <v>Válvula tipo Flap FD DN  150</v>
          </cell>
          <cell r="C7603" t="str">
            <v>ud</v>
          </cell>
          <cell r="D7603">
            <v>0</v>
          </cell>
        </row>
        <row r="7604">
          <cell r="A7604" t="str">
            <v>296103</v>
          </cell>
          <cell r="B7604" t="str">
            <v>Válvula tipo Flap FD DN  200</v>
          </cell>
          <cell r="C7604" t="str">
            <v>ud</v>
          </cell>
          <cell r="D7604">
            <v>0</v>
          </cell>
        </row>
        <row r="7605">
          <cell r="A7605" t="str">
            <v>296104</v>
          </cell>
          <cell r="B7605" t="str">
            <v>Válvula tipo Flap FD DN  250</v>
          </cell>
          <cell r="C7605" t="str">
            <v>ud</v>
          </cell>
          <cell r="D7605">
            <v>0</v>
          </cell>
        </row>
        <row r="7606">
          <cell r="A7606" t="str">
            <v>296105</v>
          </cell>
          <cell r="B7606" t="str">
            <v>Válvula tipo Flap FD DN  300</v>
          </cell>
          <cell r="C7606" t="str">
            <v>ud</v>
          </cell>
          <cell r="D7606">
            <v>0</v>
          </cell>
        </row>
        <row r="7607">
          <cell r="A7607" t="str">
            <v>296106</v>
          </cell>
          <cell r="B7607" t="str">
            <v>Válvula tipo Flap FD DN  350</v>
          </cell>
          <cell r="C7607" t="str">
            <v>ud</v>
          </cell>
          <cell r="D7607">
            <v>0</v>
          </cell>
        </row>
        <row r="7608">
          <cell r="A7608" t="str">
            <v>296107</v>
          </cell>
          <cell r="B7608" t="str">
            <v>Válvula tipo Flap FD DN  400</v>
          </cell>
          <cell r="C7608" t="str">
            <v>ud</v>
          </cell>
          <cell r="D7608">
            <v>0</v>
          </cell>
        </row>
        <row r="7609">
          <cell r="A7609" t="str">
            <v>296108</v>
          </cell>
          <cell r="B7609" t="str">
            <v>Válvula tipo Flap FD DN  450</v>
          </cell>
          <cell r="C7609" t="str">
            <v>ud</v>
          </cell>
          <cell r="D7609">
            <v>0</v>
          </cell>
        </row>
        <row r="7610">
          <cell r="A7610" t="str">
            <v>296109</v>
          </cell>
          <cell r="B7610" t="str">
            <v>Válvula tipo Flap FD DN  500</v>
          </cell>
          <cell r="C7610" t="str">
            <v>ud</v>
          </cell>
          <cell r="D7610">
            <v>0</v>
          </cell>
        </row>
        <row r="7611">
          <cell r="A7611" t="str">
            <v>296110</v>
          </cell>
          <cell r="B7611" t="str">
            <v>Válvula tipo Flap FD DN  600</v>
          </cell>
          <cell r="C7611" t="str">
            <v>ud</v>
          </cell>
          <cell r="D7611">
            <v>0</v>
          </cell>
        </row>
        <row r="7612">
          <cell r="A7612" t="str">
            <v>296111</v>
          </cell>
          <cell r="B7612" t="str">
            <v>Válvula tipo Flap FD DN  700</v>
          </cell>
          <cell r="C7612" t="str">
            <v>ud</v>
          </cell>
          <cell r="D7612">
            <v>0</v>
          </cell>
        </row>
        <row r="7613">
          <cell r="A7613" t="str">
            <v>2962</v>
          </cell>
          <cell r="B7613" t="str">
            <v>VÁLVULA DE CONTROLE AUTO-OPERADA</v>
          </cell>
        </row>
        <row r="7614">
          <cell r="A7614" t="str">
            <v>296201</v>
          </cell>
          <cell r="B7614" t="str">
            <v>Válvula de controle auto-operada DN   50</v>
          </cell>
          <cell r="C7614" t="str">
            <v>ud</v>
          </cell>
          <cell r="D7614">
            <v>0</v>
          </cell>
        </row>
        <row r="7615">
          <cell r="A7615" t="str">
            <v>296202</v>
          </cell>
          <cell r="B7615" t="str">
            <v>Válvula de controle auto-operada DN   75/80</v>
          </cell>
          <cell r="C7615" t="str">
            <v>ud</v>
          </cell>
          <cell r="D7615">
            <v>0</v>
          </cell>
        </row>
        <row r="7616">
          <cell r="A7616" t="str">
            <v>296203</v>
          </cell>
          <cell r="B7616" t="str">
            <v>Válvula de controle auto-operada DN 100</v>
          </cell>
          <cell r="C7616" t="str">
            <v>ud</v>
          </cell>
          <cell r="D7616">
            <v>0</v>
          </cell>
        </row>
        <row r="7617">
          <cell r="A7617" t="str">
            <v>296204</v>
          </cell>
          <cell r="B7617" t="str">
            <v>Válvula de controle auto-operada DN 150</v>
          </cell>
          <cell r="C7617" t="str">
            <v>ud</v>
          </cell>
          <cell r="D7617">
            <v>0</v>
          </cell>
        </row>
        <row r="7618">
          <cell r="A7618" t="str">
            <v>296205</v>
          </cell>
          <cell r="B7618" t="str">
            <v>Válvula de controle auto-operada DN 200</v>
          </cell>
          <cell r="C7618" t="str">
            <v>ud</v>
          </cell>
          <cell r="D7618">
            <v>0</v>
          </cell>
        </row>
        <row r="7619">
          <cell r="A7619" t="str">
            <v>296206</v>
          </cell>
          <cell r="B7619" t="str">
            <v>Válvula de controle auto-operada DN 250</v>
          </cell>
          <cell r="C7619" t="str">
            <v>ud</v>
          </cell>
          <cell r="D7619">
            <v>0</v>
          </cell>
        </row>
        <row r="7620">
          <cell r="A7620" t="str">
            <v>296207</v>
          </cell>
          <cell r="B7620" t="str">
            <v>Válvula de controle auto-operada DN 300</v>
          </cell>
          <cell r="C7620" t="str">
            <v>ud</v>
          </cell>
          <cell r="D7620">
            <v>0</v>
          </cell>
        </row>
        <row r="7621">
          <cell r="A7621" t="str">
            <v>296208</v>
          </cell>
          <cell r="B7621" t="str">
            <v>Válvula de controle auto-operada DN 350</v>
          </cell>
          <cell r="C7621" t="str">
            <v>ud</v>
          </cell>
          <cell r="D7621">
            <v>0</v>
          </cell>
        </row>
        <row r="7622">
          <cell r="A7622" t="str">
            <v>296209</v>
          </cell>
          <cell r="B7622" t="str">
            <v>Válvula de controle auto-operada DN 400</v>
          </cell>
          <cell r="C7622" t="str">
            <v>ud</v>
          </cell>
          <cell r="D7622">
            <v>0</v>
          </cell>
        </row>
        <row r="7623">
          <cell r="A7623" t="str">
            <v>2963</v>
          </cell>
          <cell r="B7623" t="str">
            <v>VÁLVULA DE DIAFRAGMA PASSAGEM RETA</v>
          </cell>
        </row>
        <row r="7624">
          <cell r="A7624" t="str">
            <v>296301</v>
          </cell>
          <cell r="B7624" t="str">
            <v>Válvula de diafragma passagem reta FF DN 50</v>
          </cell>
          <cell r="C7624" t="str">
            <v>ud</v>
          </cell>
          <cell r="D7624">
            <v>0</v>
          </cell>
        </row>
        <row r="7625">
          <cell r="A7625" t="str">
            <v>296302</v>
          </cell>
          <cell r="B7625" t="str">
            <v>Válvula de diafragma passagem reta FF DN 75/80</v>
          </cell>
          <cell r="C7625" t="str">
            <v>ud</v>
          </cell>
          <cell r="D7625">
            <v>0</v>
          </cell>
        </row>
        <row r="7626">
          <cell r="A7626" t="str">
            <v>296303</v>
          </cell>
          <cell r="B7626" t="str">
            <v>Válvula de diafragma passagem reta FF DN 100</v>
          </cell>
          <cell r="C7626" t="str">
            <v>ud</v>
          </cell>
          <cell r="D7626">
            <v>0</v>
          </cell>
        </row>
        <row r="7627">
          <cell r="A7627" t="str">
            <v>296304</v>
          </cell>
          <cell r="B7627" t="str">
            <v>Válvula de diafragma passagem reta FF DN 150</v>
          </cell>
          <cell r="C7627" t="str">
            <v>ud</v>
          </cell>
          <cell r="D7627">
            <v>0</v>
          </cell>
        </row>
        <row r="7628">
          <cell r="A7628" t="str">
            <v>296305</v>
          </cell>
          <cell r="B7628" t="str">
            <v>Válvula de diafragma passagem reta FF DN 200</v>
          </cell>
          <cell r="C7628" t="str">
            <v>ud</v>
          </cell>
          <cell r="D7628">
            <v>0</v>
          </cell>
        </row>
        <row r="7629">
          <cell r="A7629" t="str">
            <v>296306</v>
          </cell>
          <cell r="B7629" t="str">
            <v>Válvula de diafragma passagem reta FF DN 250</v>
          </cell>
          <cell r="C7629" t="str">
            <v>ud</v>
          </cell>
          <cell r="D7629">
            <v>0</v>
          </cell>
        </row>
        <row r="7630">
          <cell r="A7630" t="str">
            <v>296307</v>
          </cell>
          <cell r="B7630" t="str">
            <v>Válvula de diafragma passagem reta FF DN 300</v>
          </cell>
          <cell r="C7630" t="str">
            <v>ud</v>
          </cell>
          <cell r="D7630">
            <v>0</v>
          </cell>
        </row>
        <row r="7631">
          <cell r="A7631" t="str">
            <v>296308</v>
          </cell>
          <cell r="B7631" t="str">
            <v>Válvula de diafragma passagem reta FF DN 350</v>
          </cell>
          <cell r="C7631" t="str">
            <v>ud</v>
          </cell>
          <cell r="D7631">
            <v>0</v>
          </cell>
        </row>
        <row r="7632">
          <cell r="A7632" t="str">
            <v>296309</v>
          </cell>
          <cell r="B7632" t="str">
            <v>Válvula de diafragma passagem reta FF DN 400</v>
          </cell>
          <cell r="C7632" t="str">
            <v>ud</v>
          </cell>
          <cell r="D7632">
            <v>0</v>
          </cell>
        </row>
        <row r="7633">
          <cell r="A7633" t="str">
            <v>40</v>
          </cell>
          <cell r="B7633" t="str">
            <v>OBRAS ELÉTRICAS - SERVIÇOS</v>
          </cell>
        </row>
        <row r="7634">
          <cell r="A7634" t="str">
            <v>4001</v>
          </cell>
          <cell r="B7634" t="str">
            <v>MOBILIZAÇÃO / DESMOBILIZAÇÃO</v>
          </cell>
        </row>
        <row r="7635">
          <cell r="A7635" t="str">
            <v>400101</v>
          </cell>
          <cell r="B7635" t="str">
            <v>Deslocamento interurbano da equipe de serviços técnicos especializados em elétrica</v>
          </cell>
          <cell r="C7635" t="str">
            <v>km</v>
          </cell>
          <cell r="D7635">
            <v>3.33</v>
          </cell>
          <cell r="E7635">
            <v>0</v>
          </cell>
          <cell r="F7635">
            <v>3.33</v>
          </cell>
        </row>
        <row r="7636">
          <cell r="A7636" t="str">
            <v>400102</v>
          </cell>
          <cell r="B7636" t="str">
            <v>Deslocamento interurbano da equipe de serviços técnicos especializados em automação industrial</v>
          </cell>
          <cell r="C7636" t="str">
            <v>km</v>
          </cell>
          <cell r="D7636">
            <v>4.1399999999999997</v>
          </cell>
          <cell r="E7636">
            <v>0</v>
          </cell>
          <cell r="F7636">
            <v>4.1399999999999997</v>
          </cell>
        </row>
        <row r="7637">
          <cell r="A7637" t="str">
            <v>400103</v>
          </cell>
          <cell r="B7637" t="str">
            <v>Deslocamento interurbano da equipe de serviços técnicos especializados em telecomunicações</v>
          </cell>
          <cell r="C7637" t="str">
            <v>km</v>
          </cell>
          <cell r="D7637">
            <v>3.88</v>
          </cell>
          <cell r="E7637">
            <v>0</v>
          </cell>
          <cell r="F7637">
            <v>3.88</v>
          </cell>
        </row>
        <row r="7638">
          <cell r="A7638" t="str">
            <v>400104</v>
          </cell>
          <cell r="B7638" t="str">
            <v>Deslocamento interurbano da equipe de serviços técnicos especializados em subestação</v>
          </cell>
          <cell r="C7638" t="str">
            <v>km</v>
          </cell>
          <cell r="D7638">
            <v>5.22</v>
          </cell>
          <cell r="E7638">
            <v>0</v>
          </cell>
          <cell r="F7638">
            <v>5.22</v>
          </cell>
        </row>
        <row r="7639">
          <cell r="A7639" t="str">
            <v>400110</v>
          </cell>
          <cell r="B7639" t="str">
            <v>Pernoite para serviços técnicos especializados</v>
          </cell>
          <cell r="C7639" t="str">
            <v>empxdia</v>
          </cell>
          <cell r="D7639">
            <v>72</v>
          </cell>
          <cell r="E7639">
            <v>0</v>
          </cell>
          <cell r="F7639">
            <v>72</v>
          </cell>
        </row>
        <row r="7640">
          <cell r="A7640" t="str">
            <v>4002</v>
          </cell>
          <cell r="B7640" t="str">
            <v>INSTALAÇÃO DE ENTRADA DE ENERGIA EM BAIXA TENSÃO (BT)</v>
          </cell>
        </row>
        <row r="7641">
          <cell r="A7641" t="str">
            <v>400201</v>
          </cell>
          <cell r="B7641" t="str">
            <v>Entrada de energia em BT (monofásica) até 100 A</v>
          </cell>
          <cell r="C7641" t="str">
            <v>ud</v>
          </cell>
          <cell r="D7641">
            <v>943.28</v>
          </cell>
          <cell r="E7641">
            <v>213.21</v>
          </cell>
          <cell r="F7641">
            <v>1156.49</v>
          </cell>
        </row>
        <row r="7642">
          <cell r="A7642" t="str">
            <v>400202</v>
          </cell>
          <cell r="B7642" t="str">
            <v>Entrada de energia em BT (bifasica ou trifásica) até 100 A</v>
          </cell>
          <cell r="C7642" t="str">
            <v>ud</v>
          </cell>
          <cell r="D7642">
            <v>1019.14</v>
          </cell>
          <cell r="E7642">
            <v>213.21</v>
          </cell>
          <cell r="F7642">
            <v>1232.3499999999999</v>
          </cell>
        </row>
        <row r="7643">
          <cell r="A7643" t="str">
            <v>400203</v>
          </cell>
          <cell r="B7643" t="str">
            <v>Entrada de energia em BT (trifásica ) de 125 A até 200 A</v>
          </cell>
          <cell r="C7643" t="str">
            <v>ud</v>
          </cell>
          <cell r="D7643">
            <v>1353.23</v>
          </cell>
          <cell r="E7643">
            <v>288.36</v>
          </cell>
          <cell r="F7643">
            <v>1641.59</v>
          </cell>
        </row>
        <row r="7644">
          <cell r="A7644" t="str">
            <v>4003</v>
          </cell>
          <cell r="B7644" t="str">
            <v>INSTALAÇÃO DE REDE INTERNA EM ALTA TENSÃO (AT)</v>
          </cell>
        </row>
        <row r="7645">
          <cell r="A7645" t="str">
            <v>400301</v>
          </cell>
          <cell r="B7645" t="str">
            <v>Estrutura para derivação subterrânea em AT</v>
          </cell>
          <cell r="C7645" t="str">
            <v>ud</v>
          </cell>
          <cell r="D7645">
            <v>1266.07</v>
          </cell>
          <cell r="E7645">
            <v>166.49</v>
          </cell>
          <cell r="F7645">
            <v>1432.56</v>
          </cell>
        </row>
        <row r="7646">
          <cell r="A7646" t="str">
            <v>400302</v>
          </cell>
          <cell r="B7646" t="str">
            <v>Rede interna aérea em AT</v>
          </cell>
          <cell r="C7646" t="str">
            <v>ud</v>
          </cell>
          <cell r="D7646">
            <v>775.2</v>
          </cell>
          <cell r="E7646">
            <v>0</v>
          </cell>
          <cell r="F7646">
            <v>775.2</v>
          </cell>
        </row>
        <row r="7647">
          <cell r="A7647" t="str">
            <v>400303</v>
          </cell>
          <cell r="B7647" t="str">
            <v>Rede interna subterranêa em AT</v>
          </cell>
          <cell r="C7647" t="str">
            <v>m</v>
          </cell>
          <cell r="D7647">
            <v>31.92</v>
          </cell>
          <cell r="E7647">
            <v>8.81</v>
          </cell>
          <cell r="F7647">
            <v>40.729999999999997</v>
          </cell>
        </row>
        <row r="7648">
          <cell r="A7648" t="str">
            <v>4004</v>
          </cell>
          <cell r="B7648" t="str">
            <v>INSTALAÇÃO DE POSTO DE TRANSFORMAÇÃO (AT)</v>
          </cell>
        </row>
        <row r="7649">
          <cell r="A7649" t="str">
            <v>400401</v>
          </cell>
          <cell r="B7649" t="str">
            <v>Posto de transformação em AT até 75 kVA</v>
          </cell>
          <cell r="C7649" t="str">
            <v>ud</v>
          </cell>
          <cell r="D7649">
            <v>1721.68</v>
          </cell>
          <cell r="E7649">
            <v>7.74</v>
          </cell>
          <cell r="F7649">
            <v>1729.42</v>
          </cell>
        </row>
        <row r="7650">
          <cell r="A7650" t="str">
            <v>400402</v>
          </cell>
          <cell r="B7650" t="str">
            <v>Posto de transformação em AT de 112,5 kVA até 150 kVA</v>
          </cell>
          <cell r="C7650" t="str">
            <v>ud</v>
          </cell>
          <cell r="D7650">
            <v>1656.45</v>
          </cell>
          <cell r="E7650">
            <v>7.74</v>
          </cell>
          <cell r="F7650">
            <v>1664.19</v>
          </cell>
        </row>
        <row r="7651">
          <cell r="A7651" t="str">
            <v>400403</v>
          </cell>
          <cell r="B7651" t="str">
            <v>Posto de transformação em AT de 225 kVA até 300 kVA</v>
          </cell>
          <cell r="C7651" t="str">
            <v>ud</v>
          </cell>
          <cell r="D7651">
            <v>1848.36</v>
          </cell>
          <cell r="E7651">
            <v>7.74</v>
          </cell>
          <cell r="F7651">
            <v>1856.1</v>
          </cell>
        </row>
        <row r="7652">
          <cell r="A7652" t="str">
            <v>4005</v>
          </cell>
          <cell r="B7652" t="str">
            <v>INSTALAÇÃO DE SUBESTAÇÃO DE ENERGIA (AT)</v>
          </cell>
        </row>
        <row r="7653">
          <cell r="A7653" t="str">
            <v>400501</v>
          </cell>
          <cell r="B7653" t="str">
            <v>Instalação de transformador de potencial (TP) / transformador de corrente (TC) em AT</v>
          </cell>
          <cell r="C7653" t="str">
            <v>ud</v>
          </cell>
          <cell r="D7653">
            <v>56.9</v>
          </cell>
          <cell r="E7653">
            <v>0</v>
          </cell>
          <cell r="F7653">
            <v>56.9</v>
          </cell>
        </row>
        <row r="7654">
          <cell r="A7654" t="str">
            <v>400502</v>
          </cell>
          <cell r="B7654" t="str">
            <v>Instalação de para-raios em AT</v>
          </cell>
          <cell r="C7654" t="str">
            <v>ud</v>
          </cell>
          <cell r="D7654">
            <v>37.93</v>
          </cell>
          <cell r="E7654">
            <v>0</v>
          </cell>
          <cell r="F7654">
            <v>37.93</v>
          </cell>
        </row>
        <row r="7655">
          <cell r="A7655" t="str">
            <v>400503</v>
          </cell>
          <cell r="B7655" t="str">
            <v>Instalação de chave seccionadora em AT</v>
          </cell>
          <cell r="C7655" t="str">
            <v>ud</v>
          </cell>
          <cell r="D7655">
            <v>151.72</v>
          </cell>
          <cell r="E7655">
            <v>0</v>
          </cell>
          <cell r="F7655">
            <v>151.72</v>
          </cell>
        </row>
        <row r="7656">
          <cell r="A7656" t="str">
            <v>400504</v>
          </cell>
          <cell r="B7656" t="str">
            <v xml:space="preserve">Instalação de disjuntor em AT </v>
          </cell>
          <cell r="C7656" t="str">
            <v>ud</v>
          </cell>
          <cell r="D7656">
            <v>303.44</v>
          </cell>
          <cell r="E7656">
            <v>0</v>
          </cell>
          <cell r="F7656">
            <v>303.44</v>
          </cell>
        </row>
        <row r="7657">
          <cell r="A7657" t="str">
            <v>400505</v>
          </cell>
          <cell r="B7657" t="str">
            <v>Instalação de isolador em AT</v>
          </cell>
          <cell r="C7657" t="str">
            <v>ud</v>
          </cell>
          <cell r="D7657">
            <v>37.93</v>
          </cell>
          <cell r="E7657">
            <v>0</v>
          </cell>
          <cell r="F7657">
            <v>37.93</v>
          </cell>
        </row>
        <row r="7658">
          <cell r="A7658" t="str">
            <v>400506</v>
          </cell>
          <cell r="B7658" t="str">
            <v>Instalação de condutor elétrico tipo vergalhão em AT</v>
          </cell>
          <cell r="C7658" t="str">
            <v>ud</v>
          </cell>
          <cell r="D7658">
            <v>21.98</v>
          </cell>
          <cell r="E7658">
            <v>0.86</v>
          </cell>
          <cell r="F7658">
            <v>22.84</v>
          </cell>
        </row>
        <row r="7659">
          <cell r="A7659" t="str">
            <v>400507</v>
          </cell>
          <cell r="B7659" t="str">
            <v>Instalação de terminação tipo mufla em AT</v>
          </cell>
          <cell r="C7659" t="str">
            <v>ud</v>
          </cell>
          <cell r="D7659">
            <v>75.86</v>
          </cell>
          <cell r="E7659">
            <v>0</v>
          </cell>
          <cell r="F7659">
            <v>75.86</v>
          </cell>
        </row>
        <row r="7660">
          <cell r="A7660" t="str">
            <v>400508</v>
          </cell>
          <cell r="B7660" t="str">
            <v>Instalação de banco de capacitores em AT</v>
          </cell>
          <cell r="C7660" t="str">
            <v>ud</v>
          </cell>
          <cell r="D7660">
            <v>113.79</v>
          </cell>
          <cell r="E7660">
            <v>0</v>
          </cell>
          <cell r="F7660">
            <v>113.79</v>
          </cell>
        </row>
        <row r="7661">
          <cell r="A7661" t="str">
            <v>400520</v>
          </cell>
          <cell r="B7661" t="str">
            <v>Instalação de cubículo em AT com 1 módulo</v>
          </cell>
          <cell r="C7661" t="str">
            <v>ud</v>
          </cell>
          <cell r="D7661">
            <v>604.59</v>
          </cell>
          <cell r="E7661">
            <v>0</v>
          </cell>
          <cell r="F7661">
            <v>604.59</v>
          </cell>
        </row>
        <row r="7662">
          <cell r="A7662" t="str">
            <v>400521</v>
          </cell>
          <cell r="B7662" t="str">
            <v>Instalação de cubículo em AT com 2 módulos</v>
          </cell>
          <cell r="C7662" t="str">
            <v>ud</v>
          </cell>
          <cell r="D7662">
            <v>623.54999999999995</v>
          </cell>
          <cell r="E7662">
            <v>0</v>
          </cell>
          <cell r="F7662">
            <v>623.54999999999995</v>
          </cell>
        </row>
        <row r="7663">
          <cell r="A7663" t="str">
            <v>400522</v>
          </cell>
          <cell r="B7663" t="str">
            <v>Instalação de cubículo em AT com 3 módulos</v>
          </cell>
          <cell r="C7663" t="str">
            <v>ud</v>
          </cell>
          <cell r="D7663">
            <v>718.38</v>
          </cell>
          <cell r="E7663">
            <v>0</v>
          </cell>
          <cell r="F7663">
            <v>718.38</v>
          </cell>
        </row>
        <row r="7664">
          <cell r="A7664" t="str">
            <v>400523</v>
          </cell>
          <cell r="B7664" t="str">
            <v>Instalação de cubículo em AT com 4 módulos</v>
          </cell>
          <cell r="C7664" t="str">
            <v>ud</v>
          </cell>
          <cell r="D7664">
            <v>737.34</v>
          </cell>
          <cell r="E7664">
            <v>0</v>
          </cell>
          <cell r="F7664">
            <v>737.34</v>
          </cell>
        </row>
        <row r="7665">
          <cell r="A7665" t="str">
            <v>400524</v>
          </cell>
          <cell r="B7665" t="str">
            <v>Instalação de cubículo em AT com 5 módulos</v>
          </cell>
          <cell r="C7665" t="str">
            <v>ud</v>
          </cell>
          <cell r="D7665">
            <v>1322.96</v>
          </cell>
          <cell r="E7665">
            <v>0</v>
          </cell>
          <cell r="F7665">
            <v>1322.96</v>
          </cell>
        </row>
        <row r="7666">
          <cell r="A7666" t="str">
            <v>400525</v>
          </cell>
          <cell r="B7666" t="str">
            <v>Instalação de cubículo em AT com 6 módulos</v>
          </cell>
          <cell r="C7666" t="str">
            <v>ud</v>
          </cell>
          <cell r="D7666">
            <v>1398.82</v>
          </cell>
          <cell r="E7666">
            <v>0</v>
          </cell>
          <cell r="F7666">
            <v>1398.82</v>
          </cell>
        </row>
        <row r="7667">
          <cell r="A7667" t="str">
            <v>400526</v>
          </cell>
          <cell r="B7667" t="str">
            <v>Instalação de cubículo em AT com 7 módulos</v>
          </cell>
          <cell r="C7667" t="str">
            <v>ud</v>
          </cell>
          <cell r="D7667">
            <v>1474.68</v>
          </cell>
          <cell r="E7667">
            <v>0</v>
          </cell>
          <cell r="F7667">
            <v>1474.68</v>
          </cell>
        </row>
        <row r="7668">
          <cell r="A7668" t="str">
            <v>400529</v>
          </cell>
          <cell r="B7668" t="str">
            <v>Coleta e análise de amostra de óleo em transformadores</v>
          </cell>
          <cell r="C7668" t="str">
            <v>ud</v>
          </cell>
          <cell r="D7668">
            <v>0</v>
          </cell>
          <cell r="F7668">
            <v>0</v>
          </cell>
        </row>
        <row r="7669">
          <cell r="A7669" t="str">
            <v>400530</v>
          </cell>
          <cell r="B7669" t="str">
            <v>Instalação de transformador com potência até 1000 kVA</v>
          </cell>
          <cell r="C7669" t="str">
            <v>ud</v>
          </cell>
          <cell r="D7669">
            <v>496.11</v>
          </cell>
          <cell r="E7669">
            <v>0</v>
          </cell>
          <cell r="F7669">
            <v>496.11</v>
          </cell>
        </row>
        <row r="7670">
          <cell r="A7670" t="str">
            <v>400531</v>
          </cell>
          <cell r="B7670" t="str">
            <v>Instalação de transformador com potência acima de 1000 kVA</v>
          </cell>
          <cell r="C7670" t="str">
            <v>ud</v>
          </cell>
          <cell r="D7670">
            <v>661.48</v>
          </cell>
          <cell r="E7670">
            <v>0</v>
          </cell>
          <cell r="F7670">
            <v>661.48</v>
          </cell>
        </row>
        <row r="7671">
          <cell r="A7671" t="str">
            <v>400535</v>
          </cell>
          <cell r="B7671" t="str">
            <v>Instalação de telas de proteção em subestação</v>
          </cell>
          <cell r="C7671" t="str">
            <v>ud</v>
          </cell>
          <cell r="D7671">
            <v>227.89</v>
          </cell>
          <cell r="E7671">
            <v>1.61</v>
          </cell>
          <cell r="F7671">
            <v>229.5</v>
          </cell>
        </row>
        <row r="7672">
          <cell r="A7672" t="str">
            <v>400537</v>
          </cell>
          <cell r="B7672" t="str">
            <v>Parametrização de relés de proteção em AT (geral, transformadores de potência e motores)</v>
          </cell>
          <cell r="C7672" t="str">
            <v>ud</v>
          </cell>
          <cell r="D7672">
            <v>1601.08</v>
          </cell>
          <cell r="E7672">
            <v>0</v>
          </cell>
          <cell r="F7672">
            <v>1601.08</v>
          </cell>
        </row>
        <row r="7673">
          <cell r="A7673" t="str">
            <v>400540</v>
          </cell>
          <cell r="B7673" t="str">
            <v>Estudo de proteção, coordenação e seletividade</v>
          </cell>
          <cell r="C7673" t="str">
            <v>ud</v>
          </cell>
          <cell r="D7673">
            <v>1430.14</v>
          </cell>
          <cell r="E7673">
            <v>0</v>
          </cell>
          <cell r="F7673">
            <v>1430.14</v>
          </cell>
        </row>
        <row r="7674">
          <cell r="A7674" t="str">
            <v>400542</v>
          </cell>
          <cell r="B7674" t="str">
            <v>ART de parametrização / segurança do trabalho / comissionamento - obra / serviço  - faixa 1</v>
          </cell>
          <cell r="C7674" t="str">
            <v>ud</v>
          </cell>
          <cell r="D7674">
            <v>82.94</v>
          </cell>
          <cell r="E7674">
            <v>0</v>
          </cell>
          <cell r="F7674">
            <v>82.94</v>
          </cell>
        </row>
        <row r="7675">
          <cell r="A7675" t="str">
            <v>400543</v>
          </cell>
          <cell r="B7675" t="str">
            <v>ART de parametrização / segurança do trabalho / comissionamento - obra / serviço  - faixa 2</v>
          </cell>
          <cell r="C7675" t="str">
            <v>ud</v>
          </cell>
          <cell r="D7675">
            <v>145.15</v>
          </cell>
          <cell r="E7675">
            <v>0</v>
          </cell>
          <cell r="F7675">
            <v>145.15</v>
          </cell>
        </row>
        <row r="7676">
          <cell r="A7676" t="str">
            <v>400544</v>
          </cell>
          <cell r="B7676" t="str">
            <v>ART de parametrização / segurança do trabalho / comissionamento - obra / serviço  - faixa 3</v>
          </cell>
          <cell r="C7676" t="str">
            <v>ud</v>
          </cell>
          <cell r="D7676">
            <v>218.54</v>
          </cell>
          <cell r="E7676">
            <v>0</v>
          </cell>
          <cell r="F7676">
            <v>218.54</v>
          </cell>
        </row>
        <row r="7677">
          <cell r="A7677" t="str">
            <v>400550</v>
          </cell>
          <cell r="B7677" t="str">
            <v>Comissionamento de condutores elétricos em AT</v>
          </cell>
          <cell r="C7677" t="str">
            <v>ud</v>
          </cell>
          <cell r="D7677">
            <v>83.53</v>
          </cell>
          <cell r="E7677">
            <v>0</v>
          </cell>
          <cell r="F7677">
            <v>83.53</v>
          </cell>
        </row>
        <row r="7678">
          <cell r="A7678" t="str">
            <v>400551</v>
          </cell>
          <cell r="B7678" t="str">
            <v>Comissionamento de condutores elétricos em BT</v>
          </cell>
          <cell r="C7678" t="str">
            <v>ud</v>
          </cell>
          <cell r="D7678">
            <v>41.77</v>
          </cell>
          <cell r="E7678">
            <v>0</v>
          </cell>
          <cell r="F7678">
            <v>41.77</v>
          </cell>
        </row>
        <row r="7679">
          <cell r="A7679" t="str">
            <v>400552</v>
          </cell>
          <cell r="B7679" t="str">
            <v>Comissionamento de estrutura para derivação subterrânea em AT</v>
          </cell>
          <cell r="C7679" t="str">
            <v>ud</v>
          </cell>
          <cell r="D7679">
            <v>143.65</v>
          </cell>
          <cell r="E7679">
            <v>0</v>
          </cell>
          <cell r="F7679">
            <v>143.65</v>
          </cell>
        </row>
        <row r="7680">
          <cell r="A7680" t="str">
            <v>400553</v>
          </cell>
          <cell r="B7680" t="str">
            <v>Comissionamento de cubículos em AT</v>
          </cell>
          <cell r="C7680" t="str">
            <v>ud</v>
          </cell>
          <cell r="D7680">
            <v>521.4</v>
          </cell>
          <cell r="E7680">
            <v>0</v>
          </cell>
          <cell r="F7680">
            <v>521.4</v>
          </cell>
        </row>
        <row r="7681">
          <cell r="A7681" t="str">
            <v>400554</v>
          </cell>
          <cell r="B7681" t="str">
            <v>Comissionamento de disjuntor em AT</v>
          </cell>
          <cell r="C7681" t="str">
            <v>ud</v>
          </cell>
          <cell r="D7681">
            <v>240.48</v>
          </cell>
          <cell r="E7681">
            <v>0</v>
          </cell>
          <cell r="F7681">
            <v>240.48</v>
          </cell>
        </row>
        <row r="7682">
          <cell r="A7682" t="str">
            <v>400555</v>
          </cell>
          <cell r="B7682" t="str">
            <v>Comissionamento de chave seccionadora em AT</v>
          </cell>
          <cell r="C7682" t="str">
            <v>ud</v>
          </cell>
          <cell r="D7682">
            <v>120.24</v>
          </cell>
          <cell r="E7682">
            <v>0</v>
          </cell>
          <cell r="F7682">
            <v>120.24</v>
          </cell>
        </row>
        <row r="7683">
          <cell r="A7683" t="str">
            <v>400556</v>
          </cell>
          <cell r="B7683" t="str">
            <v>Comissionamento de transformador de potencial (TP) em AT / transformador de corrente (TC) em AT</v>
          </cell>
          <cell r="C7683" t="str">
            <v>ud</v>
          </cell>
          <cell r="D7683">
            <v>83.53</v>
          </cell>
          <cell r="E7683">
            <v>0</v>
          </cell>
          <cell r="F7683">
            <v>83.53</v>
          </cell>
        </row>
        <row r="7684">
          <cell r="A7684" t="str">
            <v>400557</v>
          </cell>
          <cell r="B7684" t="str">
            <v>Comissionamento de para-raios em AT</v>
          </cell>
          <cell r="C7684" t="str">
            <v>ud</v>
          </cell>
          <cell r="D7684">
            <v>60.12</v>
          </cell>
          <cell r="E7684">
            <v>0</v>
          </cell>
          <cell r="F7684">
            <v>60.12</v>
          </cell>
        </row>
        <row r="7685">
          <cell r="A7685" t="str">
            <v>400558</v>
          </cell>
          <cell r="B7685" t="str">
            <v>Comissionamento de transformador de potência em AT</v>
          </cell>
          <cell r="C7685" t="str">
            <v>ud</v>
          </cell>
          <cell r="D7685">
            <v>300.60000000000002</v>
          </cell>
          <cell r="E7685">
            <v>0</v>
          </cell>
          <cell r="F7685">
            <v>300.60000000000002</v>
          </cell>
        </row>
        <row r="7686">
          <cell r="A7686" t="str">
            <v>400559</v>
          </cell>
          <cell r="B7686" t="str">
            <v>Comissionamento de relé de proteção em AT (geral, transformadores de potência e motores)</v>
          </cell>
          <cell r="C7686" t="str">
            <v>ud</v>
          </cell>
          <cell r="D7686">
            <v>480.96</v>
          </cell>
          <cell r="E7686">
            <v>0</v>
          </cell>
          <cell r="F7686">
            <v>480.96</v>
          </cell>
        </row>
        <row r="7687">
          <cell r="A7687" t="str">
            <v>400560</v>
          </cell>
          <cell r="B7687" t="str">
            <v>Comissionamento de motores em AT</v>
          </cell>
          <cell r="C7687" t="str">
            <v>ud</v>
          </cell>
          <cell r="D7687">
            <v>334.12</v>
          </cell>
          <cell r="E7687">
            <v>0</v>
          </cell>
          <cell r="F7687">
            <v>334.12</v>
          </cell>
        </row>
        <row r="7688">
          <cell r="A7688" t="str">
            <v>400561</v>
          </cell>
          <cell r="B7688" t="str">
            <v>Comissionamento de multimedidores em AT</v>
          </cell>
          <cell r="C7688" t="str">
            <v>ud</v>
          </cell>
          <cell r="D7688">
            <v>120.24</v>
          </cell>
          <cell r="E7688">
            <v>0</v>
          </cell>
          <cell r="F7688">
            <v>120.24</v>
          </cell>
        </row>
        <row r="7689">
          <cell r="A7689" t="str">
            <v>400562</v>
          </cell>
          <cell r="B7689" t="str">
            <v>Comissionamento de banco de capacitores em AT</v>
          </cell>
          <cell r="C7689" t="str">
            <v>ud</v>
          </cell>
          <cell r="D7689">
            <v>167.06</v>
          </cell>
          <cell r="E7689">
            <v>0</v>
          </cell>
          <cell r="F7689">
            <v>167.06</v>
          </cell>
        </row>
        <row r="7690">
          <cell r="A7690" t="str">
            <v>400563</v>
          </cell>
          <cell r="B7690" t="str">
            <v>Comissionamento de aterramento da subestação em AT / de transformadores de potência em AT</v>
          </cell>
          <cell r="C7690" t="str">
            <v>ud</v>
          </cell>
          <cell r="D7690">
            <v>167.06</v>
          </cell>
          <cell r="E7690">
            <v>0</v>
          </cell>
          <cell r="F7690">
            <v>167.06</v>
          </cell>
        </row>
        <row r="7691">
          <cell r="A7691" t="str">
            <v>400564</v>
          </cell>
          <cell r="B7691" t="str">
            <v>Comissionamento de SPDA da subestação em AT</v>
          </cell>
          <cell r="C7691" t="str">
            <v>ud</v>
          </cell>
          <cell r="D7691">
            <v>260.7</v>
          </cell>
          <cell r="E7691">
            <v>0</v>
          </cell>
          <cell r="F7691">
            <v>260.7</v>
          </cell>
        </row>
        <row r="7692">
          <cell r="A7692" t="str">
            <v>400565</v>
          </cell>
          <cell r="B7692" t="str">
            <v>Comissionamento de quadro elétrico em instalação em AT</v>
          </cell>
          <cell r="C7692" t="str">
            <v>ud</v>
          </cell>
          <cell r="D7692">
            <v>354.34</v>
          </cell>
          <cell r="E7692">
            <v>0</v>
          </cell>
          <cell r="F7692">
            <v>354.34</v>
          </cell>
        </row>
        <row r="7693">
          <cell r="A7693" t="str">
            <v>400570</v>
          </cell>
          <cell r="B7693" t="str">
            <v>Manual para identificação de riscos da subestação, com até 15 equipamentos</v>
          </cell>
          <cell r="C7693" t="str">
            <v>ud</v>
          </cell>
          <cell r="D7693">
            <v>1174.72</v>
          </cell>
          <cell r="E7693">
            <v>0</v>
          </cell>
          <cell r="F7693">
            <v>1174.72</v>
          </cell>
        </row>
        <row r="7694">
          <cell r="A7694" t="str">
            <v>400571</v>
          </cell>
          <cell r="B7694" t="str">
            <v>Manual para identificação de riscos da subestação, com mais de 15 equipamentos</v>
          </cell>
          <cell r="C7694" t="str">
            <v>ud</v>
          </cell>
          <cell r="D7694">
            <v>1762.08</v>
          </cell>
          <cell r="E7694">
            <v>0</v>
          </cell>
          <cell r="F7694">
            <v>1762.08</v>
          </cell>
        </row>
        <row r="7695">
          <cell r="A7695" t="str">
            <v>400575</v>
          </cell>
          <cell r="B7695" t="str">
            <v>Start-up de cubículos em AT</v>
          </cell>
          <cell r="C7695" t="str">
            <v>ud</v>
          </cell>
          <cell r="D7695">
            <v>557.52</v>
          </cell>
          <cell r="E7695">
            <v>0</v>
          </cell>
          <cell r="F7695">
            <v>557.52</v>
          </cell>
        </row>
        <row r="7696">
          <cell r="A7696" t="str">
            <v>400576</v>
          </cell>
          <cell r="B7696" t="str">
            <v>Start-up de subestação em AT com até 15 equipamentos</v>
          </cell>
          <cell r="C7696" t="str">
            <v>ud</v>
          </cell>
          <cell r="D7696">
            <v>1115.04</v>
          </cell>
          <cell r="E7696">
            <v>0</v>
          </cell>
          <cell r="F7696">
            <v>1115.04</v>
          </cell>
        </row>
        <row r="7697">
          <cell r="A7697" t="str">
            <v>400577</v>
          </cell>
          <cell r="B7697" t="str">
            <v>Start-up de subestação em AT com mais de 15 equipamentos</v>
          </cell>
          <cell r="C7697" t="str">
            <v>ud</v>
          </cell>
          <cell r="D7697">
            <v>2230.08</v>
          </cell>
          <cell r="E7697">
            <v>0</v>
          </cell>
          <cell r="F7697">
            <v>2230.08</v>
          </cell>
        </row>
        <row r="7698">
          <cell r="A7698" t="str">
            <v>400590</v>
          </cell>
          <cell r="B7698" t="str">
            <v>Operação assistida de instalações em AT - módulo 15 dias</v>
          </cell>
          <cell r="C7698" t="str">
            <v>ud</v>
          </cell>
          <cell r="D7698">
            <v>9749.3799999999992</v>
          </cell>
          <cell r="E7698">
            <v>0</v>
          </cell>
          <cell r="F7698">
            <v>9749.3799999999992</v>
          </cell>
        </row>
        <row r="7699">
          <cell r="A7699" t="str">
            <v>400591</v>
          </cell>
          <cell r="B7699" t="str">
            <v>Fornecimento de prontuário de instalações em AT - NR-10</v>
          </cell>
          <cell r="C7699" t="str">
            <v>ud</v>
          </cell>
          <cell r="D7699">
            <v>2936.8</v>
          </cell>
          <cell r="E7699">
            <v>0</v>
          </cell>
          <cell r="F7699">
            <v>2936.8</v>
          </cell>
        </row>
        <row r="7700">
          <cell r="A7700" t="str">
            <v>400595</v>
          </cell>
          <cell r="B7700" t="str">
            <v>Desenvolvimento de material didático para treinamento de operação e manutenção de instalações em AT</v>
          </cell>
          <cell r="C7700" t="str">
            <v>ud</v>
          </cell>
          <cell r="D7700">
            <v>1185.5999999999999</v>
          </cell>
          <cell r="E7700">
            <v>0</v>
          </cell>
          <cell r="F7700">
            <v>1185.5999999999999</v>
          </cell>
        </row>
        <row r="7701">
          <cell r="A7701" t="str">
            <v>400596</v>
          </cell>
          <cell r="B7701" t="str">
            <v>Treinamento de operação e manutenção de instalações em AT - módulo 1 dia</v>
          </cell>
          <cell r="C7701" t="str">
            <v>ud</v>
          </cell>
          <cell r="D7701">
            <v>587.36</v>
          </cell>
          <cell r="E7701">
            <v>0</v>
          </cell>
          <cell r="F7701">
            <v>587.36</v>
          </cell>
        </row>
        <row r="7702">
          <cell r="A7702" t="str">
            <v>4006</v>
          </cell>
          <cell r="B7702" t="str">
            <v>INSTALAÇÃO DE QUADRO DE COMANDO / GRUPO GERADOR</v>
          </cell>
        </row>
        <row r="7703">
          <cell r="A7703" t="str">
            <v>400601</v>
          </cell>
          <cell r="B7703" t="str">
            <v>Quadro autossustentável com 1 módulo</v>
          </cell>
          <cell r="C7703" t="str">
            <v>ud</v>
          </cell>
          <cell r="D7703">
            <v>347.54</v>
          </cell>
          <cell r="E7703">
            <v>71.02</v>
          </cell>
          <cell r="F7703">
            <v>418.56</v>
          </cell>
        </row>
        <row r="7704">
          <cell r="A7704" t="str">
            <v>400602</v>
          </cell>
          <cell r="B7704" t="str">
            <v>Quadro autossustentável com 2 módulos</v>
          </cell>
          <cell r="C7704" t="str">
            <v>ud</v>
          </cell>
          <cell r="D7704">
            <v>529.71</v>
          </cell>
          <cell r="E7704">
            <v>142.04</v>
          </cell>
          <cell r="F7704">
            <v>671.75</v>
          </cell>
        </row>
        <row r="7705">
          <cell r="A7705" t="str">
            <v>400603</v>
          </cell>
          <cell r="B7705" t="str">
            <v>Quadro autossustentável com 3 módulos</v>
          </cell>
          <cell r="C7705" t="str">
            <v>ud</v>
          </cell>
          <cell r="D7705">
            <v>711.87</v>
          </cell>
          <cell r="E7705">
            <v>213.05</v>
          </cell>
          <cell r="F7705">
            <v>924.92</v>
          </cell>
        </row>
        <row r="7706">
          <cell r="A7706" t="str">
            <v>400604</v>
          </cell>
          <cell r="B7706" t="str">
            <v>Quadro autossustentável com 4 módulos</v>
          </cell>
          <cell r="C7706" t="str">
            <v>ud</v>
          </cell>
          <cell r="D7706">
            <v>1059.4100000000001</v>
          </cell>
          <cell r="E7706">
            <v>284.07</v>
          </cell>
          <cell r="F7706">
            <v>1343.48</v>
          </cell>
        </row>
        <row r="7707">
          <cell r="A7707" t="str">
            <v>400605</v>
          </cell>
          <cell r="B7707" t="str">
            <v>Quadro autossustentável com 5 módulos</v>
          </cell>
          <cell r="C7707" t="str">
            <v>ud</v>
          </cell>
          <cell r="D7707">
            <v>1241.58</v>
          </cell>
          <cell r="E7707">
            <v>355.09</v>
          </cell>
          <cell r="F7707">
            <v>1596.67</v>
          </cell>
        </row>
        <row r="7708">
          <cell r="A7708" t="str">
            <v>400606</v>
          </cell>
          <cell r="B7708" t="str">
            <v>Quadro autossustentável com 6 módulos</v>
          </cell>
          <cell r="C7708" t="str">
            <v>ud</v>
          </cell>
          <cell r="D7708">
            <v>1423.75</v>
          </cell>
          <cell r="E7708">
            <v>426.11</v>
          </cell>
          <cell r="F7708">
            <v>1849.86</v>
          </cell>
        </row>
        <row r="7709">
          <cell r="A7709" t="str">
            <v>400607</v>
          </cell>
          <cell r="B7709" t="str">
            <v>Quadro autossustentável com 7 módulos</v>
          </cell>
          <cell r="C7709" t="str">
            <v>ud</v>
          </cell>
          <cell r="D7709">
            <v>1688.61</v>
          </cell>
          <cell r="E7709">
            <v>497.12</v>
          </cell>
          <cell r="F7709">
            <v>2185.73</v>
          </cell>
        </row>
        <row r="7710">
          <cell r="A7710" t="str">
            <v>400610</v>
          </cell>
          <cell r="B7710" t="str">
            <v>Quadro de sobrepor com 1 módulo</v>
          </cell>
          <cell r="C7710" t="str">
            <v>ud</v>
          </cell>
          <cell r="D7710">
            <v>27.21</v>
          </cell>
          <cell r="E7710">
            <v>0</v>
          </cell>
          <cell r="F7710">
            <v>27.21</v>
          </cell>
        </row>
        <row r="7711">
          <cell r="A7711" t="str">
            <v>400614</v>
          </cell>
          <cell r="B7711" t="str">
            <v>Quadro de embutir com 1 módulo</v>
          </cell>
          <cell r="C7711" t="str">
            <v>ud</v>
          </cell>
          <cell r="D7711">
            <v>42.28</v>
          </cell>
          <cell r="E7711">
            <v>0</v>
          </cell>
          <cell r="F7711">
            <v>42.28</v>
          </cell>
        </row>
        <row r="7712">
          <cell r="A7712" t="str">
            <v>400620</v>
          </cell>
          <cell r="B7712" t="str">
            <v>Remota em poste</v>
          </cell>
          <cell r="C7712" t="str">
            <v>ud</v>
          </cell>
          <cell r="D7712">
            <v>124.36</v>
          </cell>
          <cell r="E7712">
            <v>108.6</v>
          </cell>
          <cell r="F7712">
            <v>232.96</v>
          </cell>
        </row>
        <row r="7713">
          <cell r="A7713" t="str">
            <v>400625</v>
          </cell>
          <cell r="B7713" t="str">
            <v>Grupo gerador com até 30 kVA</v>
          </cell>
          <cell r="C7713" t="str">
            <v>ud</v>
          </cell>
          <cell r="D7713">
            <v>124.03</v>
          </cell>
          <cell r="E7713">
            <v>0</v>
          </cell>
          <cell r="F7713">
            <v>124.03</v>
          </cell>
        </row>
        <row r="7714">
          <cell r="A7714" t="str">
            <v>400626</v>
          </cell>
          <cell r="B7714" t="str">
            <v>Grupo gerador com até 75 kVA</v>
          </cell>
          <cell r="C7714" t="str">
            <v>ud</v>
          </cell>
          <cell r="D7714">
            <v>165.37</v>
          </cell>
          <cell r="E7714">
            <v>0</v>
          </cell>
          <cell r="F7714">
            <v>165.37</v>
          </cell>
        </row>
        <row r="7715">
          <cell r="A7715" t="str">
            <v>400627</v>
          </cell>
          <cell r="B7715" t="str">
            <v>Grupo gerador com até 150 kVA</v>
          </cell>
          <cell r="C7715" t="str">
            <v>ud</v>
          </cell>
          <cell r="D7715">
            <v>203.3</v>
          </cell>
          <cell r="E7715">
            <v>0</v>
          </cell>
          <cell r="F7715">
            <v>203.3</v>
          </cell>
        </row>
        <row r="7716">
          <cell r="A7716" t="str">
            <v>400628</v>
          </cell>
          <cell r="B7716" t="str">
            <v>Grupo gerador com  até 300 kVA</v>
          </cell>
          <cell r="C7716" t="str">
            <v>ud</v>
          </cell>
          <cell r="D7716">
            <v>222.27</v>
          </cell>
          <cell r="E7716">
            <v>0</v>
          </cell>
          <cell r="F7716">
            <v>222.27</v>
          </cell>
        </row>
        <row r="7717">
          <cell r="A7717" t="str">
            <v>4007</v>
          </cell>
          <cell r="B7717" t="str">
            <v>INSTALAÇÃO DE ELETRODUTO SUBTERRÂNEO</v>
          </cell>
        </row>
        <row r="7718">
          <cell r="A7718" t="str">
            <v>400701</v>
          </cell>
          <cell r="B7718" t="str">
            <v>Vala para assentamento de eletroduto de L=45 cm, h=40 cm, execução manual</v>
          </cell>
          <cell r="C7718" t="str">
            <v>m</v>
          </cell>
          <cell r="D7718">
            <v>10.95</v>
          </cell>
          <cell r="E7718">
            <v>0</v>
          </cell>
          <cell r="F7718">
            <v>10.95</v>
          </cell>
        </row>
        <row r="7719">
          <cell r="A7719" t="str">
            <v>400702</v>
          </cell>
          <cell r="B7719" t="str">
            <v>Vala para assentamento de eletroduto de L=45 cm, h=50 cm, execução manual</v>
          </cell>
          <cell r="C7719" t="str">
            <v>m</v>
          </cell>
          <cell r="D7719">
            <v>13.7</v>
          </cell>
          <cell r="E7719">
            <v>0</v>
          </cell>
          <cell r="F7719">
            <v>13.7</v>
          </cell>
        </row>
        <row r="7720">
          <cell r="A7720" t="str">
            <v>400703</v>
          </cell>
          <cell r="B7720" t="str">
            <v>Vala para assentamento de eletroduto de L=45 cm, h=60 cm, execução manual</v>
          </cell>
          <cell r="C7720" t="str">
            <v>m</v>
          </cell>
          <cell r="D7720">
            <v>16.43</v>
          </cell>
          <cell r="E7720">
            <v>0</v>
          </cell>
          <cell r="F7720">
            <v>16.43</v>
          </cell>
        </row>
        <row r="7721">
          <cell r="A7721" t="str">
            <v>400706</v>
          </cell>
          <cell r="B7721" t="str">
            <v>Vala para assentamento de eletroduto de L=45 cm, h=40 cm, execução mecânica</v>
          </cell>
          <cell r="C7721" t="str">
            <v>m</v>
          </cell>
          <cell r="D7721">
            <v>2.77</v>
          </cell>
          <cell r="E7721">
            <v>0</v>
          </cell>
          <cell r="F7721">
            <v>2.77</v>
          </cell>
        </row>
        <row r="7722">
          <cell r="A7722" t="str">
            <v>400707</v>
          </cell>
          <cell r="B7722" t="str">
            <v>Vala para assentamento de eletroduto de L=45 cm, h=50 cm, execução mecânica</v>
          </cell>
          <cell r="C7722" t="str">
            <v>m</v>
          </cell>
          <cell r="D7722">
            <v>3.46</v>
          </cell>
          <cell r="E7722">
            <v>0</v>
          </cell>
          <cell r="F7722">
            <v>3.46</v>
          </cell>
        </row>
        <row r="7723">
          <cell r="A7723" t="str">
            <v>400708</v>
          </cell>
          <cell r="B7723" t="str">
            <v>Vala para assentamento de eletroduto de L=45 cm, h=60 cm, execução mecânica</v>
          </cell>
          <cell r="C7723" t="str">
            <v>m</v>
          </cell>
          <cell r="D7723">
            <v>4.16</v>
          </cell>
          <cell r="E7723">
            <v>0</v>
          </cell>
          <cell r="F7723">
            <v>4.16</v>
          </cell>
        </row>
        <row r="7724">
          <cell r="A7724" t="str">
            <v>400711</v>
          </cell>
          <cell r="B7724" t="str">
            <v>Assentamento de eletroduto até 1"</v>
          </cell>
          <cell r="C7724" t="str">
            <v>m</v>
          </cell>
          <cell r="D7724">
            <v>0.75</v>
          </cell>
          <cell r="E7724">
            <v>0.25</v>
          </cell>
          <cell r="F7724">
            <v>1</v>
          </cell>
        </row>
        <row r="7725">
          <cell r="A7725" t="str">
            <v>400712</v>
          </cell>
          <cell r="B7725" t="str">
            <v>Assentamento de eletroduto de 1.1/4" a 2.1/2"</v>
          </cell>
          <cell r="C7725" t="str">
            <v>m</v>
          </cell>
          <cell r="D7725">
            <v>0.93</v>
          </cell>
          <cell r="E7725">
            <v>0.25</v>
          </cell>
          <cell r="F7725">
            <v>1.18</v>
          </cell>
        </row>
        <row r="7726">
          <cell r="A7726" t="str">
            <v>400713</v>
          </cell>
          <cell r="B7726" t="str">
            <v>Assentamento de eletroduto de 3" a  4"</v>
          </cell>
          <cell r="C7726" t="str">
            <v>m</v>
          </cell>
          <cell r="D7726">
            <v>1.17</v>
          </cell>
          <cell r="E7726">
            <v>0.25</v>
          </cell>
          <cell r="F7726">
            <v>1.42</v>
          </cell>
        </row>
        <row r="7727">
          <cell r="A7727" t="str">
            <v>400714</v>
          </cell>
          <cell r="B7727" t="str">
            <v>Assentamento de eletroduto corrugado até 3"</v>
          </cell>
          <cell r="C7727" t="str">
            <v>m</v>
          </cell>
          <cell r="D7727">
            <v>0.93</v>
          </cell>
          <cell r="E7727">
            <v>0.25</v>
          </cell>
          <cell r="F7727">
            <v>1.18</v>
          </cell>
        </row>
        <row r="7728">
          <cell r="A7728" t="str">
            <v>400715</v>
          </cell>
          <cell r="B7728" t="str">
            <v>Assentamento de eletroduto corrugado de 4" a  6"</v>
          </cell>
          <cell r="C7728" t="str">
            <v>m</v>
          </cell>
          <cell r="D7728">
            <v>1.17</v>
          </cell>
          <cell r="E7728">
            <v>0.25</v>
          </cell>
          <cell r="F7728">
            <v>1.42</v>
          </cell>
        </row>
        <row r="7729">
          <cell r="A7729" t="str">
            <v>400730</v>
          </cell>
          <cell r="B7729" t="str">
            <v>Envelopamento com concreto não estrutural</v>
          </cell>
          <cell r="C7729" t="str">
            <v>m3</v>
          </cell>
          <cell r="D7729">
            <v>214.2</v>
          </cell>
          <cell r="E7729">
            <v>140.61000000000001</v>
          </cell>
          <cell r="F7729">
            <v>354.81</v>
          </cell>
        </row>
        <row r="7730">
          <cell r="A7730" t="str">
            <v>400731</v>
          </cell>
          <cell r="B7730" t="str">
            <v>Envelopamento com areia</v>
          </cell>
          <cell r="C7730" t="str">
            <v>m3</v>
          </cell>
          <cell r="D7730">
            <v>21.17</v>
          </cell>
          <cell r="E7730">
            <v>63.25</v>
          </cell>
          <cell r="F7730">
            <v>84.42</v>
          </cell>
        </row>
        <row r="7731">
          <cell r="A7731" t="str">
            <v>4008</v>
          </cell>
          <cell r="B7731" t="str">
            <v>INSTALAÇÃO DE ELETRODUTO / ELETROCALHA / CANALETA</v>
          </cell>
        </row>
        <row r="7732">
          <cell r="A7732" t="str">
            <v>400802</v>
          </cell>
          <cell r="B7732" t="str">
            <v>Eletroduto de PVC de 1.1/4" a 2"</v>
          </cell>
          <cell r="C7732" t="str">
            <v>m</v>
          </cell>
          <cell r="D7732">
            <v>6.8</v>
          </cell>
          <cell r="E7732">
            <v>0.86</v>
          </cell>
          <cell r="F7732">
            <v>7.66</v>
          </cell>
        </row>
        <row r="7733">
          <cell r="A7733" t="str">
            <v>400803</v>
          </cell>
          <cell r="B7733" t="str">
            <v>Eletroduto de PVC de 2.1/2" a 3"</v>
          </cell>
          <cell r="C7733" t="str">
            <v>m</v>
          </cell>
          <cell r="D7733">
            <v>8.43</v>
          </cell>
          <cell r="E7733">
            <v>1.1399999999999999</v>
          </cell>
          <cell r="F7733">
            <v>9.57</v>
          </cell>
        </row>
        <row r="7734">
          <cell r="A7734" t="str">
            <v>400804</v>
          </cell>
          <cell r="B7734" t="str">
            <v>Eletroduto de PVC de 4"</v>
          </cell>
          <cell r="C7734" t="str">
            <v>m</v>
          </cell>
          <cell r="D7734">
            <v>9.07</v>
          </cell>
          <cell r="E7734">
            <v>1.1399999999999999</v>
          </cell>
          <cell r="F7734">
            <v>10.210000000000001</v>
          </cell>
        </row>
        <row r="7735">
          <cell r="A7735" t="str">
            <v>400807</v>
          </cell>
          <cell r="B7735" t="str">
            <v>Eletroduto de AG até 1"</v>
          </cell>
          <cell r="C7735" t="str">
            <v>m</v>
          </cell>
          <cell r="D7735">
            <v>8.83</v>
          </cell>
          <cell r="E7735">
            <v>0.71</v>
          </cell>
          <cell r="F7735">
            <v>9.5399999999999991</v>
          </cell>
        </row>
        <row r="7736">
          <cell r="A7736" t="str">
            <v>400808</v>
          </cell>
          <cell r="B7736" t="str">
            <v>Eletroduto de AG de 1.1/4" a 2"</v>
          </cell>
          <cell r="C7736" t="str">
            <v>m</v>
          </cell>
          <cell r="D7736">
            <v>9.9600000000000009</v>
          </cell>
          <cell r="E7736">
            <v>0.86</v>
          </cell>
          <cell r="F7736">
            <v>10.82</v>
          </cell>
        </row>
        <row r="7737">
          <cell r="A7737" t="str">
            <v>400809</v>
          </cell>
          <cell r="B7737" t="str">
            <v>Eletroduto de AG de 2.1/2" a 3"</v>
          </cell>
          <cell r="C7737" t="str">
            <v>m</v>
          </cell>
          <cell r="D7737">
            <v>11.6</v>
          </cell>
          <cell r="E7737">
            <v>1.1399999999999999</v>
          </cell>
          <cell r="F7737">
            <v>12.74</v>
          </cell>
        </row>
        <row r="7738">
          <cell r="A7738" t="str">
            <v>400810</v>
          </cell>
          <cell r="B7738" t="str">
            <v>Eletroduto de AG de 4"</v>
          </cell>
          <cell r="C7738" t="str">
            <v>m</v>
          </cell>
          <cell r="D7738">
            <v>12.23</v>
          </cell>
          <cell r="E7738">
            <v>1.1399999999999999</v>
          </cell>
          <cell r="F7738">
            <v>13.37</v>
          </cell>
        </row>
        <row r="7739">
          <cell r="A7739" t="str">
            <v>400813</v>
          </cell>
          <cell r="B7739" t="str">
            <v>Eletroduto de alumínio até 1"</v>
          </cell>
          <cell r="C7739" t="str">
            <v>m</v>
          </cell>
          <cell r="D7739">
            <v>7.57</v>
          </cell>
          <cell r="E7739">
            <v>0.71</v>
          </cell>
          <cell r="F7739">
            <v>8.2799999999999994</v>
          </cell>
        </row>
        <row r="7740">
          <cell r="A7740" t="str">
            <v>400814</v>
          </cell>
          <cell r="B7740" t="str">
            <v>Eletroduto de alumínio de 1.1/4" a 2"</v>
          </cell>
          <cell r="C7740" t="str">
            <v>m</v>
          </cell>
          <cell r="D7740">
            <v>8.6999999999999993</v>
          </cell>
          <cell r="E7740">
            <v>0.86</v>
          </cell>
          <cell r="F7740">
            <v>9.56</v>
          </cell>
        </row>
        <row r="7741">
          <cell r="A7741" t="str">
            <v>400815</v>
          </cell>
          <cell r="B7741" t="str">
            <v>Eletroduto de alumínio de 2.1/2" a 3"</v>
          </cell>
          <cell r="C7741" t="str">
            <v>m</v>
          </cell>
          <cell r="D7741">
            <v>10.33</v>
          </cell>
          <cell r="E7741">
            <v>1.1399999999999999</v>
          </cell>
          <cell r="F7741">
            <v>11.47</v>
          </cell>
        </row>
        <row r="7742">
          <cell r="A7742" t="str">
            <v>400816</v>
          </cell>
          <cell r="B7742" t="str">
            <v>Eletroduto de alumínio de 4"</v>
          </cell>
          <cell r="C7742" t="str">
            <v>m</v>
          </cell>
          <cell r="D7742">
            <v>10.96</v>
          </cell>
          <cell r="E7742">
            <v>1.1399999999999999</v>
          </cell>
          <cell r="F7742">
            <v>12.1</v>
          </cell>
        </row>
        <row r="7743">
          <cell r="A7743" t="str">
            <v>400820</v>
          </cell>
          <cell r="B7743" t="str">
            <v xml:space="preserve">Eletrocalhas até 100 mm </v>
          </cell>
          <cell r="C7743" t="str">
            <v>m</v>
          </cell>
          <cell r="D7743">
            <v>9.48</v>
          </cell>
          <cell r="E7743">
            <v>0</v>
          </cell>
          <cell r="F7743">
            <v>9.48</v>
          </cell>
        </row>
        <row r="7744">
          <cell r="A7744" t="str">
            <v>400821</v>
          </cell>
          <cell r="B7744" t="str">
            <v>Eletrocalhas de 101 mm a 300 mm</v>
          </cell>
          <cell r="C7744" t="str">
            <v>m</v>
          </cell>
          <cell r="D7744">
            <v>12.65</v>
          </cell>
          <cell r="E7744">
            <v>0</v>
          </cell>
          <cell r="F7744">
            <v>12.65</v>
          </cell>
        </row>
        <row r="7745">
          <cell r="A7745" t="str">
            <v>400822</v>
          </cell>
          <cell r="B7745" t="str">
            <v>Eletrocalhas de 301 mm a 500 mm</v>
          </cell>
          <cell r="C7745" t="str">
            <v>m</v>
          </cell>
          <cell r="D7745">
            <v>18.97</v>
          </cell>
          <cell r="E7745">
            <v>0</v>
          </cell>
          <cell r="F7745">
            <v>18.97</v>
          </cell>
        </row>
        <row r="7746">
          <cell r="A7746" t="str">
            <v>400825</v>
          </cell>
          <cell r="B7746" t="str">
            <v>Perfilados ou leitos até 76 mm</v>
          </cell>
          <cell r="C7746" t="str">
            <v>m</v>
          </cell>
          <cell r="D7746">
            <v>10.43</v>
          </cell>
          <cell r="E7746">
            <v>0</v>
          </cell>
          <cell r="F7746">
            <v>10.43</v>
          </cell>
        </row>
        <row r="7747">
          <cell r="A7747" t="str">
            <v>400826</v>
          </cell>
          <cell r="B7747" t="str">
            <v>Perfilados ou leitos de 77 mm a 100 mm</v>
          </cell>
          <cell r="C7747" t="str">
            <v>m</v>
          </cell>
          <cell r="D7747">
            <v>13.91</v>
          </cell>
          <cell r="E7747">
            <v>0</v>
          </cell>
          <cell r="F7747">
            <v>13.91</v>
          </cell>
        </row>
        <row r="7748">
          <cell r="A7748" t="str">
            <v>400830</v>
          </cell>
          <cell r="B7748" t="str">
            <v xml:space="preserve">Canaleta de PVC até 32 mm </v>
          </cell>
          <cell r="C7748" t="str">
            <v>m</v>
          </cell>
          <cell r="D7748">
            <v>1.26</v>
          </cell>
          <cell r="E7748">
            <v>0</v>
          </cell>
          <cell r="F7748">
            <v>1.26</v>
          </cell>
        </row>
        <row r="7749">
          <cell r="A7749" t="str">
            <v>400831</v>
          </cell>
          <cell r="B7749" t="str">
            <v xml:space="preserve">Canaleta de PVC de 33 mm a 50 mm </v>
          </cell>
          <cell r="C7749" t="str">
            <v>m</v>
          </cell>
          <cell r="D7749">
            <v>1.89</v>
          </cell>
          <cell r="E7749">
            <v>0</v>
          </cell>
          <cell r="F7749">
            <v>1.89</v>
          </cell>
        </row>
        <row r="7750">
          <cell r="A7750" t="str">
            <v>400832</v>
          </cell>
          <cell r="B7750" t="str">
            <v xml:space="preserve">Canaleta de PVC de 51 mm a 110 mm </v>
          </cell>
          <cell r="C7750" t="str">
            <v>m</v>
          </cell>
          <cell r="D7750">
            <v>2.5299999999999998</v>
          </cell>
          <cell r="E7750">
            <v>0</v>
          </cell>
          <cell r="F7750">
            <v>2.5299999999999998</v>
          </cell>
        </row>
        <row r="7751">
          <cell r="A7751" t="str">
            <v>400850</v>
          </cell>
          <cell r="B7751" t="str">
            <v>Acréscimo para instalação de eletrodutos em altura acima de 3,70 m</v>
          </cell>
          <cell r="C7751" t="str">
            <v>m</v>
          </cell>
          <cell r="D7751">
            <v>3.79</v>
          </cell>
          <cell r="E7751">
            <v>0</v>
          </cell>
          <cell r="F7751">
            <v>3.79</v>
          </cell>
        </row>
        <row r="7752">
          <cell r="A7752" t="str">
            <v>400851</v>
          </cell>
          <cell r="B7752" t="str">
            <v>Acréscimo para instalação de eletrocalhas / perfilados em altura acima de 3,70 m</v>
          </cell>
          <cell r="C7752" t="str">
            <v>m</v>
          </cell>
          <cell r="D7752">
            <v>6.32</v>
          </cell>
          <cell r="E7752">
            <v>0</v>
          </cell>
          <cell r="F7752">
            <v>6.32</v>
          </cell>
        </row>
        <row r="7753">
          <cell r="A7753" t="str">
            <v>400801</v>
          </cell>
          <cell r="B7753" t="str">
            <v>Eletroduto de PVC até 1"</v>
          </cell>
          <cell r="C7753" t="str">
            <v>m</v>
          </cell>
          <cell r="D7753">
            <v>5.67</v>
          </cell>
          <cell r="E7753">
            <v>0.71</v>
          </cell>
          <cell r="F7753">
            <v>6.38</v>
          </cell>
        </row>
        <row r="7754">
          <cell r="A7754" t="str">
            <v>4009</v>
          </cell>
          <cell r="B7754" t="str">
            <v>INSTALAÇÃO DE RAMAL ALIMENTADOR / DE SINAL</v>
          </cell>
        </row>
        <row r="7755">
          <cell r="A7755" t="str">
            <v>400901</v>
          </cell>
          <cell r="B7755" t="str">
            <v xml:space="preserve">Passagem de 1 a 2 cabos de até 6 mm² </v>
          </cell>
          <cell r="C7755" t="str">
            <v>m</v>
          </cell>
          <cell r="D7755">
            <v>0.95</v>
          </cell>
          <cell r="E7755">
            <v>0.06</v>
          </cell>
          <cell r="F7755">
            <v>1.01</v>
          </cell>
        </row>
        <row r="7756">
          <cell r="A7756" t="str">
            <v>400902</v>
          </cell>
          <cell r="B7756" t="str">
            <v xml:space="preserve">Passagem de 1 a 2 cabos de 10 mm² a 25 mm² </v>
          </cell>
          <cell r="C7756" t="str">
            <v>m</v>
          </cell>
          <cell r="D7756">
            <v>1.0900000000000001</v>
          </cell>
          <cell r="E7756">
            <v>0.06</v>
          </cell>
          <cell r="F7756">
            <v>1.1499999999999999</v>
          </cell>
        </row>
        <row r="7757">
          <cell r="A7757" t="str">
            <v>400903</v>
          </cell>
          <cell r="B7757" t="str">
            <v xml:space="preserve">Passagem de 1 a 2 cabos de 35 mm² a 70 mm² </v>
          </cell>
          <cell r="C7757" t="str">
            <v>m</v>
          </cell>
          <cell r="D7757">
            <v>1.25</v>
          </cell>
          <cell r="E7757">
            <v>0.06</v>
          </cell>
          <cell r="F7757">
            <v>1.31</v>
          </cell>
        </row>
        <row r="7758">
          <cell r="A7758" t="str">
            <v>400904</v>
          </cell>
          <cell r="B7758" t="str">
            <v xml:space="preserve">Passagem de 1 a 2 cabos de 95 mm² a 150 mm² </v>
          </cell>
          <cell r="C7758" t="str">
            <v>m</v>
          </cell>
          <cell r="D7758">
            <v>2.06</v>
          </cell>
          <cell r="E7758">
            <v>0.06</v>
          </cell>
          <cell r="F7758">
            <v>2.12</v>
          </cell>
        </row>
        <row r="7759">
          <cell r="A7759" t="str">
            <v>400905</v>
          </cell>
          <cell r="B7759" t="str">
            <v xml:space="preserve">Passagem de 1 a 2 cabos de 185 mm² a 240 mm² </v>
          </cell>
          <cell r="C7759" t="str">
            <v>m</v>
          </cell>
          <cell r="D7759">
            <v>2.38</v>
          </cell>
          <cell r="E7759">
            <v>0.06</v>
          </cell>
          <cell r="F7759">
            <v>2.44</v>
          </cell>
        </row>
        <row r="7760">
          <cell r="A7760" t="str">
            <v>400910</v>
          </cell>
          <cell r="B7760" t="str">
            <v xml:space="preserve">Passagem de 3 a 4 cabos de até 6 mm² </v>
          </cell>
          <cell r="C7760" t="str">
            <v>m</v>
          </cell>
          <cell r="D7760">
            <v>1.1100000000000001</v>
          </cell>
          <cell r="E7760">
            <v>0.12</v>
          </cell>
          <cell r="F7760">
            <v>1.23</v>
          </cell>
        </row>
        <row r="7761">
          <cell r="A7761" t="str">
            <v>400911</v>
          </cell>
          <cell r="B7761" t="str">
            <v xml:space="preserve">Passagem de 3 a 4 cabos de 10 mm² a 25 mm² </v>
          </cell>
          <cell r="C7761" t="str">
            <v>m</v>
          </cell>
          <cell r="D7761">
            <v>1.27</v>
          </cell>
          <cell r="E7761">
            <v>0.12</v>
          </cell>
          <cell r="F7761">
            <v>1.39</v>
          </cell>
        </row>
        <row r="7762">
          <cell r="A7762" t="str">
            <v>400912</v>
          </cell>
          <cell r="B7762" t="str">
            <v xml:space="preserve">Passagem de 3 a 4 cabos de 35 mm² a 70 mm² </v>
          </cell>
          <cell r="C7762" t="str">
            <v>m</v>
          </cell>
          <cell r="D7762">
            <v>1.47</v>
          </cell>
          <cell r="E7762">
            <v>0.12</v>
          </cell>
          <cell r="F7762">
            <v>1.59</v>
          </cell>
        </row>
        <row r="7763">
          <cell r="A7763" t="str">
            <v>400913</v>
          </cell>
          <cell r="B7763" t="str">
            <v xml:space="preserve">Passagem de 3 a 4 cabos de 95 mm² a 150 mm² </v>
          </cell>
          <cell r="C7763" t="str">
            <v>m</v>
          </cell>
          <cell r="D7763">
            <v>2.41</v>
          </cell>
          <cell r="E7763">
            <v>0.12</v>
          </cell>
          <cell r="F7763">
            <v>2.5299999999999998</v>
          </cell>
        </row>
        <row r="7764">
          <cell r="A7764" t="str">
            <v>400914</v>
          </cell>
          <cell r="B7764" t="str">
            <v xml:space="preserve">Passagem de 3 a 4 cabos de 185 mm² a 240 mm² </v>
          </cell>
          <cell r="C7764" t="str">
            <v>m</v>
          </cell>
          <cell r="D7764">
            <v>2.77</v>
          </cell>
          <cell r="E7764">
            <v>0.12</v>
          </cell>
          <cell r="F7764">
            <v>2.89</v>
          </cell>
        </row>
        <row r="7765">
          <cell r="A7765" t="str">
            <v>400918</v>
          </cell>
          <cell r="B7765" t="str">
            <v xml:space="preserve">Passagem de 5 a 9 cabos de até 6 mm² </v>
          </cell>
          <cell r="C7765" t="str">
            <v>m</v>
          </cell>
          <cell r="D7765">
            <v>1.58</v>
          </cell>
          <cell r="E7765">
            <v>0.27</v>
          </cell>
          <cell r="F7765">
            <v>1.85</v>
          </cell>
        </row>
        <row r="7766">
          <cell r="A7766" t="str">
            <v>400919</v>
          </cell>
          <cell r="B7766" t="str">
            <v xml:space="preserve">Passagem de 5 a 9 cabos de 10 mm² a 25 mm² </v>
          </cell>
          <cell r="C7766" t="str">
            <v>m</v>
          </cell>
          <cell r="D7766">
            <v>1.98</v>
          </cell>
          <cell r="E7766">
            <v>0.27</v>
          </cell>
          <cell r="F7766">
            <v>2.25</v>
          </cell>
        </row>
        <row r="7767">
          <cell r="A7767" t="str">
            <v>400920</v>
          </cell>
          <cell r="B7767" t="str">
            <v xml:space="preserve">Passagem de 5 a 9 cabos de 35 mm² a 70 mm² </v>
          </cell>
          <cell r="C7767" t="str">
            <v>m</v>
          </cell>
          <cell r="D7767">
            <v>3.55</v>
          </cell>
          <cell r="E7767">
            <v>0.27</v>
          </cell>
          <cell r="F7767">
            <v>3.82</v>
          </cell>
        </row>
        <row r="7768">
          <cell r="A7768" t="str">
            <v>400921</v>
          </cell>
          <cell r="B7768" t="str">
            <v xml:space="preserve">Passagem de 5 a 9 cabos de 95 mm² a 150 mm² </v>
          </cell>
          <cell r="C7768" t="str">
            <v>m</v>
          </cell>
          <cell r="D7768">
            <v>5.78</v>
          </cell>
          <cell r="E7768">
            <v>0.27</v>
          </cell>
          <cell r="F7768">
            <v>6.05</v>
          </cell>
        </row>
        <row r="7769">
          <cell r="A7769" t="str">
            <v>400922</v>
          </cell>
          <cell r="B7769" t="str">
            <v xml:space="preserve">Passagem de 5 a 9 cabos de 185 mm² a 240 mm² </v>
          </cell>
          <cell r="C7769" t="str">
            <v>m</v>
          </cell>
          <cell r="D7769">
            <v>8.66</v>
          </cell>
          <cell r="E7769">
            <v>0.27</v>
          </cell>
          <cell r="F7769">
            <v>8.93</v>
          </cell>
        </row>
        <row r="7770">
          <cell r="A7770" t="str">
            <v>400926</v>
          </cell>
          <cell r="B7770" t="str">
            <v xml:space="preserve">Passagem de cabo multipolar até 4 vias de até 2,5 mm² </v>
          </cell>
          <cell r="C7770" t="str">
            <v>m</v>
          </cell>
          <cell r="D7770">
            <v>0.76</v>
          </cell>
          <cell r="E7770">
            <v>0.12</v>
          </cell>
          <cell r="F7770">
            <v>0.88</v>
          </cell>
        </row>
        <row r="7771">
          <cell r="A7771" t="str">
            <v>400927</v>
          </cell>
          <cell r="B7771" t="str">
            <v xml:space="preserve">Passagem de cabo multipolar até 4 vias de 4 mm² a 6 mm² </v>
          </cell>
          <cell r="C7771" t="str">
            <v>m</v>
          </cell>
          <cell r="D7771">
            <v>0.87</v>
          </cell>
          <cell r="E7771">
            <v>0.18</v>
          </cell>
          <cell r="F7771">
            <v>1.05</v>
          </cell>
        </row>
        <row r="7772">
          <cell r="A7772" t="str">
            <v>400930</v>
          </cell>
          <cell r="B7772" t="str">
            <v>Passagem de cabo de comando e controle até 12 vias de até 2,5 mm²</v>
          </cell>
          <cell r="C7772" t="str">
            <v>m</v>
          </cell>
          <cell r="D7772">
            <v>1.01</v>
          </cell>
          <cell r="E7772">
            <v>0.36</v>
          </cell>
          <cell r="F7772">
            <v>1.37</v>
          </cell>
        </row>
        <row r="7773">
          <cell r="A7773" t="str">
            <v>400931</v>
          </cell>
          <cell r="B7773" t="str">
            <v>Passagem de cabo de comando e controle de 15 a 25 vias de até 2,5 mm²</v>
          </cell>
          <cell r="C7773" t="str">
            <v>m</v>
          </cell>
          <cell r="D7773">
            <v>1.1499999999999999</v>
          </cell>
          <cell r="E7773">
            <v>0.75</v>
          </cell>
          <cell r="F7773">
            <v>1.9</v>
          </cell>
        </row>
        <row r="7774">
          <cell r="A7774" t="str">
            <v>400940</v>
          </cell>
          <cell r="B7774" t="str">
            <v xml:space="preserve">Passagem de cabo de rede comunicação industrial </v>
          </cell>
          <cell r="C7774" t="str">
            <v>m</v>
          </cell>
          <cell r="D7774">
            <v>0.37</v>
          </cell>
          <cell r="E7774">
            <v>0</v>
          </cell>
          <cell r="F7774">
            <v>0.37</v>
          </cell>
        </row>
        <row r="7775">
          <cell r="A7775" t="str">
            <v>400941</v>
          </cell>
          <cell r="B7775" t="str">
            <v xml:space="preserve">Passagem de cabo de fibra óptica </v>
          </cell>
          <cell r="C7775" t="str">
            <v>m</v>
          </cell>
          <cell r="D7775">
            <v>0.46</v>
          </cell>
          <cell r="E7775">
            <v>0</v>
          </cell>
          <cell r="F7775">
            <v>0.46</v>
          </cell>
        </row>
        <row r="7776">
          <cell r="A7776" t="str">
            <v>400942</v>
          </cell>
          <cell r="B7776" t="str">
            <v>Passagem de cabo coaxial</v>
          </cell>
          <cell r="C7776" t="str">
            <v>m</v>
          </cell>
          <cell r="D7776">
            <v>0.37</v>
          </cell>
          <cell r="E7776">
            <v>0</v>
          </cell>
          <cell r="F7776">
            <v>0.37</v>
          </cell>
        </row>
        <row r="7777">
          <cell r="A7777" t="str">
            <v>4010</v>
          </cell>
          <cell r="B7777" t="str">
            <v>INSTALAÇÃO DE ATERRAMENTO</v>
          </cell>
        </row>
        <row r="7778">
          <cell r="A7778" t="str">
            <v>401001</v>
          </cell>
          <cell r="B7778" t="str">
            <v xml:space="preserve">Vala com L=30 cm e h=60 cm para assentamento de cabo de aterramento </v>
          </cell>
          <cell r="C7778" t="str">
            <v>m</v>
          </cell>
          <cell r="D7778">
            <v>10.95</v>
          </cell>
          <cell r="E7778">
            <v>0</v>
          </cell>
          <cell r="F7778">
            <v>10.95</v>
          </cell>
        </row>
        <row r="7779">
          <cell r="A7779" t="str">
            <v>401002</v>
          </cell>
          <cell r="B7779" t="str">
            <v xml:space="preserve">Assentamento de cabo de aterramento </v>
          </cell>
          <cell r="C7779" t="str">
            <v>m</v>
          </cell>
          <cell r="D7779">
            <v>0.93</v>
          </cell>
          <cell r="E7779">
            <v>0</v>
          </cell>
          <cell r="F7779">
            <v>0.93</v>
          </cell>
        </row>
        <row r="7780">
          <cell r="A7780" t="str">
            <v>401003</v>
          </cell>
          <cell r="B7780" t="str">
            <v xml:space="preserve">Instalação de haste de aterramento </v>
          </cell>
          <cell r="C7780" t="str">
            <v>ud</v>
          </cell>
          <cell r="D7780">
            <v>18.97</v>
          </cell>
          <cell r="E7780">
            <v>0</v>
          </cell>
          <cell r="F7780">
            <v>18.97</v>
          </cell>
        </row>
        <row r="7781">
          <cell r="A7781" t="str">
            <v>401004</v>
          </cell>
          <cell r="B7781" t="str">
            <v>Instalação de sistema de aterramento em cerca de arame sob linhas em AT</v>
          </cell>
          <cell r="C7781" t="str">
            <v>ud</v>
          </cell>
          <cell r="D7781">
            <v>3.79</v>
          </cell>
          <cell r="E7781">
            <v>0</v>
          </cell>
          <cell r="F7781">
            <v>3.79</v>
          </cell>
        </row>
        <row r="7782">
          <cell r="A7782" t="str">
            <v>401005</v>
          </cell>
          <cell r="B7782" t="str">
            <v>Instalação de sistema de aterramento em cerca de tela sob linhas em AT</v>
          </cell>
          <cell r="C7782" t="str">
            <v>ud</v>
          </cell>
          <cell r="D7782">
            <v>5.69</v>
          </cell>
          <cell r="E7782">
            <v>0</v>
          </cell>
          <cell r="F7782">
            <v>5.69</v>
          </cell>
        </row>
        <row r="7783">
          <cell r="A7783" t="str">
            <v>401006</v>
          </cell>
          <cell r="B7783" t="str">
            <v>Medição de sistema de aterramento e emissão de relatório</v>
          </cell>
          <cell r="C7783" t="str">
            <v>ud</v>
          </cell>
          <cell r="D7783">
            <v>196.16</v>
          </cell>
          <cell r="E7783">
            <v>0</v>
          </cell>
          <cell r="F7783">
            <v>196.16</v>
          </cell>
        </row>
        <row r="7784">
          <cell r="A7784" t="str">
            <v>401007</v>
          </cell>
          <cell r="B7784" t="str">
            <v xml:space="preserve">Execução de solda exotérmica </v>
          </cell>
          <cell r="C7784" t="str">
            <v>ud</v>
          </cell>
          <cell r="D7784">
            <v>12.65</v>
          </cell>
          <cell r="E7784">
            <v>0</v>
          </cell>
          <cell r="F7784">
            <v>12.65</v>
          </cell>
        </row>
        <row r="7785">
          <cell r="A7785" t="str">
            <v>4011</v>
          </cell>
          <cell r="B7785" t="str">
            <v>INSTALAÇÃO DE SISTEMA DE PROTEÇÃO DE DESCARGA ATMOSFÉRICA - SPDA</v>
          </cell>
        </row>
        <row r="7786">
          <cell r="A7786" t="str">
            <v>401101</v>
          </cell>
          <cell r="B7786" t="str">
            <v xml:space="preserve">Para-raios </v>
          </cell>
          <cell r="C7786" t="str">
            <v>ud</v>
          </cell>
          <cell r="D7786">
            <v>113.79</v>
          </cell>
          <cell r="E7786">
            <v>0</v>
          </cell>
          <cell r="F7786">
            <v>113.79</v>
          </cell>
        </row>
        <row r="7787">
          <cell r="A7787" t="str">
            <v>401102</v>
          </cell>
          <cell r="B7787" t="str">
            <v>Cabeamento de SPDA</v>
          </cell>
          <cell r="C7787" t="str">
            <v>m</v>
          </cell>
          <cell r="D7787">
            <v>27.21</v>
          </cell>
          <cell r="E7787">
            <v>0</v>
          </cell>
          <cell r="F7787">
            <v>27.21</v>
          </cell>
        </row>
        <row r="7788">
          <cell r="A7788" t="str">
            <v>4012</v>
          </cell>
          <cell r="B7788" t="str">
            <v>INSTALAÇÃO DE ILUMINAÇÃO EXTERNA</v>
          </cell>
        </row>
        <row r="7789">
          <cell r="A7789" t="str">
            <v>401201</v>
          </cell>
          <cell r="B7789" t="str">
            <v>Poste com até 2 refletores</v>
          </cell>
          <cell r="C7789" t="str">
            <v>ud</v>
          </cell>
          <cell r="D7789">
            <v>353.1</v>
          </cell>
          <cell r="E7789">
            <v>0.15</v>
          </cell>
          <cell r="F7789">
            <v>353.25</v>
          </cell>
        </row>
        <row r="7790">
          <cell r="A7790" t="str">
            <v>401202</v>
          </cell>
          <cell r="B7790" t="str">
            <v>Poste com 3 a 4 refletores</v>
          </cell>
          <cell r="C7790" t="str">
            <v>ud</v>
          </cell>
          <cell r="D7790">
            <v>410</v>
          </cell>
          <cell r="E7790">
            <v>0.22</v>
          </cell>
          <cell r="F7790">
            <v>410.22</v>
          </cell>
        </row>
        <row r="7791">
          <cell r="A7791" t="str">
            <v>401203</v>
          </cell>
          <cell r="B7791" t="str">
            <v>Poste com braço para luminária</v>
          </cell>
          <cell r="C7791" t="str">
            <v>ud</v>
          </cell>
          <cell r="D7791">
            <v>353.1</v>
          </cell>
          <cell r="E7791">
            <v>0.15</v>
          </cell>
          <cell r="F7791">
            <v>353.25</v>
          </cell>
        </row>
        <row r="7792">
          <cell r="A7792" t="str">
            <v>401204</v>
          </cell>
          <cell r="B7792" t="str">
            <v>Poste com luminária decorativa</v>
          </cell>
          <cell r="C7792" t="str">
            <v>ud</v>
          </cell>
          <cell r="D7792">
            <v>91.84</v>
          </cell>
          <cell r="E7792">
            <v>7.09</v>
          </cell>
          <cell r="F7792">
            <v>98.93</v>
          </cell>
        </row>
        <row r="7793">
          <cell r="A7793" t="str">
            <v>401205</v>
          </cell>
          <cell r="B7793" t="str">
            <v>Refletor isolado com fixação em parede / laje</v>
          </cell>
          <cell r="C7793" t="str">
            <v>ud</v>
          </cell>
          <cell r="D7793">
            <v>56.9</v>
          </cell>
          <cell r="E7793">
            <v>0.15</v>
          </cell>
          <cell r="F7793">
            <v>57.05</v>
          </cell>
        </row>
        <row r="7794">
          <cell r="A7794" t="str">
            <v>401211</v>
          </cell>
          <cell r="B7794" t="str">
            <v>Sinalização aérea</v>
          </cell>
          <cell r="C7794" t="str">
            <v>ud</v>
          </cell>
          <cell r="D7794">
            <v>94.83</v>
          </cell>
          <cell r="E7794">
            <v>0.15</v>
          </cell>
          <cell r="F7794">
            <v>94.98</v>
          </cell>
        </row>
        <row r="7795">
          <cell r="A7795" t="str">
            <v>4013</v>
          </cell>
          <cell r="B7795" t="str">
            <v>INSTALAÇÃO DE ILUMINAÇÃO INTERNA / TOMADA</v>
          </cell>
        </row>
        <row r="7796">
          <cell r="A7796" t="str">
            <v>401301</v>
          </cell>
          <cell r="B7796" t="str">
            <v>Ponto elétrico</v>
          </cell>
          <cell r="C7796" t="str">
            <v>ud</v>
          </cell>
          <cell r="D7796">
            <v>28.45</v>
          </cell>
          <cell r="E7796">
            <v>0</v>
          </cell>
          <cell r="F7796">
            <v>28.45</v>
          </cell>
        </row>
        <row r="7797">
          <cell r="A7797" t="str">
            <v>401302</v>
          </cell>
          <cell r="B7797" t="str">
            <v>Ponto de rede de dados / voz</v>
          </cell>
          <cell r="C7797" t="str">
            <v>ud</v>
          </cell>
          <cell r="D7797">
            <v>37.93</v>
          </cell>
          <cell r="E7797">
            <v>0</v>
          </cell>
          <cell r="F7797">
            <v>37.93</v>
          </cell>
        </row>
        <row r="7798">
          <cell r="A7798" t="str">
            <v>4014</v>
          </cell>
          <cell r="B7798" t="str">
            <v>INSTALAÇÃO DE MEDIDOR / SENSOR</v>
          </cell>
        </row>
        <row r="7799">
          <cell r="A7799" t="str">
            <v>401401</v>
          </cell>
          <cell r="B7799" t="str">
            <v>Eletrodo em poço profundo</v>
          </cell>
          <cell r="C7799" t="str">
            <v>m</v>
          </cell>
          <cell r="D7799">
            <v>1.89</v>
          </cell>
          <cell r="E7799">
            <v>0</v>
          </cell>
          <cell r="F7799">
            <v>1.89</v>
          </cell>
        </row>
        <row r="7800">
          <cell r="A7800" t="str">
            <v>401402</v>
          </cell>
          <cell r="B7800" t="str">
            <v>Sonda em poço profundo</v>
          </cell>
          <cell r="C7800" t="str">
            <v>m</v>
          </cell>
          <cell r="D7800">
            <v>1.89</v>
          </cell>
          <cell r="E7800">
            <v>0</v>
          </cell>
          <cell r="F7800">
            <v>1.89</v>
          </cell>
        </row>
        <row r="7801">
          <cell r="A7801" t="str">
            <v>401403</v>
          </cell>
          <cell r="B7801" t="str">
            <v>Caixa sela em poço profundo</v>
          </cell>
          <cell r="C7801" t="str">
            <v>ud</v>
          </cell>
          <cell r="D7801">
            <v>54.42</v>
          </cell>
          <cell r="E7801">
            <v>11</v>
          </cell>
          <cell r="F7801">
            <v>65.42</v>
          </cell>
        </row>
        <row r="7802">
          <cell r="A7802" t="str">
            <v>401404</v>
          </cell>
          <cell r="B7802" t="str">
            <v>Sonda / conjunto de eletrodos (2 ou 3 unidades) / poço de sucção / elevatória tipo poço</v>
          </cell>
          <cell r="C7802" t="str">
            <v>ud</v>
          </cell>
          <cell r="D7802">
            <v>37.93</v>
          </cell>
          <cell r="E7802">
            <v>0.68</v>
          </cell>
          <cell r="F7802">
            <v>38.61</v>
          </cell>
        </row>
        <row r="7803">
          <cell r="A7803" t="str">
            <v>401405</v>
          </cell>
          <cell r="B7803" t="str">
            <v>Chave-boia (com / sem contrapeso) em reservatório / poço de sucção</v>
          </cell>
          <cell r="C7803" t="str">
            <v>ud</v>
          </cell>
          <cell r="D7803">
            <v>37.93</v>
          </cell>
          <cell r="E7803">
            <v>0</v>
          </cell>
          <cell r="F7803">
            <v>37.93</v>
          </cell>
        </row>
        <row r="7804">
          <cell r="A7804" t="str">
            <v>401406</v>
          </cell>
          <cell r="B7804" t="str">
            <v>Sensor de pressão em tubulação</v>
          </cell>
          <cell r="C7804" t="str">
            <v>ud</v>
          </cell>
          <cell r="D7804">
            <v>37.93</v>
          </cell>
          <cell r="E7804">
            <v>0.14000000000000001</v>
          </cell>
          <cell r="F7804">
            <v>38.07</v>
          </cell>
        </row>
        <row r="7805">
          <cell r="A7805" t="str">
            <v>401407</v>
          </cell>
          <cell r="B7805" t="str">
            <v>Sensor de nível ultrassônico</v>
          </cell>
          <cell r="C7805" t="str">
            <v>ud</v>
          </cell>
          <cell r="D7805">
            <v>37.93</v>
          </cell>
          <cell r="E7805">
            <v>0</v>
          </cell>
          <cell r="F7805">
            <v>37.93</v>
          </cell>
        </row>
        <row r="7806">
          <cell r="A7806" t="str">
            <v>401408</v>
          </cell>
          <cell r="B7806" t="str">
            <v>Conversor de medidor eletromagnético de vazão</v>
          </cell>
          <cell r="C7806" t="str">
            <v>ud</v>
          </cell>
          <cell r="D7806">
            <v>56.9</v>
          </cell>
          <cell r="E7806">
            <v>0</v>
          </cell>
          <cell r="F7806">
            <v>56.9</v>
          </cell>
        </row>
        <row r="7807">
          <cell r="A7807" t="str">
            <v>401409</v>
          </cell>
          <cell r="B7807" t="str">
            <v>Eletrodo tipo haste</v>
          </cell>
          <cell r="C7807" t="str">
            <v>ud</v>
          </cell>
          <cell r="D7807">
            <v>37.93</v>
          </cell>
          <cell r="E7807">
            <v>0</v>
          </cell>
          <cell r="F7807">
            <v>37.93</v>
          </cell>
        </row>
        <row r="7808">
          <cell r="A7808" t="str">
            <v>401410</v>
          </cell>
          <cell r="B7808" t="str">
            <v>Sensor de posição indutivo / capacitivo / infravermelho / fim-de-curso</v>
          </cell>
          <cell r="C7808" t="str">
            <v>ud</v>
          </cell>
          <cell r="D7808">
            <v>18.97</v>
          </cell>
          <cell r="E7808">
            <v>0</v>
          </cell>
          <cell r="F7808">
            <v>18.97</v>
          </cell>
        </row>
        <row r="7809">
          <cell r="A7809" t="str">
            <v>4015</v>
          </cell>
          <cell r="B7809" t="str">
            <v>INSTALAÇÃO DE SISTEMA DE COMUNICAÇÃO VIA RÁDIO</v>
          </cell>
        </row>
        <row r="7810">
          <cell r="A7810" t="str">
            <v>401501</v>
          </cell>
          <cell r="B7810" t="str">
            <v>Antena</v>
          </cell>
          <cell r="C7810" t="str">
            <v>ud</v>
          </cell>
          <cell r="D7810">
            <v>75.86</v>
          </cell>
          <cell r="E7810">
            <v>0</v>
          </cell>
          <cell r="F7810">
            <v>75.86</v>
          </cell>
        </row>
        <row r="7811">
          <cell r="A7811" t="str">
            <v>4016</v>
          </cell>
          <cell r="B7811" t="str">
            <v>INSTALAÇÃO DE LINHA DE COMUNICAÇÃO</v>
          </cell>
        </row>
        <row r="7812">
          <cell r="A7812" t="str">
            <v>401601</v>
          </cell>
          <cell r="B7812" t="str">
            <v>Em poste existente</v>
          </cell>
          <cell r="C7812" t="str">
            <v>ud</v>
          </cell>
          <cell r="D7812">
            <v>108.97</v>
          </cell>
          <cell r="E7812">
            <v>27.21</v>
          </cell>
          <cell r="F7812">
            <v>136.18</v>
          </cell>
        </row>
        <row r="7813">
          <cell r="A7813" t="str">
            <v>4017</v>
          </cell>
          <cell r="B7813" t="str">
            <v>DESATIVAÇÕES E ALTERAÇÕES</v>
          </cell>
        </row>
        <row r="7814">
          <cell r="A7814" t="str">
            <v>401701</v>
          </cell>
          <cell r="B7814" t="str">
            <v>Desativação e retirada de cabos existentes</v>
          </cell>
          <cell r="C7814" t="str">
            <v>m</v>
          </cell>
          <cell r="D7814">
            <v>1.1000000000000001</v>
          </cell>
          <cell r="E7814">
            <v>0</v>
          </cell>
          <cell r="F7814">
            <v>1.1000000000000001</v>
          </cell>
        </row>
        <row r="7815">
          <cell r="A7815" t="str">
            <v>401702</v>
          </cell>
          <cell r="B7815" t="str">
            <v>Desativação e retirada de quadro elétrico por módulo</v>
          </cell>
          <cell r="C7815" t="str">
            <v>ud</v>
          </cell>
          <cell r="D7815">
            <v>50.83</v>
          </cell>
          <cell r="E7815">
            <v>0</v>
          </cell>
          <cell r="F7815">
            <v>50.83</v>
          </cell>
        </row>
        <row r="7816">
          <cell r="A7816" t="str">
            <v>401703</v>
          </cell>
          <cell r="B7816" t="str">
            <v>Desativação e retirada de transformador de potência</v>
          </cell>
          <cell r="C7816" t="str">
            <v>ud</v>
          </cell>
          <cell r="D7816">
            <v>82.69</v>
          </cell>
          <cell r="E7816">
            <v>0</v>
          </cell>
          <cell r="F7816">
            <v>82.69</v>
          </cell>
        </row>
        <row r="7817">
          <cell r="A7817" t="str">
            <v>401704</v>
          </cell>
          <cell r="B7817" t="str">
            <v>Alterações em quadros de comando em campo</v>
          </cell>
          <cell r="C7817" t="str">
            <v>ud</v>
          </cell>
          <cell r="D7817">
            <v>18.97</v>
          </cell>
          <cell r="E7817">
            <v>0</v>
          </cell>
          <cell r="F7817">
            <v>18.97</v>
          </cell>
        </row>
        <row r="7818">
          <cell r="A7818" t="str">
            <v>4018</v>
          </cell>
          <cell r="B7818" t="str">
            <v>SERVIÇOS DIVERSOS</v>
          </cell>
        </row>
        <row r="7819">
          <cell r="A7819" t="str">
            <v>401801</v>
          </cell>
          <cell r="B7819" t="str">
            <v>Locação de munck capacidade &lt;= 5 t</v>
          </cell>
          <cell r="C7819" t="str">
            <v>dia</v>
          </cell>
          <cell r="D7819">
            <v>0</v>
          </cell>
          <cell r="E7819">
            <v>0</v>
          </cell>
          <cell r="F7819">
            <v>0</v>
          </cell>
        </row>
        <row r="7820">
          <cell r="A7820" t="str">
            <v>401802</v>
          </cell>
          <cell r="B7820" t="str">
            <v>Locação de munck  5 t &lt; capacidade &lt;= 10 t</v>
          </cell>
          <cell r="C7820" t="str">
            <v>dia</v>
          </cell>
          <cell r="D7820">
            <v>0</v>
          </cell>
          <cell r="E7820">
            <v>0</v>
          </cell>
          <cell r="F7820">
            <v>0</v>
          </cell>
        </row>
        <row r="7821">
          <cell r="A7821" t="str">
            <v>401805</v>
          </cell>
          <cell r="B7821" t="str">
            <v>Locação de grupo gerador de energia 30 kVA</v>
          </cell>
          <cell r="C7821" t="str">
            <v>dia</v>
          </cell>
          <cell r="D7821">
            <v>0</v>
          </cell>
          <cell r="E7821">
            <v>0</v>
          </cell>
          <cell r="F7821">
            <v>0</v>
          </cell>
          <cell r="G7821">
            <v>0</v>
          </cell>
        </row>
        <row r="7822">
          <cell r="A7822" t="str">
            <v>401806</v>
          </cell>
          <cell r="B7822" t="str">
            <v>Locação de grupo gerador de energia 75 kVA</v>
          </cell>
          <cell r="C7822" t="str">
            <v>dia</v>
          </cell>
          <cell r="D7822">
            <v>0</v>
          </cell>
          <cell r="E7822">
            <v>0</v>
          </cell>
          <cell r="F7822">
            <v>0</v>
          </cell>
          <cell r="G7822">
            <v>0</v>
          </cell>
        </row>
        <row r="7823">
          <cell r="A7823" t="str">
            <v>401807</v>
          </cell>
          <cell r="B7823" t="str">
            <v>Locação de grupo gerador de energia 150 kVA</v>
          </cell>
          <cell r="C7823" t="str">
            <v>dia</v>
          </cell>
          <cell r="D7823">
            <v>0</v>
          </cell>
          <cell r="E7823">
            <v>0</v>
          </cell>
          <cell r="F7823">
            <v>0</v>
          </cell>
          <cell r="G7823">
            <v>0</v>
          </cell>
        </row>
        <row r="7824">
          <cell r="A7824" t="str">
            <v>401808</v>
          </cell>
          <cell r="B7824" t="str">
            <v>Locação de grupo gerador de energia 300 kVA</v>
          </cell>
          <cell r="C7824" t="str">
            <v>dia</v>
          </cell>
          <cell r="D7824">
            <v>0</v>
          </cell>
          <cell r="F7824">
            <v>0</v>
          </cell>
        </row>
        <row r="7825">
          <cell r="A7825" t="str">
            <v>401810</v>
          </cell>
          <cell r="B7825" t="str">
            <v>Databook de obra ou serviço elétrico sem automação industrial</v>
          </cell>
          <cell r="C7825" t="str">
            <v>ud</v>
          </cell>
          <cell r="D7825">
            <v>1174.72</v>
          </cell>
          <cell r="E7825">
            <v>0</v>
          </cell>
          <cell r="F7825">
            <v>1174.72</v>
          </cell>
        </row>
        <row r="7826">
          <cell r="A7826" t="str">
            <v>401811</v>
          </cell>
          <cell r="B7826" t="str">
            <v>Databook de obra ou serviço elétrico com automação industrial</v>
          </cell>
          <cell r="C7826" t="str">
            <v>ud</v>
          </cell>
          <cell r="D7826">
            <v>1468.4</v>
          </cell>
          <cell r="E7826">
            <v>0</v>
          </cell>
          <cell r="F7826">
            <v>1468.4</v>
          </cell>
        </row>
        <row r="7827">
          <cell r="A7827" t="str">
            <v>401815</v>
          </cell>
          <cell r="B7827" t="str">
            <v>Instalação de poste</v>
          </cell>
          <cell r="C7827" t="str">
            <v>ud</v>
          </cell>
          <cell r="D7827">
            <v>277.24</v>
          </cell>
          <cell r="E7827">
            <v>0</v>
          </cell>
          <cell r="F7827">
            <v>277.24</v>
          </cell>
        </row>
        <row r="7828">
          <cell r="A7828" t="str">
            <v>401816</v>
          </cell>
          <cell r="B7828" t="str">
            <v>Instalação de painel solar</v>
          </cell>
          <cell r="C7828" t="str">
            <v>ud</v>
          </cell>
          <cell r="D7828">
            <v>151.72</v>
          </cell>
          <cell r="E7828">
            <v>0.75</v>
          </cell>
          <cell r="F7828">
            <v>152.47</v>
          </cell>
        </row>
        <row r="7829">
          <cell r="A7829" t="str">
            <v>401817</v>
          </cell>
          <cell r="B7829" t="str">
            <v>Instalação de queimador de gás em Ralf - alimentado por energia solar</v>
          </cell>
          <cell r="C7829" t="str">
            <v>ud</v>
          </cell>
          <cell r="D7829">
            <v>151.72</v>
          </cell>
          <cell r="E7829">
            <v>0</v>
          </cell>
          <cell r="F7829">
            <v>151.72</v>
          </cell>
        </row>
        <row r="7830">
          <cell r="A7830" t="str">
            <v>401820</v>
          </cell>
          <cell r="B7830" t="str">
            <v>Parametrização de equipamento elétrico / softstart / conversor de frequência / sensor de pressão / medidor de vazão</v>
          </cell>
          <cell r="C7830" t="str">
            <v>ud</v>
          </cell>
          <cell r="D7830">
            <v>55.07</v>
          </cell>
          <cell r="E7830">
            <v>0</v>
          </cell>
          <cell r="F7830">
            <v>55.07</v>
          </cell>
        </row>
        <row r="7831">
          <cell r="A7831" t="str">
            <v>401830</v>
          </cell>
          <cell r="B7831" t="str">
            <v>Comissionamento e start-up de obra - somente elétrica</v>
          </cell>
          <cell r="C7831" t="str">
            <v>ud</v>
          </cell>
          <cell r="D7831">
            <v>606.88</v>
          </cell>
          <cell r="E7831">
            <v>0</v>
          </cell>
          <cell r="F7831">
            <v>606.88</v>
          </cell>
        </row>
        <row r="7832">
          <cell r="A7832" t="str">
            <v>401880</v>
          </cell>
          <cell r="B7832" t="str">
            <v>Transporte interurbano de carga com veículo - capacidade até 1,00 tonelada</v>
          </cell>
          <cell r="C7832" t="str">
            <v>km</v>
          </cell>
          <cell r="D7832">
            <v>1.17</v>
          </cell>
          <cell r="E7832">
            <v>0</v>
          </cell>
          <cell r="F7832">
            <v>1.17</v>
          </cell>
        </row>
        <row r="7833">
          <cell r="A7833" t="str">
            <v>401881</v>
          </cell>
          <cell r="B7833" t="str">
            <v>Transporte interurbano de carga com veículo - capacidade 1,01 a 4,00 toneladas</v>
          </cell>
          <cell r="C7833" t="str">
            <v>km</v>
          </cell>
          <cell r="D7833">
            <v>1.65</v>
          </cell>
          <cell r="E7833">
            <v>0</v>
          </cell>
          <cell r="F7833">
            <v>1.65</v>
          </cell>
        </row>
        <row r="7834">
          <cell r="A7834" t="str">
            <v>401882</v>
          </cell>
          <cell r="B7834" t="str">
            <v>Transporte interurbano de carga com veículo - capacidade 4,01 a 15,00 toneladas</v>
          </cell>
          <cell r="C7834" t="str">
            <v>km</v>
          </cell>
          <cell r="D7834">
            <v>3.09</v>
          </cell>
          <cell r="E7834">
            <v>0</v>
          </cell>
          <cell r="F7834">
            <v>3.09</v>
          </cell>
        </row>
        <row r="7835">
          <cell r="A7835" t="str">
            <v>401883</v>
          </cell>
          <cell r="B7835" t="str">
            <v>Transporte interurbano de carga com veículo - capacidade 15,01 a 30,00 toneladas</v>
          </cell>
          <cell r="C7835" t="str">
            <v>km</v>
          </cell>
          <cell r="D7835">
            <v>3.37</v>
          </cell>
          <cell r="E7835">
            <v>0</v>
          </cell>
          <cell r="F7835">
            <v>3.37</v>
          </cell>
        </row>
        <row r="7836">
          <cell r="A7836" t="str">
            <v>401890</v>
          </cell>
          <cell r="B7836" t="str">
            <v>Eletricista Industrial</v>
          </cell>
          <cell r="C7836" t="str">
            <v>h</v>
          </cell>
          <cell r="D7836">
            <v>21.44</v>
          </cell>
          <cell r="E7836">
            <v>0</v>
          </cell>
          <cell r="F7836">
            <v>21.44</v>
          </cell>
          <cell r="G7836">
            <v>88265</v>
          </cell>
        </row>
        <row r="7837">
          <cell r="A7837" t="str">
            <v>401891</v>
          </cell>
          <cell r="B7837" t="str">
            <v>Ajudante de eletricista</v>
          </cell>
          <cell r="C7837" t="str">
            <v>h</v>
          </cell>
          <cell r="D7837">
            <v>16.489999999999998</v>
          </cell>
          <cell r="E7837">
            <v>0</v>
          </cell>
          <cell r="F7837">
            <v>16.489999999999998</v>
          </cell>
          <cell r="G7837">
            <v>88247</v>
          </cell>
        </row>
        <row r="7838">
          <cell r="A7838" t="str">
            <v>401892</v>
          </cell>
          <cell r="B7838" t="str">
            <v>Servente de serviços gerais</v>
          </cell>
          <cell r="C7838" t="str">
            <v>h</v>
          </cell>
          <cell r="D7838">
            <v>16.45</v>
          </cell>
          <cell r="E7838">
            <v>0</v>
          </cell>
          <cell r="F7838">
            <v>16.45</v>
          </cell>
          <cell r="G7838">
            <v>88316</v>
          </cell>
        </row>
        <row r="7839">
          <cell r="A7839" t="str">
            <v>4020</v>
          </cell>
          <cell r="B7839" t="str">
            <v>EXECUÇÃO DE ABRIGOS</v>
          </cell>
        </row>
        <row r="7840">
          <cell r="A7840" t="str">
            <v>402001</v>
          </cell>
          <cell r="B7840" t="str">
            <v>Abrigo em alvenaria tipo 1, c/elem. vazado, tela PVC, calçada e laje pré-fabricada, imperm. c/manta asfaltica, inclinação 5%, pintura látex acrilica, porta em chapa de aço cinza munsell, 2100x800mm, fechadura tetrachave, dimens. (LxPxA) 1700x2300x2600mm</v>
          </cell>
          <cell r="C7840" t="str">
            <v>ud</v>
          </cell>
          <cell r="D7840">
            <v>6506.96</v>
          </cell>
          <cell r="E7840">
            <v>3844.49</v>
          </cell>
          <cell r="F7840">
            <v>10351.450000000001</v>
          </cell>
        </row>
        <row r="7841">
          <cell r="A7841" t="str">
            <v>402002</v>
          </cell>
          <cell r="B7841" t="str">
            <v>Abrigo em alvenaria tipo 2, c/elem. vazado, tela PVC, calçada e laje pré-fabricada, imperm. c/manta asfaltica, inclinação 5%, pintura látex acrilica, porta em chapa de aço cinza munsell 2100x800mm, fechadura tetrachave, dimens. (LxPxA) 2400x2300x2600mm</v>
          </cell>
          <cell r="C7841" t="str">
            <v>ud</v>
          </cell>
          <cell r="D7841">
            <v>7563.21</v>
          </cell>
          <cell r="E7841">
            <v>4298.82</v>
          </cell>
          <cell r="F7841">
            <v>11862.03</v>
          </cell>
        </row>
        <row r="7842">
          <cell r="A7842" t="str">
            <v>402003</v>
          </cell>
          <cell r="B7842" t="str">
            <v>Abrigo em alvenaria tipo 3, c/elem. vazado, tela PVC, calçada e laje pré-fabricada, imperm. c/manta asfaltica, inclinação 5%, pintura látex acrilica, porta em chapa de aço cinza munsell 2100x800mm, fechadura tetrachave, dimens. (LxPxA) 3600x2300x2600mm</v>
          </cell>
          <cell r="C7842" t="str">
            <v>ud</v>
          </cell>
          <cell r="D7842">
            <v>9929.75</v>
          </cell>
          <cell r="E7842">
            <v>5268.07</v>
          </cell>
          <cell r="F7842">
            <v>15197.82</v>
          </cell>
        </row>
        <row r="7843">
          <cell r="A7843" t="str">
            <v>402004</v>
          </cell>
          <cell r="B7843" t="str">
            <v>Abrigo em alvenaria tipo 4, c/elem. vazado, tela PVC, calçada e laje pré-fabricada, imperm. c/manta asfaltica, inclinação 5%, pintura látex acrilica, porta em chapa de aço cinza munsell 2100x800mm, fechadura tetrachave, dimens. (LxPxA) 4300x2300x2600mm</v>
          </cell>
          <cell r="C7843" t="str">
            <v>ud</v>
          </cell>
          <cell r="D7843">
            <v>10976.6</v>
          </cell>
          <cell r="E7843">
            <v>5721.88</v>
          </cell>
          <cell r="F7843">
            <v>16698.48</v>
          </cell>
        </row>
        <row r="7844">
          <cell r="A7844" t="str">
            <v>402005</v>
          </cell>
          <cell r="B7844" t="str">
            <v>Abrigo em alvenaria tipo 5, c/elem. vazado, tela PVC, calçada e laje pré-fabricada, imperm. c/manta asfaltica, inclinação 5%, pintura látex acrilica, porta em chapa de aço cinza munsell 2100x800mm, fechadura tetrachave, dimens. (LxPxA) 5100x2300x2600mm</v>
          </cell>
          <cell r="C7844" t="str">
            <v>ud</v>
          </cell>
          <cell r="D7844">
            <v>12171.11</v>
          </cell>
          <cell r="E7844">
            <v>6234.96</v>
          </cell>
          <cell r="F7844">
            <v>18406.07</v>
          </cell>
        </row>
        <row r="7845">
          <cell r="A7845" t="str">
            <v>402006</v>
          </cell>
          <cell r="B7845" t="str">
            <v>Abrigo em alvenaria tipo 6, c/elem. vazado, tela PVC, calçada e laje pré-fabricada, imperm. c/manta asfaltica, inclinação 5%, pintura látex acrilica, porta em chapa de aço cinza munsell 2100x800mm, fechadura tetrachave, dimens. (LxPxA) 5800x2300x2600mm</v>
          </cell>
          <cell r="C7845" t="str">
            <v>ud</v>
          </cell>
          <cell r="D7845">
            <v>13226.63</v>
          </cell>
          <cell r="E7845">
            <v>6687.55</v>
          </cell>
          <cell r="F7845">
            <v>19914.18</v>
          </cell>
        </row>
        <row r="7846">
          <cell r="A7846" t="str">
            <v>4021</v>
          </cell>
          <cell r="B7846" t="str">
            <v>EXECUÇÃO DE CAIXAS DE PASSAGEM</v>
          </cell>
        </row>
        <row r="7847">
          <cell r="A7847" t="str">
            <v>402101</v>
          </cell>
          <cell r="B7847" t="str">
            <v>Caixa de passagem tipo C-01, dimensões 400 x 400 x 400mm</v>
          </cell>
          <cell r="C7847" t="str">
            <v>ud</v>
          </cell>
          <cell r="D7847">
            <v>71.040000000000006</v>
          </cell>
          <cell r="E7847">
            <v>27.21</v>
          </cell>
          <cell r="F7847">
            <v>98.25</v>
          </cell>
        </row>
        <row r="7848">
          <cell r="A7848" t="str">
            <v>402102</v>
          </cell>
          <cell r="B7848" t="str">
            <v>Caixa de passagem tipo C-01, dimensões 500 x 500 x 500mm</v>
          </cell>
          <cell r="C7848" t="str">
            <v>ud</v>
          </cell>
          <cell r="D7848">
            <v>98.36</v>
          </cell>
          <cell r="E7848">
            <v>37.06</v>
          </cell>
          <cell r="F7848">
            <v>135.41999999999999</v>
          </cell>
        </row>
        <row r="7849">
          <cell r="A7849" t="str">
            <v>402103</v>
          </cell>
          <cell r="B7849" t="str">
            <v>Caixa de passagem tipo C-01, dimensões 600 x 600 x 600mm</v>
          </cell>
          <cell r="C7849" t="str">
            <v>ud</v>
          </cell>
          <cell r="D7849">
            <v>130.11000000000001</v>
          </cell>
          <cell r="E7849">
            <v>48.42</v>
          </cell>
          <cell r="F7849">
            <v>178.53</v>
          </cell>
        </row>
        <row r="7850">
          <cell r="A7850" t="str">
            <v>402104</v>
          </cell>
          <cell r="B7850" t="str">
            <v>Caixa de passagem tipo C-01, dimensões 800 x 800 x 800mm</v>
          </cell>
          <cell r="C7850" t="str">
            <v>ud</v>
          </cell>
          <cell r="D7850">
            <v>207.33</v>
          </cell>
          <cell r="E7850">
            <v>75.75</v>
          </cell>
          <cell r="F7850">
            <v>283.08</v>
          </cell>
        </row>
        <row r="7851">
          <cell r="A7851" t="str">
            <v>402105</v>
          </cell>
          <cell r="B7851" t="str">
            <v>Caixa de passagem tipo C-01, dimensões 1000 x 1000 x 1000mm</v>
          </cell>
          <cell r="C7851" t="str">
            <v>ud</v>
          </cell>
          <cell r="D7851">
            <v>301.93</v>
          </cell>
          <cell r="E7851">
            <v>108.97</v>
          </cell>
          <cell r="F7851">
            <v>410.9</v>
          </cell>
        </row>
        <row r="7852">
          <cell r="A7852" t="str">
            <v>402106</v>
          </cell>
          <cell r="B7852" t="str">
            <v>Caixa de passagem tipo C-01, dimensões 1200 x 1000 x 1000mm</v>
          </cell>
          <cell r="C7852" t="str">
            <v>ud</v>
          </cell>
          <cell r="D7852">
            <v>336.31</v>
          </cell>
          <cell r="E7852">
            <v>122.54</v>
          </cell>
          <cell r="F7852">
            <v>458.85</v>
          </cell>
        </row>
        <row r="7853">
          <cell r="A7853" t="str">
            <v>4022</v>
          </cell>
          <cell r="B7853" t="str">
            <v>EXECUÇÃO DE BASES / BLOCOS / MURETAS / CALÇADAS</v>
          </cell>
        </row>
        <row r="7854">
          <cell r="A7854" t="str">
            <v>402201</v>
          </cell>
          <cell r="B7854" t="str">
            <v>Base vazada em concreto armado para apoio do Quadro de comando, conforme especificação básica</v>
          </cell>
          <cell r="C7854" t="str">
            <v>m3</v>
          </cell>
          <cell r="D7854">
            <v>1124.5</v>
          </cell>
          <cell r="E7854">
            <v>438.38</v>
          </cell>
          <cell r="F7854">
            <v>1562.88</v>
          </cell>
        </row>
        <row r="7855">
          <cell r="A7855" t="str">
            <v>402220</v>
          </cell>
          <cell r="B7855" t="str">
            <v>Bloco de concreto armado para fixação dos eletrodutos</v>
          </cell>
          <cell r="C7855" t="str">
            <v>m3</v>
          </cell>
          <cell r="D7855">
            <v>1549.01</v>
          </cell>
          <cell r="E7855">
            <v>799.52</v>
          </cell>
          <cell r="F7855">
            <v>2348.5300000000002</v>
          </cell>
        </row>
        <row r="7856">
          <cell r="A7856" t="str">
            <v>402230</v>
          </cell>
          <cell r="B7856" t="str">
            <v>Mureta em alvenaria de tijolos, com fundação e pingadeira em concreto armado, dimensões de 2800 x 2350 x 400 mm, cfe. desenho</v>
          </cell>
          <cell r="C7856" t="str">
            <v>ud</v>
          </cell>
          <cell r="D7856">
            <v>1671.86</v>
          </cell>
          <cell r="E7856">
            <v>470.82</v>
          </cell>
          <cell r="F7856">
            <v>2142.6799999999998</v>
          </cell>
        </row>
        <row r="7857">
          <cell r="A7857" t="str">
            <v>402231</v>
          </cell>
          <cell r="B7857" t="str">
            <v>Mureta em alvenaria de tijolos, com fundação e pingadeira em concreto armado, dimensões de 1900 x 2300 x 400 mm, cfe. desenho</v>
          </cell>
          <cell r="C7857" t="str">
            <v>ud</v>
          </cell>
          <cell r="D7857">
            <v>1146.22</v>
          </cell>
          <cell r="E7857">
            <v>317.75</v>
          </cell>
          <cell r="F7857">
            <v>1463.97</v>
          </cell>
        </row>
        <row r="7858">
          <cell r="A7858" t="str">
            <v>402232</v>
          </cell>
          <cell r="B7858" t="str">
            <v>Mureta em alvenaria de tijolos, com fundação e pingadeira em concreto armado, dimensões de 1380 x 1700 x 400 mm, cfe. desenho</v>
          </cell>
          <cell r="C7858" t="str">
            <v>ud</v>
          </cell>
          <cell r="D7858">
            <v>650.63</v>
          </cell>
          <cell r="E7858">
            <v>180.07</v>
          </cell>
          <cell r="F7858">
            <v>830.7</v>
          </cell>
        </row>
        <row r="7859">
          <cell r="A7859" t="str">
            <v>402233</v>
          </cell>
          <cell r="B7859" t="str">
            <v>Mureta em alvenaria de tijolos, com fundação e pingadeira em concreto armado, dimensões de 1100 x 1700 x 400 mm, cfe. desenho</v>
          </cell>
          <cell r="C7859" t="str">
            <v>ud</v>
          </cell>
          <cell r="D7859">
            <v>535.70000000000005</v>
          </cell>
          <cell r="E7859">
            <v>146.30000000000001</v>
          </cell>
          <cell r="F7859">
            <v>682</v>
          </cell>
        </row>
        <row r="7860">
          <cell r="A7860" t="str">
            <v>402234</v>
          </cell>
          <cell r="B7860" t="str">
            <v>Mureta em alvenaria de tijolos, com fundação e pingadeira em concreto armado, dimensões de 750 x 1700 x 400 mm, cfe. desenho</v>
          </cell>
          <cell r="C7860" t="str">
            <v>ud</v>
          </cell>
          <cell r="D7860">
            <v>392.4</v>
          </cell>
          <cell r="E7860">
            <v>104.92</v>
          </cell>
          <cell r="F7860">
            <v>497.32</v>
          </cell>
        </row>
        <row r="7861">
          <cell r="A7861" t="str">
            <v>402240</v>
          </cell>
          <cell r="B7861" t="str">
            <v>Calçada em concreto não estrutural, espessura 50mm</v>
          </cell>
          <cell r="C7861" t="str">
            <v>m2</v>
          </cell>
          <cell r="D7861">
            <v>16.329999999999998</v>
          </cell>
          <cell r="E7861">
            <v>8.4499999999999993</v>
          </cell>
          <cell r="F7861">
            <v>24.78</v>
          </cell>
        </row>
        <row r="7862">
          <cell r="A7862" t="str">
            <v>402241</v>
          </cell>
          <cell r="B7862" t="str">
            <v>Calçada em concreto não estrutural, espessura 80mm</v>
          </cell>
          <cell r="C7862" t="str">
            <v>m2</v>
          </cell>
          <cell r="D7862">
            <v>26.13</v>
          </cell>
          <cell r="E7862">
            <v>13.51</v>
          </cell>
          <cell r="F7862">
            <v>39.64</v>
          </cell>
        </row>
        <row r="7863">
          <cell r="A7863" t="str">
            <v>42</v>
          </cell>
          <cell r="B7863" t="str">
            <v>OBRAS ELÉTRICAS - FORNECIMENTO DE INSUMOS</v>
          </cell>
        </row>
        <row r="7864">
          <cell r="A7864" t="str">
            <v>4201</v>
          </cell>
          <cell r="B7864" t="str">
            <v>ABRAÇADEIRA EM AÇO, NYLON</v>
          </cell>
        </row>
        <row r="7865">
          <cell r="A7865" t="str">
            <v>420101</v>
          </cell>
          <cell r="B7865" t="str">
            <v xml:space="preserve">Abraçadeira em aço galvanizado à fogo, para 03 estais, diâm. 1.1/2", tipo PRT-607, fab. PARATEC ou similar </v>
          </cell>
          <cell r="C7865" t="str">
            <v>ud</v>
          </cell>
          <cell r="D7865">
            <v>0</v>
          </cell>
          <cell r="E7865">
            <v>8.4</v>
          </cell>
          <cell r="F7865">
            <v>8.4</v>
          </cell>
        </row>
        <row r="7866">
          <cell r="A7866" t="str">
            <v>420102</v>
          </cell>
          <cell r="B7866" t="str">
            <v xml:space="preserve">Abraçadeira em aço galvanizado à fogo, para 03 estais, diâm. 2", tipo PRT-609, fab. PARATEC ou similar </v>
          </cell>
          <cell r="C7866" t="str">
            <v>ud</v>
          </cell>
          <cell r="D7866">
            <v>0</v>
          </cell>
          <cell r="E7866">
            <v>8.8000000000000007</v>
          </cell>
          <cell r="F7866">
            <v>8.8000000000000007</v>
          </cell>
        </row>
        <row r="7867">
          <cell r="A7867" t="str">
            <v>420103</v>
          </cell>
          <cell r="B7867" t="str">
            <v xml:space="preserve">Abraçadeira em aço galvanizado à fogo, para 04 estais, diâm. 1.1/2", tipo PRT-610, fab. PARATEC ou similar </v>
          </cell>
          <cell r="C7867" t="str">
            <v>ud</v>
          </cell>
          <cell r="D7867">
            <v>0</v>
          </cell>
          <cell r="E7867">
            <v>14.3</v>
          </cell>
          <cell r="F7867">
            <v>14.3</v>
          </cell>
        </row>
        <row r="7868">
          <cell r="A7868" t="str">
            <v>420104</v>
          </cell>
          <cell r="B7868" t="str">
            <v xml:space="preserve">Abraçadeira em aço galvanizado à fogo, para 04 estais, diâm. 2", tipo PRT-611, fab. PARATEC ou similar </v>
          </cell>
          <cell r="C7868" t="str">
            <v>ud</v>
          </cell>
          <cell r="D7868">
            <v>0</v>
          </cell>
          <cell r="E7868">
            <v>14</v>
          </cell>
          <cell r="F7868">
            <v>14</v>
          </cell>
        </row>
        <row r="7869">
          <cell r="A7869" t="str">
            <v>420107</v>
          </cell>
          <cell r="B7869" t="str">
            <v>Abraçadeira em aço galvanizado tipo "U", fab. METALÚRGICA SUPRENS ou similar, bitola 1.1/4"</v>
          </cell>
          <cell r="C7869" t="str">
            <v>ud</v>
          </cell>
          <cell r="D7869">
            <v>0</v>
          </cell>
          <cell r="E7869">
            <v>8.24</v>
          </cell>
          <cell r="F7869">
            <v>8.24</v>
          </cell>
        </row>
        <row r="7870">
          <cell r="A7870" t="str">
            <v>420108</v>
          </cell>
          <cell r="B7870" t="str">
            <v>Abraçadeira em aço galvanizado tipo "U", fab. METALÚRGICA SUPRENS ou similar, bitola 1.1/2"</v>
          </cell>
          <cell r="C7870" t="str">
            <v>ud</v>
          </cell>
          <cell r="D7870">
            <v>0</v>
          </cell>
          <cell r="E7870">
            <v>8.56</v>
          </cell>
          <cell r="F7870">
            <v>8.56</v>
          </cell>
        </row>
        <row r="7871">
          <cell r="A7871" t="str">
            <v>420109</v>
          </cell>
          <cell r="B7871" t="str">
            <v>Abraçadeira em aço galvanizado tipo "U", fab. METALÚRGICA SUPRENS ou similar, bitola 2"</v>
          </cell>
          <cell r="C7871" t="str">
            <v>ud</v>
          </cell>
          <cell r="D7871">
            <v>0</v>
          </cell>
          <cell r="E7871">
            <v>9.81</v>
          </cell>
          <cell r="F7871">
            <v>9.81</v>
          </cell>
        </row>
        <row r="7872">
          <cell r="A7872" t="str">
            <v>420110</v>
          </cell>
          <cell r="B7872" t="str">
            <v>Abraçadeira em aço galvanizado tipo "U", fab. METALÚRGICA SUPRENS ou similar, bitola 2.1/2"</v>
          </cell>
          <cell r="C7872" t="str">
            <v>ud</v>
          </cell>
          <cell r="D7872">
            <v>0</v>
          </cell>
          <cell r="E7872">
            <v>11.18</v>
          </cell>
          <cell r="F7872">
            <v>11.18</v>
          </cell>
        </row>
        <row r="7873">
          <cell r="A7873" t="str">
            <v>420111</v>
          </cell>
          <cell r="B7873" t="str">
            <v>Abraçadeira em aço galvanizado tipo "U", fab. METALÚRGICA SUPRENS ou similar, bitola 3"</v>
          </cell>
          <cell r="C7873" t="str">
            <v>ud</v>
          </cell>
          <cell r="D7873">
            <v>0</v>
          </cell>
          <cell r="E7873">
            <v>13.25</v>
          </cell>
          <cell r="F7873">
            <v>13.25</v>
          </cell>
        </row>
        <row r="7874">
          <cell r="A7874" t="str">
            <v>420113</v>
          </cell>
          <cell r="B7874" t="str">
            <v xml:space="preserve">Abraçadeira para tubo pvc, em aço galvanizado à fogo, rosca mecânica 1.1/2", tipo PRT-834, fab. PARATEC ou similar </v>
          </cell>
          <cell r="C7874" t="str">
            <v>ud</v>
          </cell>
          <cell r="D7874">
            <v>0</v>
          </cell>
          <cell r="E7874">
            <v>7.2</v>
          </cell>
          <cell r="F7874">
            <v>7.2</v>
          </cell>
        </row>
        <row r="7875">
          <cell r="A7875" t="str">
            <v>420114</v>
          </cell>
          <cell r="B7875" t="str">
            <v xml:space="preserve">Abraçadeira para tubo pvc, em aço galvanizado à fogo, rosca mecânica 2", tipo PRT-839, fab. PARATEC ou similar </v>
          </cell>
          <cell r="C7875" t="str">
            <v>ud</v>
          </cell>
          <cell r="D7875">
            <v>0</v>
          </cell>
          <cell r="E7875">
            <v>7.4</v>
          </cell>
          <cell r="F7875">
            <v>7.4</v>
          </cell>
        </row>
        <row r="7876">
          <cell r="A7876" t="str">
            <v>420115</v>
          </cell>
          <cell r="B7876" t="str">
            <v>Abraçadeira plástica, em nylon 6/6, temp. -40 à +85 graus, fab. HELLERMANN ou similar, tipo T-18R, largura 2,5mm, comprimento 100mm (259950)</v>
          </cell>
          <cell r="C7876" t="str">
            <v>ud</v>
          </cell>
          <cell r="D7876">
            <v>0</v>
          </cell>
          <cell r="E7876">
            <v>0.04</v>
          </cell>
          <cell r="F7876">
            <v>0.04</v>
          </cell>
          <cell r="G7876">
            <v>414</v>
          </cell>
        </row>
        <row r="7877">
          <cell r="A7877" t="str">
            <v>420116</v>
          </cell>
          <cell r="B7877" t="str">
            <v>Abraçadeira plástica, em nylon 6/6, temp. -40 à +85 graus, fab. HELLERMANN ou similar, tipo  T-30R, largura 3,6mm, comprimento 150mm (47872)</v>
          </cell>
          <cell r="C7877" t="str">
            <v>ud</v>
          </cell>
          <cell r="D7877">
            <v>0</v>
          </cell>
          <cell r="E7877">
            <v>0.1</v>
          </cell>
          <cell r="F7877">
            <v>0.1</v>
          </cell>
          <cell r="G7877">
            <v>410</v>
          </cell>
        </row>
        <row r="7878">
          <cell r="A7878" t="str">
            <v>420117</v>
          </cell>
          <cell r="B7878" t="str">
            <v>Abraçadeira plástica, em nylon 6/6, temp. -40 à +85 graus, fab. HELLERMANN ou similar, tipo  T-50R, largura 4,6mm, comprimento 200mm (241067)</v>
          </cell>
          <cell r="C7878" t="str">
            <v>ud</v>
          </cell>
          <cell r="D7878">
            <v>0</v>
          </cell>
          <cell r="E7878">
            <v>0.13</v>
          </cell>
          <cell r="F7878">
            <v>0.13</v>
          </cell>
          <cell r="G7878">
            <v>411</v>
          </cell>
        </row>
        <row r="7879">
          <cell r="A7879" t="str">
            <v>420118</v>
          </cell>
          <cell r="B7879" t="str">
            <v>Abraçadeira plástica, em nylon 6/6, temp. -40 à +85 graus, fab. HELLERMANN ou similar, tipo  T120R, largura 7,6mm, comprimento 390mm (178535)</v>
          </cell>
          <cell r="C7879" t="str">
            <v>ud</v>
          </cell>
          <cell r="D7879">
            <v>0</v>
          </cell>
          <cell r="E7879">
            <v>0.64</v>
          </cell>
          <cell r="F7879">
            <v>0.64</v>
          </cell>
        </row>
        <row r="7880">
          <cell r="A7880" t="str">
            <v>420119</v>
          </cell>
          <cell r="B7880" t="str">
            <v>Abraçadeira plástica, em nylon 6/6, temp. -40 à +85 graus, fab. HELLERMANN ou similar, tipo  RLT150, largura 8,9mm, comprimento 770mm (241075)</v>
          </cell>
          <cell r="C7880" t="str">
            <v>ud</v>
          </cell>
          <cell r="D7880">
            <v>0</v>
          </cell>
          <cell r="E7880">
            <v>3.68</v>
          </cell>
          <cell r="F7880">
            <v>3.68</v>
          </cell>
        </row>
        <row r="7881">
          <cell r="A7881" t="str">
            <v>420120</v>
          </cell>
          <cell r="B7881" t="str">
            <v>Abraçadeira plástica, em nylon 6/6, temp. -40 à +85 graus, fab. HELLERMANN ou similar, tipo  T250R, largura 13,1mm, comprimento 535mm (177393)</v>
          </cell>
          <cell r="C7881" t="str">
            <v>ud</v>
          </cell>
          <cell r="D7881">
            <v>0</v>
          </cell>
          <cell r="E7881">
            <v>2.08</v>
          </cell>
          <cell r="F7881">
            <v>2.08</v>
          </cell>
        </row>
        <row r="7882">
          <cell r="A7882" t="str">
            <v>4204</v>
          </cell>
          <cell r="B7882" t="str">
            <v>ARRUELA EM ALUMINIO, AÇO</v>
          </cell>
        </row>
        <row r="7883">
          <cell r="A7883" t="str">
            <v>420401</v>
          </cell>
          <cell r="B7883" t="str">
            <v>Arruela em alumínio silício, ref. ARA fab. WETZEL ou similar, bitola 3/4" (169579)</v>
          </cell>
          <cell r="C7883" t="str">
            <v>ud</v>
          </cell>
          <cell r="D7883">
            <v>0</v>
          </cell>
          <cell r="E7883">
            <v>0.22</v>
          </cell>
          <cell r="F7883">
            <v>0.22</v>
          </cell>
        </row>
        <row r="7884">
          <cell r="A7884" t="str">
            <v>420402</v>
          </cell>
          <cell r="B7884" t="str">
            <v>Arruela em alumínio silício, ref. ARA fab. WETZEL ou similar, bitola 1" (35220)</v>
          </cell>
          <cell r="C7884" t="str">
            <v>ud</v>
          </cell>
          <cell r="D7884">
            <v>0</v>
          </cell>
          <cell r="E7884">
            <v>0.39</v>
          </cell>
          <cell r="F7884">
            <v>0.39</v>
          </cell>
        </row>
        <row r="7885">
          <cell r="A7885" t="str">
            <v>420403</v>
          </cell>
          <cell r="B7885" t="str">
            <v>Arruela em alumínio silício, ref. ARA fab. WETZEL ou similar, bitola 1.1/4" (177814)</v>
          </cell>
          <cell r="C7885" t="str">
            <v>ud</v>
          </cell>
          <cell r="D7885">
            <v>0</v>
          </cell>
          <cell r="E7885">
            <v>0.55000000000000004</v>
          </cell>
          <cell r="F7885">
            <v>0.55000000000000004</v>
          </cell>
        </row>
        <row r="7886">
          <cell r="A7886" t="str">
            <v>420404</v>
          </cell>
          <cell r="B7886" t="str">
            <v>Arruela em alumínio silício, ref. ARA fab. WETZEL ou similar, bitola 1.1/2" (290407)</v>
          </cell>
          <cell r="C7886" t="str">
            <v>ud</v>
          </cell>
          <cell r="D7886">
            <v>0</v>
          </cell>
          <cell r="E7886">
            <v>0.63</v>
          </cell>
          <cell r="F7886">
            <v>0.63</v>
          </cell>
        </row>
        <row r="7887">
          <cell r="A7887" t="str">
            <v>420405</v>
          </cell>
          <cell r="B7887" t="str">
            <v>Arruela em alumínio silício, ref. ARA fab. WETZEL ou similar, bitola 2" (91740)</v>
          </cell>
          <cell r="C7887" t="str">
            <v>ud</v>
          </cell>
          <cell r="D7887">
            <v>0</v>
          </cell>
          <cell r="E7887">
            <v>0.8</v>
          </cell>
          <cell r="F7887">
            <v>0.8</v>
          </cell>
        </row>
        <row r="7888">
          <cell r="A7888" t="str">
            <v>420406</v>
          </cell>
          <cell r="B7888" t="str">
            <v>Arruela em alumínio silício, ref. ARA fab. WETZEL ou similar, bitola 2.1/2"</v>
          </cell>
          <cell r="C7888" t="str">
            <v>ud</v>
          </cell>
          <cell r="D7888">
            <v>0</v>
          </cell>
          <cell r="E7888">
            <v>1.19</v>
          </cell>
          <cell r="F7888">
            <v>1.19</v>
          </cell>
        </row>
        <row r="7889">
          <cell r="A7889" t="str">
            <v>420407</v>
          </cell>
          <cell r="B7889" t="str">
            <v>Arruela em alumínio silício, ref. ARA fab. WETZEL ou similar, bitola 3"</v>
          </cell>
          <cell r="C7889" t="str">
            <v>ud</v>
          </cell>
          <cell r="D7889">
            <v>0</v>
          </cell>
          <cell r="E7889">
            <v>2.56</v>
          </cell>
          <cell r="F7889">
            <v>2.56</v>
          </cell>
        </row>
        <row r="7890">
          <cell r="A7890" t="str">
            <v>420408</v>
          </cell>
          <cell r="B7890" t="str">
            <v>Arruela em alumínio silício, ref. ARA fab. WETZEL ou similar, bitola 4" (128279)</v>
          </cell>
          <cell r="C7890" t="str">
            <v>ud</v>
          </cell>
          <cell r="D7890">
            <v>0</v>
          </cell>
          <cell r="E7890">
            <v>3.29</v>
          </cell>
          <cell r="F7890">
            <v>3.29</v>
          </cell>
        </row>
        <row r="7891">
          <cell r="A7891" t="str">
            <v>420409</v>
          </cell>
          <cell r="B7891" t="str">
            <v>Arruela lisa, em aço zincado, fab. DISPAN ou similar, bitola 1/4" (74322)</v>
          </cell>
          <cell r="C7891" t="str">
            <v>ud</v>
          </cell>
          <cell r="D7891">
            <v>0</v>
          </cell>
          <cell r="E7891">
            <v>0.02</v>
          </cell>
          <cell r="F7891">
            <v>0.02</v>
          </cell>
        </row>
        <row r="7892">
          <cell r="A7892" t="str">
            <v>420410</v>
          </cell>
          <cell r="B7892" t="str">
            <v>Arruela lisa, em aço zincado, fab. DISPAN ou similar, bitola 5/16" (74330)</v>
          </cell>
          <cell r="C7892" t="str">
            <v>ud</v>
          </cell>
          <cell r="D7892">
            <v>0</v>
          </cell>
          <cell r="E7892">
            <v>0.03</v>
          </cell>
          <cell r="F7892">
            <v>0.03</v>
          </cell>
        </row>
        <row r="7893">
          <cell r="A7893" t="str">
            <v>420411</v>
          </cell>
          <cell r="B7893" t="str">
            <v>Arruela lisa, em aço zincado, fab. DISPAN ou similar, bitola 3/8" (74349)</v>
          </cell>
          <cell r="C7893" t="str">
            <v>ud</v>
          </cell>
          <cell r="D7893">
            <v>0</v>
          </cell>
          <cell r="E7893">
            <v>0.03</v>
          </cell>
          <cell r="F7893">
            <v>0.03</v>
          </cell>
        </row>
        <row r="7894">
          <cell r="A7894" t="str">
            <v>420412</v>
          </cell>
          <cell r="B7894" t="str">
            <v>Arruela quadrada em aço galvanizado a fogo, fab. ROMAGNOLE ou similar, medidas 32x3x14mm</v>
          </cell>
          <cell r="C7894" t="str">
            <v>ud</v>
          </cell>
          <cell r="D7894">
            <v>0</v>
          </cell>
          <cell r="E7894">
            <v>0.28000000000000003</v>
          </cell>
          <cell r="F7894">
            <v>0.28000000000000003</v>
          </cell>
        </row>
        <row r="7895">
          <cell r="A7895" t="str">
            <v>420413</v>
          </cell>
          <cell r="B7895" t="str">
            <v>Arruela quadrada em aço galvanizado a fogo, fab. ROMAGNOLE ou similar, medidas 34x3x12mm</v>
          </cell>
          <cell r="C7895" t="str">
            <v>ud</v>
          </cell>
          <cell r="D7895">
            <v>0</v>
          </cell>
          <cell r="E7895">
            <v>0.42</v>
          </cell>
          <cell r="F7895">
            <v>0.42</v>
          </cell>
        </row>
        <row r="7896">
          <cell r="A7896" t="str">
            <v>420414</v>
          </cell>
          <cell r="B7896" t="str">
            <v>Arruela quadrada em aço galvanizado a fogo, fab. ROMAGNOLE ou similar, medidas 38x3x14mm</v>
          </cell>
          <cell r="C7896" t="str">
            <v>ud</v>
          </cell>
          <cell r="D7896">
            <v>0</v>
          </cell>
          <cell r="E7896">
            <v>0.62</v>
          </cell>
          <cell r="F7896">
            <v>0.62</v>
          </cell>
        </row>
        <row r="7897">
          <cell r="A7897" t="str">
            <v>420415</v>
          </cell>
          <cell r="B7897" t="str">
            <v>Arruela quadrada em aço galvanizado a fogo, fab. ROMAGNOLE ou similar, medidas 38x3x18mm (287803)</v>
          </cell>
          <cell r="C7897" t="str">
            <v>ud</v>
          </cell>
          <cell r="D7897">
            <v>0</v>
          </cell>
          <cell r="E7897">
            <v>0.47</v>
          </cell>
          <cell r="F7897">
            <v>0.47</v>
          </cell>
        </row>
        <row r="7898">
          <cell r="A7898" t="str">
            <v>420416</v>
          </cell>
          <cell r="B7898" t="str">
            <v>Arruela quadrada em aço galvanizado a fogo, fab. ROMAGNOLE ou similar, medidas 45x5x14mm</v>
          </cell>
          <cell r="C7898" t="str">
            <v>ud</v>
          </cell>
          <cell r="D7898">
            <v>0</v>
          </cell>
          <cell r="E7898">
            <v>1.22</v>
          </cell>
          <cell r="F7898">
            <v>1.22</v>
          </cell>
        </row>
        <row r="7899">
          <cell r="A7899" t="str">
            <v>420417</v>
          </cell>
          <cell r="B7899" t="str">
            <v>Arruela quadrada em aço galvanizado a fogo, fab. ROMAGNOLE ou similar, medidas 50x3x14mm</v>
          </cell>
          <cell r="C7899" t="str">
            <v>ud</v>
          </cell>
          <cell r="D7899">
            <v>0</v>
          </cell>
          <cell r="E7899">
            <v>0.89</v>
          </cell>
          <cell r="F7899">
            <v>0.89</v>
          </cell>
        </row>
        <row r="7900">
          <cell r="A7900" t="str">
            <v>420418</v>
          </cell>
          <cell r="B7900" t="str">
            <v>Arruela quadrada em aço galvanizado a fogo, fab. ROMAGNOLE ou similar, medidas 50x3x18mm</v>
          </cell>
          <cell r="C7900" t="str">
            <v>ud</v>
          </cell>
          <cell r="D7900">
            <v>0</v>
          </cell>
          <cell r="E7900">
            <v>0.74</v>
          </cell>
          <cell r="F7900">
            <v>0.74</v>
          </cell>
        </row>
        <row r="7901">
          <cell r="A7901" t="str">
            <v>420419</v>
          </cell>
          <cell r="B7901" t="str">
            <v>Arruela quadrada em aço galvanizado a fogo, fab. ROMAGNOLE ou similar, medidas 50x5x18mm</v>
          </cell>
          <cell r="C7901" t="str">
            <v>ud</v>
          </cell>
          <cell r="D7901">
            <v>0</v>
          </cell>
          <cell r="E7901">
            <v>1.29</v>
          </cell>
          <cell r="F7901">
            <v>1.29</v>
          </cell>
        </row>
        <row r="7902">
          <cell r="A7902" t="str">
            <v>420420</v>
          </cell>
          <cell r="B7902" t="str">
            <v>Arruela quadrada em aço galvanizado a fogo, fab. ROMAGNOLE ou similar, medidas 50x5x21mm</v>
          </cell>
          <cell r="C7902" t="str">
            <v>ud</v>
          </cell>
          <cell r="D7902">
            <v>0</v>
          </cell>
          <cell r="E7902">
            <v>1.47</v>
          </cell>
          <cell r="F7902">
            <v>1.47</v>
          </cell>
        </row>
        <row r="7903">
          <cell r="A7903" t="str">
            <v>420421</v>
          </cell>
          <cell r="B7903" t="str">
            <v>Arruela quadrada em aço galvanizado a fogo, fab. ROMAGNOLE ou similar, medidas 57x3x14mm</v>
          </cell>
          <cell r="C7903" t="str">
            <v>ud</v>
          </cell>
          <cell r="D7903">
            <v>0</v>
          </cell>
          <cell r="E7903">
            <v>1.22</v>
          </cell>
          <cell r="F7903">
            <v>1.22</v>
          </cell>
        </row>
        <row r="7904">
          <cell r="A7904" t="str">
            <v>420422</v>
          </cell>
          <cell r="B7904" t="str">
            <v>Arruela quadrada em aço galvanizado a fogo, fab. ROMAGNOLE ou similar, medidas 57x3x18mm</v>
          </cell>
          <cell r="C7904" t="str">
            <v>ud</v>
          </cell>
          <cell r="D7904">
            <v>0</v>
          </cell>
          <cell r="E7904">
            <v>1.1599999999999999</v>
          </cell>
          <cell r="F7904">
            <v>1.1599999999999999</v>
          </cell>
        </row>
        <row r="7905">
          <cell r="A7905" t="str">
            <v>420423</v>
          </cell>
          <cell r="B7905" t="str">
            <v>Arruela quadrada em aço galvanizado a fogo, fab. ROMAGNOLE ou similar, medidas 57x5x18mm</v>
          </cell>
          <cell r="C7905" t="str">
            <v>ud</v>
          </cell>
          <cell r="D7905">
            <v>0</v>
          </cell>
          <cell r="E7905">
            <v>1.66</v>
          </cell>
          <cell r="F7905">
            <v>1.66</v>
          </cell>
        </row>
        <row r="7906">
          <cell r="A7906" t="str">
            <v>420424</v>
          </cell>
          <cell r="B7906" t="str">
            <v>Arruela quadrada em aço galvanizado a fogo, fab. ROMAGNOLE ou similar, medidas 57x5x21mm</v>
          </cell>
          <cell r="C7906" t="str">
            <v>ud</v>
          </cell>
          <cell r="D7906">
            <v>0</v>
          </cell>
          <cell r="E7906">
            <v>1.71</v>
          </cell>
          <cell r="F7906">
            <v>1.71</v>
          </cell>
        </row>
        <row r="7907">
          <cell r="A7907" t="str">
            <v>420425</v>
          </cell>
          <cell r="B7907" t="str">
            <v>Arruela lisa, em aço zincado, fab. DISPAN ou similar, bitola 1/2" (74365)</v>
          </cell>
          <cell r="C7907" t="str">
            <v>ud</v>
          </cell>
          <cell r="D7907">
            <v>0</v>
          </cell>
          <cell r="E7907">
            <v>0.15</v>
          </cell>
          <cell r="F7907">
            <v>0.15</v>
          </cell>
        </row>
        <row r="7908">
          <cell r="A7908" t="str">
            <v>420426</v>
          </cell>
          <cell r="B7908" t="str">
            <v>Arruela lisa, em aço inox, 304, fab. CISER ou similar, bitola 1/4" (274445)</v>
          </cell>
          <cell r="C7908" t="str">
            <v>ud</v>
          </cell>
          <cell r="D7908">
            <v>0</v>
          </cell>
          <cell r="E7908">
            <v>0.08</v>
          </cell>
          <cell r="F7908">
            <v>0.08</v>
          </cell>
        </row>
        <row r="7909">
          <cell r="A7909" t="str">
            <v>420427</v>
          </cell>
          <cell r="B7909" t="str">
            <v>Arruela lisa, em aço inox, 304, fab. CISER ou similar, bitola 5/16" (53210)</v>
          </cell>
          <cell r="C7909" t="str">
            <v>ud</v>
          </cell>
          <cell r="D7909">
            <v>0</v>
          </cell>
          <cell r="E7909">
            <v>0.11</v>
          </cell>
          <cell r="F7909">
            <v>0.11</v>
          </cell>
        </row>
        <row r="7910">
          <cell r="A7910" t="str">
            <v>420428</v>
          </cell>
          <cell r="B7910" t="str">
            <v>Arruela lisa, em aço inox, 304, fab. CISER ou similar, bitola 3/8" (274461)</v>
          </cell>
          <cell r="C7910" t="str">
            <v>ud</v>
          </cell>
          <cell r="D7910">
            <v>0</v>
          </cell>
          <cell r="E7910">
            <v>0.12</v>
          </cell>
          <cell r="F7910">
            <v>0.12</v>
          </cell>
        </row>
        <row r="7911">
          <cell r="A7911" t="str">
            <v>420429</v>
          </cell>
          <cell r="B7911" t="str">
            <v>Arruela lisa, em aço inox, 304, fab. CISER ou similar, bitola 1/2" (274437)</v>
          </cell>
          <cell r="C7911" t="str">
            <v>ud</v>
          </cell>
          <cell r="D7911">
            <v>0</v>
          </cell>
          <cell r="E7911">
            <v>0.33</v>
          </cell>
          <cell r="F7911">
            <v>0.33</v>
          </cell>
        </row>
        <row r="7912">
          <cell r="A7912" t="str">
            <v>4205</v>
          </cell>
          <cell r="B7912" t="str">
            <v>BUCHA DE NYLON, REDUÇÃO, ALUMINIO, TERMINAL, PARAFUSOS</v>
          </cell>
        </row>
        <row r="7913">
          <cell r="A7913" t="str">
            <v>420501</v>
          </cell>
          <cell r="B7913" t="str">
            <v>Bucha de nylon fab. FISCHER ou similar, tipo S-4</v>
          </cell>
          <cell r="C7913" t="str">
            <v>ud</v>
          </cell>
          <cell r="D7913">
            <v>0</v>
          </cell>
          <cell r="E7913">
            <v>0.03</v>
          </cell>
          <cell r="F7913">
            <v>0.03</v>
          </cell>
          <cell r="G7913">
            <v>11945</v>
          </cell>
        </row>
        <row r="7914">
          <cell r="A7914" t="str">
            <v>420502</v>
          </cell>
          <cell r="B7914" t="str">
            <v>Bucha de nylon fab. FISCHER ou similar, tipo S-6 (45454)</v>
          </cell>
          <cell r="C7914" t="str">
            <v>ud</v>
          </cell>
          <cell r="D7914">
            <v>0</v>
          </cell>
          <cell r="E7914">
            <v>0.06</v>
          </cell>
          <cell r="F7914">
            <v>0.06</v>
          </cell>
          <cell r="G7914">
            <v>4375</v>
          </cell>
        </row>
        <row r="7915">
          <cell r="A7915" t="str">
            <v>420503</v>
          </cell>
          <cell r="B7915" t="str">
            <v>Bucha de nylon fab. FISCHER ou similar, tipo S-8 (45462)</v>
          </cell>
          <cell r="C7915" t="str">
            <v>ud</v>
          </cell>
          <cell r="D7915">
            <v>0</v>
          </cell>
          <cell r="E7915">
            <v>0.11</v>
          </cell>
          <cell r="F7915">
            <v>0.11</v>
          </cell>
          <cell r="G7915">
            <v>4376</v>
          </cell>
        </row>
        <row r="7916">
          <cell r="A7916" t="str">
            <v>420504</v>
          </cell>
          <cell r="B7916" t="str">
            <v>Bucha de nylon fab. FISCHER ou similar, tipo S-10 (45470)</v>
          </cell>
          <cell r="C7916" t="str">
            <v>ud</v>
          </cell>
          <cell r="D7916">
            <v>0</v>
          </cell>
          <cell r="E7916">
            <v>0.22</v>
          </cell>
          <cell r="F7916">
            <v>0.22</v>
          </cell>
          <cell r="G7916">
            <v>4374</v>
          </cell>
        </row>
        <row r="7917">
          <cell r="A7917" t="str">
            <v>420505</v>
          </cell>
          <cell r="B7917" t="str">
            <v>Bucha de nylon fab. FISCHER ou similar, tipo S-12 (286880)</v>
          </cell>
          <cell r="C7917" t="str">
            <v>ud</v>
          </cell>
          <cell r="D7917">
            <v>0</v>
          </cell>
          <cell r="E7917">
            <v>0.57999999999999996</v>
          </cell>
          <cell r="F7917">
            <v>0.57999999999999996</v>
          </cell>
        </row>
        <row r="7918">
          <cell r="A7918" t="str">
            <v>420506</v>
          </cell>
          <cell r="B7918" t="str">
            <v>Bucha de redução com rosca, em liga de alumínio, ref. BR, fab. DAISA ou similar, bitola 3/4" x 1/2"</v>
          </cell>
          <cell r="C7918" t="str">
            <v>ud</v>
          </cell>
          <cell r="D7918">
            <v>0</v>
          </cell>
          <cell r="E7918">
            <v>3.38</v>
          </cell>
          <cell r="F7918">
            <v>3.38</v>
          </cell>
          <cell r="G7918">
            <v>39920</v>
          </cell>
        </row>
        <row r="7919">
          <cell r="A7919" t="str">
            <v>420507</v>
          </cell>
          <cell r="B7919" t="str">
            <v>Bucha de redução com rosca, em liga de alumínio, ref. BR, fab. DAISA ou similar, bitola 1" x 1/2"</v>
          </cell>
          <cell r="C7919" t="str">
            <v>ud</v>
          </cell>
          <cell r="D7919">
            <v>0</v>
          </cell>
          <cell r="E7919">
            <v>4.04</v>
          </cell>
          <cell r="F7919">
            <v>4.04</v>
          </cell>
          <cell r="G7919">
            <v>39184</v>
          </cell>
        </row>
        <row r="7920">
          <cell r="A7920" t="str">
            <v>420508</v>
          </cell>
          <cell r="B7920" t="str">
            <v>Bucha de redução com rosca, em liga de alumínio, ref. BR, fab. DAISA ou similar, bitola 1" x 3/4" (153958)</v>
          </cell>
          <cell r="C7920" t="str">
            <v>ud</v>
          </cell>
          <cell r="D7920">
            <v>0</v>
          </cell>
          <cell r="E7920">
            <v>3.68</v>
          </cell>
          <cell r="F7920">
            <v>3.68</v>
          </cell>
          <cell r="G7920">
            <v>39185</v>
          </cell>
        </row>
        <row r="7921">
          <cell r="A7921" t="str">
            <v>420509</v>
          </cell>
          <cell r="B7921" t="str">
            <v>Bucha de redução com rosca, em liga de alumínio, ref. BR, fab. DAISA ou similar, bitola 1.1/4" x 1/2"</v>
          </cell>
          <cell r="C7921" t="str">
            <v>ud</v>
          </cell>
          <cell r="D7921">
            <v>0</v>
          </cell>
          <cell r="E7921">
            <v>12.45</v>
          </cell>
          <cell r="F7921">
            <v>12.45</v>
          </cell>
          <cell r="G7921">
            <v>39186</v>
          </cell>
        </row>
        <row r="7922">
          <cell r="A7922" t="str">
            <v>420510</v>
          </cell>
          <cell r="B7922" t="str">
            <v>Bucha de redução com rosca, em liga de alumínio, ref. BR, fab. DAISA ou similar, bitola 1.1/4" x 3/4"</v>
          </cell>
          <cell r="C7922" t="str">
            <v>ud</v>
          </cell>
          <cell r="D7922">
            <v>0</v>
          </cell>
          <cell r="E7922">
            <v>10.73</v>
          </cell>
          <cell r="F7922">
            <v>10.73</v>
          </cell>
          <cell r="G7922">
            <v>39187</v>
          </cell>
        </row>
        <row r="7923">
          <cell r="A7923" t="str">
            <v>420511</v>
          </cell>
          <cell r="B7923" t="str">
            <v>Bucha de redução com rosca, em liga de alumínio, ref. BR, fab. DAISA ou similar, bitola 1.1/4" x 1"</v>
          </cell>
          <cell r="C7923" t="str">
            <v>ud</v>
          </cell>
          <cell r="D7923">
            <v>0</v>
          </cell>
          <cell r="E7923">
            <v>10.24</v>
          </cell>
          <cell r="F7923">
            <v>10.24</v>
          </cell>
          <cell r="G7923">
            <v>39188</v>
          </cell>
        </row>
        <row r="7924">
          <cell r="A7924" t="str">
            <v>420512</v>
          </cell>
          <cell r="B7924" t="str">
            <v xml:space="preserve">Bucha de redução com rosca, em liga de alumínio, ref. BR, fab. DAISA ou similar, bitola 1.1/2" x 1/2" </v>
          </cell>
          <cell r="C7924" t="str">
            <v>ud</v>
          </cell>
          <cell r="D7924">
            <v>0</v>
          </cell>
          <cell r="E7924">
            <v>14.01</v>
          </cell>
          <cell r="F7924">
            <v>14.01</v>
          </cell>
        </row>
        <row r="7925">
          <cell r="A7925" t="str">
            <v>420513</v>
          </cell>
          <cell r="B7925" t="str">
            <v xml:space="preserve">Bucha de redução com rosca, em liga de alumínio, ref. BR, fab. DAISA ou similar, bitola 1.1/2" x 3/4" </v>
          </cell>
          <cell r="C7925" t="str">
            <v>ud</v>
          </cell>
          <cell r="D7925">
            <v>0</v>
          </cell>
          <cell r="E7925">
            <v>13.91</v>
          </cell>
          <cell r="F7925">
            <v>13.91</v>
          </cell>
          <cell r="G7925">
            <v>39189</v>
          </cell>
        </row>
        <row r="7926">
          <cell r="A7926" t="str">
            <v>420514</v>
          </cell>
          <cell r="B7926" t="str">
            <v>Bucha de redução com rosca, em liga de alumínio, ref. BR, fab. DAISA ou similar, bitola 1.1/2 x 1"</v>
          </cell>
          <cell r="C7926" t="str">
            <v>ud</v>
          </cell>
          <cell r="D7926">
            <v>0</v>
          </cell>
          <cell r="E7926">
            <v>13.14</v>
          </cell>
          <cell r="F7926">
            <v>13.14</v>
          </cell>
          <cell r="G7926">
            <v>39190</v>
          </cell>
        </row>
        <row r="7927">
          <cell r="A7927" t="str">
            <v>420515</v>
          </cell>
          <cell r="B7927" t="str">
            <v xml:space="preserve">Bucha de redução com rosca, em liga de alumínio, ref. BR, fab. DAISA ou similar, bitola 1.1/2" x 1.1/4" </v>
          </cell>
          <cell r="C7927" t="str">
            <v>ud</v>
          </cell>
          <cell r="D7927">
            <v>0</v>
          </cell>
          <cell r="E7927">
            <v>12.58</v>
          </cell>
          <cell r="F7927">
            <v>12.58</v>
          </cell>
          <cell r="G7927">
            <v>39191</v>
          </cell>
        </row>
        <row r="7928">
          <cell r="A7928" t="str">
            <v>420516</v>
          </cell>
          <cell r="B7928" t="str">
            <v>Bucha de redução com rosca, em liga de alumínio, ref. BR, fab. DAISA ou similar, bitola 2" x 1/2"</v>
          </cell>
          <cell r="C7928" t="str">
            <v>ud</v>
          </cell>
          <cell r="D7928">
            <v>0</v>
          </cell>
          <cell r="E7928">
            <v>19.559999999999999</v>
          </cell>
          <cell r="F7928">
            <v>19.559999999999999</v>
          </cell>
        </row>
        <row r="7929">
          <cell r="A7929" t="str">
            <v>420517</v>
          </cell>
          <cell r="B7929" t="str">
            <v>Bucha de redução com rosca, em liga de alumínio, ref. BR, fab. DAISA ou similar, bitola 2" x 3/4" (293705)</v>
          </cell>
          <cell r="C7929" t="str">
            <v>ud</v>
          </cell>
          <cell r="D7929">
            <v>0</v>
          </cell>
          <cell r="E7929">
            <v>27.98</v>
          </cell>
          <cell r="F7929">
            <v>27.98</v>
          </cell>
          <cell r="G7929">
            <v>39192</v>
          </cell>
        </row>
        <row r="7930">
          <cell r="A7930" t="str">
            <v>420518</v>
          </cell>
          <cell r="B7930" t="str">
            <v>Bucha de redução com rosca, em liga de alumínio, ref. BR, fab. DAISA ou similar, bitola 2" x 1"</v>
          </cell>
          <cell r="C7930" t="str">
            <v>ud</v>
          </cell>
          <cell r="D7930">
            <v>0</v>
          </cell>
          <cell r="E7930">
            <v>26.9</v>
          </cell>
          <cell r="F7930">
            <v>26.9</v>
          </cell>
          <cell r="G7930">
            <v>39193</v>
          </cell>
        </row>
        <row r="7931">
          <cell r="A7931" t="str">
            <v>420519</v>
          </cell>
          <cell r="B7931" t="str">
            <v>Bucha de redução com rosca, em liga de alumínio, ref. BR, fab. DAISA ou similar, bitola 2" x 1.1/4"</v>
          </cell>
          <cell r="C7931" t="str">
            <v>ud</v>
          </cell>
          <cell r="D7931">
            <v>0</v>
          </cell>
          <cell r="E7931">
            <v>24.54</v>
          </cell>
          <cell r="F7931">
            <v>24.54</v>
          </cell>
          <cell r="G7931">
            <v>39194</v>
          </cell>
        </row>
        <row r="7932">
          <cell r="A7932" t="str">
            <v>420520</v>
          </cell>
          <cell r="B7932" t="str">
            <v>Bucha de redução com rosca, em liga de alumínio, ref. BR, fab. DAISA ou similar, bitola 2" x 1.1/2"</v>
          </cell>
          <cell r="C7932" t="str">
            <v>ud</v>
          </cell>
          <cell r="D7932">
            <v>0</v>
          </cell>
          <cell r="E7932">
            <v>22.93</v>
          </cell>
          <cell r="F7932">
            <v>22.93</v>
          </cell>
          <cell r="G7932">
            <v>39195</v>
          </cell>
        </row>
        <row r="7933">
          <cell r="A7933" t="str">
            <v>420521</v>
          </cell>
          <cell r="B7933" t="str">
            <v>Bucha de redução com rosca, em liga de alumínio, ref. BR, fab. DAISA ou similar, bitola 2.1/2" x 1/2"</v>
          </cell>
          <cell r="C7933" t="str">
            <v>ud</v>
          </cell>
          <cell r="D7933">
            <v>0</v>
          </cell>
          <cell r="E7933">
            <v>30.05</v>
          </cell>
          <cell r="F7933">
            <v>30.05</v>
          </cell>
        </row>
        <row r="7934">
          <cell r="A7934" t="str">
            <v>420522</v>
          </cell>
          <cell r="B7934" t="str">
            <v>Bucha de redução com rosca, em liga de alumínio, ref. BR, fab. DAISA ou similar, bitola 2.1/2" x 3/4"</v>
          </cell>
          <cell r="C7934" t="str">
            <v>ud</v>
          </cell>
          <cell r="D7934">
            <v>0</v>
          </cell>
          <cell r="E7934">
            <v>34.01</v>
          </cell>
          <cell r="F7934">
            <v>34.01</v>
          </cell>
        </row>
        <row r="7935">
          <cell r="A7935" t="str">
            <v>420523</v>
          </cell>
          <cell r="B7935" t="str">
            <v>Bucha de redução com rosca, em liga de alumínio, ref. BR, fab. DAISA ou similar, bitola 2.1/2" x 1"</v>
          </cell>
          <cell r="C7935" t="str">
            <v>ud</v>
          </cell>
          <cell r="D7935">
            <v>0</v>
          </cell>
          <cell r="E7935">
            <v>44.47</v>
          </cell>
          <cell r="F7935">
            <v>44.47</v>
          </cell>
          <cell r="G7935">
            <v>39196</v>
          </cell>
        </row>
        <row r="7936">
          <cell r="A7936" t="str">
            <v>420524</v>
          </cell>
          <cell r="B7936" t="str">
            <v>Bucha de redução com rosca, em liga de alumínio, ref. BR, fab. DAISA ou similar, bitola 2.1/2" x 1.1/4"</v>
          </cell>
          <cell r="C7936" t="str">
            <v>ud</v>
          </cell>
          <cell r="D7936">
            <v>0</v>
          </cell>
          <cell r="E7936">
            <v>43.13</v>
          </cell>
          <cell r="F7936">
            <v>43.13</v>
          </cell>
          <cell r="G7936">
            <v>39197</v>
          </cell>
        </row>
        <row r="7937">
          <cell r="A7937" t="str">
            <v>420525</v>
          </cell>
          <cell r="B7937" t="str">
            <v>Bucha de redução com rosca, em liga de alumínio, ref. BR, fab. DAISA ou similar, bitola 2.1/2" x 1.1/2"</v>
          </cell>
          <cell r="C7937" t="str">
            <v>ud</v>
          </cell>
          <cell r="D7937">
            <v>0</v>
          </cell>
          <cell r="E7937">
            <v>41.28</v>
          </cell>
          <cell r="F7937">
            <v>41.28</v>
          </cell>
          <cell r="G7937">
            <v>39198</v>
          </cell>
        </row>
        <row r="7938">
          <cell r="A7938" t="str">
            <v>420526</v>
          </cell>
          <cell r="B7938" t="str">
            <v>Bucha de redução com rosca, em liga de alumínio, ref. BR, fab. DAISA ou similar, bitola 2.1/2" x 2"</v>
          </cell>
          <cell r="C7938" t="str">
            <v>ud</v>
          </cell>
          <cell r="D7938">
            <v>0</v>
          </cell>
          <cell r="E7938">
            <v>39.729999999999997</v>
          </cell>
          <cell r="F7938">
            <v>39.729999999999997</v>
          </cell>
          <cell r="G7938">
            <v>39199</v>
          </cell>
        </row>
        <row r="7939">
          <cell r="A7939" t="str">
            <v>420527</v>
          </cell>
          <cell r="B7939" t="str">
            <v>Bucha de redução com rosca, em liga de alumínio, ref. BR, fab. DAISA ou similar, bitola 3" x 1/2"</v>
          </cell>
          <cell r="C7939" t="str">
            <v>ud</v>
          </cell>
          <cell r="D7939">
            <v>0</v>
          </cell>
          <cell r="E7939">
            <v>35.15</v>
          </cell>
          <cell r="F7939">
            <v>35.15</v>
          </cell>
        </row>
        <row r="7940">
          <cell r="A7940" t="str">
            <v>420528</v>
          </cell>
          <cell r="B7940" t="str">
            <v>Bucha de redução com rosca, em liga de alumínio, ref. BR, fab. DAISA ou similar, bitola 3" x 3/4"</v>
          </cell>
          <cell r="C7940" t="str">
            <v>ud</v>
          </cell>
          <cell r="D7940">
            <v>0</v>
          </cell>
          <cell r="E7940">
            <v>32.19</v>
          </cell>
          <cell r="F7940">
            <v>32.19</v>
          </cell>
        </row>
        <row r="7941">
          <cell r="A7941" t="str">
            <v>420529</v>
          </cell>
          <cell r="B7941" t="str">
            <v>Bucha de redução com rosca, em liga de alumínio, ref. BR, fab. DAISA ou similar, bitola 3" x 1"</v>
          </cell>
          <cell r="C7941" t="str">
            <v>ud</v>
          </cell>
          <cell r="D7941">
            <v>0</v>
          </cell>
          <cell r="E7941">
            <v>31.21</v>
          </cell>
          <cell r="F7941">
            <v>31.21</v>
          </cell>
        </row>
        <row r="7942">
          <cell r="A7942" t="str">
            <v>420530</v>
          </cell>
          <cell r="B7942" t="str">
            <v>Bucha de redução com rosca, em liga de alumínio, ref. BR, fab. DAISA ou similar, bitola 3" x 1.1/4"</v>
          </cell>
          <cell r="C7942" t="str">
            <v>ud</v>
          </cell>
          <cell r="D7942">
            <v>0</v>
          </cell>
          <cell r="E7942">
            <v>49.76</v>
          </cell>
          <cell r="F7942">
            <v>49.76</v>
          </cell>
          <cell r="G7942">
            <v>39200</v>
          </cell>
        </row>
        <row r="7943">
          <cell r="A7943" t="str">
            <v>420531</v>
          </cell>
          <cell r="B7943" t="str">
            <v>Bucha de redução com rosca, em liga de alumínio, ref. BR, fab. DAISA ou similar, bitola 3" x 1.1/2"</v>
          </cell>
          <cell r="C7943" t="str">
            <v>ud</v>
          </cell>
          <cell r="D7943">
            <v>0</v>
          </cell>
          <cell r="E7943">
            <v>49.36</v>
          </cell>
          <cell r="F7943">
            <v>49.36</v>
          </cell>
          <cell r="G7943">
            <v>39201</v>
          </cell>
        </row>
        <row r="7944">
          <cell r="A7944" t="str">
            <v>420532</v>
          </cell>
          <cell r="B7944" t="str">
            <v>Bucha de redução com rosca, em liga de alumínio, ref. BR, fab. DAISA ou similar, bitola 3" x 2"</v>
          </cell>
          <cell r="C7944" t="str">
            <v>ud</v>
          </cell>
          <cell r="D7944">
            <v>0</v>
          </cell>
          <cell r="E7944">
            <v>47.19</v>
          </cell>
          <cell r="F7944">
            <v>47.19</v>
          </cell>
          <cell r="G7944">
            <v>39202</v>
          </cell>
        </row>
        <row r="7945">
          <cell r="A7945" t="str">
            <v>420533</v>
          </cell>
          <cell r="B7945" t="str">
            <v>Bucha de redução com rosca, em liga de alumínio, ref. BR, fab. DAISA ou similar, bitola 3" x 2.1/2"</v>
          </cell>
          <cell r="C7945" t="str">
            <v>ud</v>
          </cell>
          <cell r="D7945">
            <v>0</v>
          </cell>
          <cell r="E7945">
            <v>40.17</v>
          </cell>
          <cell r="F7945">
            <v>40.17</v>
          </cell>
          <cell r="G7945">
            <v>39203</v>
          </cell>
        </row>
        <row r="7946">
          <cell r="A7946" t="str">
            <v>420534</v>
          </cell>
          <cell r="B7946" t="str">
            <v>Bucha de redução com rosca, em liga de alumínio, ref. BR, fab. DAISA ou similar, bitola 4" x 1/2"</v>
          </cell>
          <cell r="C7946" t="str">
            <v>ud</v>
          </cell>
          <cell r="D7946">
            <v>0</v>
          </cell>
          <cell r="E7946">
            <v>63.37</v>
          </cell>
          <cell r="F7946">
            <v>63.37</v>
          </cell>
        </row>
        <row r="7947">
          <cell r="A7947" t="str">
            <v>420535</v>
          </cell>
          <cell r="B7947" t="str">
            <v>Bucha de redução com rosca, em liga de alumínio, ref. BR, fab. DAISA ou similar, bitola 4" x 3/4"</v>
          </cell>
          <cell r="C7947" t="str">
            <v>ud</v>
          </cell>
          <cell r="D7947">
            <v>0</v>
          </cell>
          <cell r="E7947">
            <v>62.49</v>
          </cell>
          <cell r="F7947">
            <v>62.49</v>
          </cell>
        </row>
        <row r="7948">
          <cell r="A7948" t="str">
            <v>420536</v>
          </cell>
          <cell r="B7948" t="str">
            <v>Bucha de redução com rosca, em liga de alumínio, ref. BR, fab. DAISA ou similar, bitola 4" x 1.1/4"</v>
          </cell>
          <cell r="C7948" t="str">
            <v>ud</v>
          </cell>
          <cell r="D7948">
            <v>0</v>
          </cell>
          <cell r="E7948">
            <v>58.6</v>
          </cell>
          <cell r="F7948">
            <v>58.6</v>
          </cell>
        </row>
        <row r="7949">
          <cell r="A7949" t="str">
            <v>420537</v>
          </cell>
          <cell r="B7949" t="str">
            <v>Bucha de redução com rosca, em liga de alumínio, ref. BR, fab. DAISA ou similar, bitola 4" x 1.1/2"</v>
          </cell>
          <cell r="C7949" t="str">
            <v>ud</v>
          </cell>
          <cell r="D7949">
            <v>0</v>
          </cell>
          <cell r="E7949">
            <v>61.33</v>
          </cell>
          <cell r="F7949">
            <v>61.33</v>
          </cell>
        </row>
        <row r="7950">
          <cell r="A7950" t="str">
            <v>420538</v>
          </cell>
          <cell r="B7950" t="str">
            <v>Bucha de redução com rosca, em liga de alumínio, ref. BR, fab. DAISA ou similar, bitola 4" x 2"</v>
          </cell>
          <cell r="C7950" t="str">
            <v>ud</v>
          </cell>
          <cell r="D7950">
            <v>0</v>
          </cell>
          <cell r="E7950">
            <v>80.64</v>
          </cell>
          <cell r="F7950">
            <v>80.64</v>
          </cell>
          <cell r="G7950">
            <v>39204</v>
          </cell>
        </row>
        <row r="7951">
          <cell r="A7951" t="str">
            <v>420539</v>
          </cell>
          <cell r="B7951" t="str">
            <v>Bucha de redução com rosca, em liga de alumínio, ref. BR, fab. DAISA ou similar, bitola 4" x 2.1/2"</v>
          </cell>
          <cell r="C7951" t="str">
            <v>ud</v>
          </cell>
          <cell r="D7951">
            <v>0</v>
          </cell>
          <cell r="E7951">
            <v>78.739999999999995</v>
          </cell>
          <cell r="F7951">
            <v>78.739999999999995</v>
          </cell>
          <cell r="G7951">
            <v>39205</v>
          </cell>
        </row>
        <row r="7952">
          <cell r="A7952" t="str">
            <v>420540</v>
          </cell>
          <cell r="B7952" t="str">
            <v>Bucha de redução com rosca, em liga de alumínio, ref. BR, fab. DAISA ou similar, bitola 4" x 3"</v>
          </cell>
          <cell r="C7952" t="str">
            <v>ud</v>
          </cell>
          <cell r="D7952">
            <v>0</v>
          </cell>
          <cell r="E7952">
            <v>76.5</v>
          </cell>
          <cell r="F7952">
            <v>76.5</v>
          </cell>
          <cell r="G7952">
            <v>39206</v>
          </cell>
        </row>
        <row r="7953">
          <cell r="A7953" t="str">
            <v>420543</v>
          </cell>
          <cell r="B7953" t="str">
            <v>Bucha em alumínio silício, ref. BUA-15  fab. WETZEL ou similar, bitola 3/4" (37290)</v>
          </cell>
          <cell r="C7953" t="str">
            <v>ud</v>
          </cell>
          <cell r="D7953">
            <v>0</v>
          </cell>
          <cell r="E7953">
            <v>0.8</v>
          </cell>
          <cell r="F7953">
            <v>0.8</v>
          </cell>
          <cell r="G7953">
            <v>39176</v>
          </cell>
        </row>
        <row r="7954">
          <cell r="A7954" t="str">
            <v>420544</v>
          </cell>
          <cell r="B7954" t="str">
            <v>Bucha em alumínio silício, ref. BUA-20  fab. WETZEL ou similar, bitola 1" (271306)</v>
          </cell>
          <cell r="C7954" t="str">
            <v>ud</v>
          </cell>
          <cell r="D7954">
            <v>0</v>
          </cell>
          <cell r="E7954">
            <v>0.8</v>
          </cell>
          <cell r="F7954">
            <v>0.8</v>
          </cell>
          <cell r="G7954">
            <v>39176</v>
          </cell>
        </row>
        <row r="7955">
          <cell r="A7955" t="str">
            <v>420545</v>
          </cell>
          <cell r="B7955" t="str">
            <v>Bucha em alumínio silício, ref. BUA-25  fab. WETZEL ou similar, bitola 1.1/4" (37303)</v>
          </cell>
          <cell r="C7955" t="str">
            <v>ud</v>
          </cell>
          <cell r="D7955">
            <v>0</v>
          </cell>
          <cell r="E7955">
            <v>1.23</v>
          </cell>
          <cell r="F7955">
            <v>1.23</v>
          </cell>
          <cell r="G7955">
            <v>39177</v>
          </cell>
        </row>
        <row r="7956">
          <cell r="A7956" t="str">
            <v>420546</v>
          </cell>
          <cell r="B7956" t="str">
            <v>Bucha em alumínio silício, ref. BUA-30  fab. WETZEL ou similar, bitola 1.1/2" (35882)</v>
          </cell>
          <cell r="C7956" t="str">
            <v>ud</v>
          </cell>
          <cell r="D7956">
            <v>0</v>
          </cell>
          <cell r="E7956">
            <v>1.36</v>
          </cell>
          <cell r="F7956">
            <v>1.36</v>
          </cell>
          <cell r="G7956">
            <v>39178</v>
          </cell>
        </row>
        <row r="7957">
          <cell r="A7957" t="str">
            <v>420547</v>
          </cell>
          <cell r="B7957" t="str">
            <v>Bucha em alumínio silício, ref. BUA-35  fab. WETZEL ou similar, bitola 2" (35904)</v>
          </cell>
          <cell r="C7957" t="str">
            <v>ud</v>
          </cell>
          <cell r="D7957">
            <v>0</v>
          </cell>
          <cell r="E7957">
            <v>3.27</v>
          </cell>
          <cell r="F7957">
            <v>3.27</v>
          </cell>
          <cell r="G7957">
            <v>39179</v>
          </cell>
        </row>
        <row r="7958">
          <cell r="A7958" t="str">
            <v>420548</v>
          </cell>
          <cell r="B7958" t="str">
            <v>Bucha em alumínio silício, ref. BUA-40  fab. WETZEL ou similar, bitola 2.1/2"</v>
          </cell>
          <cell r="C7958" t="str">
            <v>ud</v>
          </cell>
          <cell r="D7958">
            <v>0</v>
          </cell>
          <cell r="E7958">
            <v>3.69</v>
          </cell>
          <cell r="F7958">
            <v>3.69</v>
          </cell>
          <cell r="G7958">
            <v>39180</v>
          </cell>
        </row>
        <row r="7959">
          <cell r="A7959" t="str">
            <v>420549</v>
          </cell>
          <cell r="B7959" t="str">
            <v>Bucha em alumínio silício, ref. BUA-45  fab. WETZEL ou similar, bitola 3" (35939)</v>
          </cell>
          <cell r="C7959" t="str">
            <v>ud</v>
          </cell>
          <cell r="D7959">
            <v>0</v>
          </cell>
          <cell r="E7959">
            <v>4.95</v>
          </cell>
          <cell r="F7959">
            <v>4.95</v>
          </cell>
          <cell r="G7959">
            <v>39181</v>
          </cell>
        </row>
        <row r="7960">
          <cell r="A7960" t="str">
            <v>420550</v>
          </cell>
          <cell r="B7960" t="str">
            <v>Bucha em alumínio silício, ref. BUA-50  fab. WETZEL ou similar, bitola 4" (128260)</v>
          </cell>
          <cell r="C7960" t="str">
            <v>ud</v>
          </cell>
          <cell r="D7960">
            <v>0</v>
          </cell>
          <cell r="E7960">
            <v>6.97</v>
          </cell>
          <cell r="F7960">
            <v>6.97</v>
          </cell>
          <cell r="G7960">
            <v>39182</v>
          </cell>
        </row>
        <row r="7961">
          <cell r="A7961" t="str">
            <v>420551</v>
          </cell>
          <cell r="B7961" t="str">
            <v>Bucha terminal sem rosca, em liga de alumínio, ref. BT, fab. DAISA ou similar, bitola 3/4"</v>
          </cell>
          <cell r="C7961" t="str">
            <v>ud</v>
          </cell>
          <cell r="D7961">
            <v>0</v>
          </cell>
          <cell r="E7961">
            <v>2.2599999999999998</v>
          </cell>
          <cell r="F7961">
            <v>2.2599999999999998</v>
          </cell>
        </row>
        <row r="7962">
          <cell r="A7962" t="str">
            <v>420552</v>
          </cell>
          <cell r="B7962" t="str">
            <v>Bucha terminal sem rosca, em liga de alumínio, ref. BT, fab. DAISA ou similar, bitola 1"</v>
          </cell>
          <cell r="C7962" t="str">
            <v>ud</v>
          </cell>
          <cell r="D7962">
            <v>0</v>
          </cell>
          <cell r="E7962">
            <v>2.87</v>
          </cell>
          <cell r="F7962">
            <v>2.87</v>
          </cell>
        </row>
        <row r="7963">
          <cell r="A7963" t="str">
            <v>420553</v>
          </cell>
          <cell r="B7963" t="str">
            <v>Bucha terminal sem rosca, em liga de alumínio, ref. BT, fab. DAISA ou similar, bitola 1.1/4"</v>
          </cell>
          <cell r="C7963" t="str">
            <v>ud</v>
          </cell>
          <cell r="D7963">
            <v>0</v>
          </cell>
          <cell r="E7963">
            <v>4.6100000000000003</v>
          </cell>
          <cell r="F7963">
            <v>4.6100000000000003</v>
          </cell>
        </row>
        <row r="7964">
          <cell r="A7964" t="str">
            <v>420554</v>
          </cell>
          <cell r="B7964" t="str">
            <v>Bucha terminal sem rosca, em liga de alumínio, ref. BT, fab. DAISA ou similar, bitola 1.1/2"</v>
          </cell>
          <cell r="C7964" t="str">
            <v>ud</v>
          </cell>
          <cell r="D7964">
            <v>0</v>
          </cell>
          <cell r="E7964">
            <v>5.21</v>
          </cell>
          <cell r="F7964">
            <v>5.21</v>
          </cell>
        </row>
        <row r="7965">
          <cell r="A7965" t="str">
            <v>420555</v>
          </cell>
          <cell r="B7965" t="str">
            <v>Bucha terminal sem rosca, em liga de alumínio, ref. BT, fab. DAISA ou similar, bitola 2"</v>
          </cell>
          <cell r="C7965" t="str">
            <v>ud</v>
          </cell>
          <cell r="D7965">
            <v>0</v>
          </cell>
          <cell r="E7965">
            <v>7.06</v>
          </cell>
          <cell r="F7965">
            <v>7.06</v>
          </cell>
        </row>
        <row r="7966">
          <cell r="A7966" t="str">
            <v>420556</v>
          </cell>
          <cell r="B7966" t="str">
            <v>Bucha terminal sem rosca, em liga de alumínio, ref. BT, fab. DAISA ou similar, bitola 2.1/2"</v>
          </cell>
          <cell r="C7966" t="str">
            <v>ud</v>
          </cell>
          <cell r="D7966">
            <v>0</v>
          </cell>
          <cell r="E7966">
            <v>9.9700000000000006</v>
          </cell>
          <cell r="F7966">
            <v>9.9700000000000006</v>
          </cell>
        </row>
        <row r="7967">
          <cell r="A7967" t="str">
            <v>420557</v>
          </cell>
          <cell r="B7967" t="str">
            <v>Bucha terminal sem rosca, em liga de alumínio, ref. BT, fab. DAISA ou similar, bitola 3"</v>
          </cell>
          <cell r="C7967" t="str">
            <v>ud</v>
          </cell>
          <cell r="D7967">
            <v>0</v>
          </cell>
          <cell r="E7967">
            <v>12.51</v>
          </cell>
          <cell r="F7967">
            <v>12.51</v>
          </cell>
        </row>
        <row r="7968">
          <cell r="A7968" t="str">
            <v>420558</v>
          </cell>
          <cell r="B7968" t="str">
            <v>Bucha terminal sem rosca, em liga de alumínio, ref. BT, fab. DAISA ou similar, bitola 4"</v>
          </cell>
          <cell r="C7968" t="str">
            <v>ud</v>
          </cell>
          <cell r="D7968">
            <v>0</v>
          </cell>
          <cell r="E7968">
            <v>18.920000000000002</v>
          </cell>
          <cell r="F7968">
            <v>18.920000000000002</v>
          </cell>
        </row>
        <row r="7969">
          <cell r="A7969" t="str">
            <v>420560</v>
          </cell>
          <cell r="B7969" t="str">
            <v>Parafuso em aço inox 304, cabeça panela, fendado, auto atarraxante, bitola 2,9 x 19mm (para bucha S-4), fab. CISER ou similar</v>
          </cell>
          <cell r="C7969" t="str">
            <v>ud</v>
          </cell>
          <cell r="D7969">
            <v>0</v>
          </cell>
          <cell r="E7969">
            <v>0.08</v>
          </cell>
          <cell r="F7969">
            <v>0.08</v>
          </cell>
        </row>
        <row r="7970">
          <cell r="A7970" t="str">
            <v>420561</v>
          </cell>
          <cell r="B7970" t="str">
            <v>Parafuso em aço inox 304, cabeça panela, fendado, auto atarraxante, bitola 3,9 x 32mm (para bucha S-6), fab. CISER ou similar</v>
          </cell>
          <cell r="C7970" t="str">
            <v>ud</v>
          </cell>
          <cell r="D7970">
            <v>0</v>
          </cell>
          <cell r="E7970">
            <v>0.16</v>
          </cell>
          <cell r="F7970">
            <v>0.16</v>
          </cell>
        </row>
        <row r="7971">
          <cell r="A7971" t="str">
            <v>420562</v>
          </cell>
          <cell r="B7971" t="str">
            <v>Parafuso em aço inox 304, cabeça panela, fendado, auto atarraxante, bitola 4,8 x 50mm (para bucha S-8), fab. CISER ou similar</v>
          </cell>
          <cell r="C7971" t="str">
            <v>ud</v>
          </cell>
          <cell r="D7971">
            <v>0</v>
          </cell>
          <cell r="E7971">
            <v>0.27</v>
          </cell>
          <cell r="F7971">
            <v>0.27</v>
          </cell>
        </row>
        <row r="7972">
          <cell r="A7972" t="str">
            <v>420563</v>
          </cell>
          <cell r="B7972" t="str">
            <v>Parafuso em aço inox 304, cabeça panela, fendado, auto atarraxante, bitola 6,3 x 60mm (para bucha S-10), fab. CISER ou similar</v>
          </cell>
          <cell r="C7972" t="str">
            <v>ud</v>
          </cell>
          <cell r="D7972">
            <v>0</v>
          </cell>
          <cell r="E7972">
            <v>0.18</v>
          </cell>
          <cell r="F7972">
            <v>0.18</v>
          </cell>
        </row>
        <row r="7973">
          <cell r="A7973" t="str">
            <v>420564</v>
          </cell>
          <cell r="B7973" t="str">
            <v>Parafuso em aço inox 304, cabeça sextavada, auto atarraxante, bitola 3/16-M5 x 50mm (para bucha S-8), fab. CISER ou similar</v>
          </cell>
          <cell r="C7973" t="str">
            <v>ud</v>
          </cell>
          <cell r="D7973">
            <v>0</v>
          </cell>
          <cell r="E7973">
            <v>0.41</v>
          </cell>
          <cell r="F7973">
            <v>0.41</v>
          </cell>
        </row>
        <row r="7974">
          <cell r="A7974" t="str">
            <v>420565</v>
          </cell>
          <cell r="B7974" t="str">
            <v>Parafuso em aço inox 304, cabeça sextavada, auto atarraxante, bitola 1/4-M6 x 60mm (para bucha S-10), fab. CISER ou similar</v>
          </cell>
          <cell r="C7974" t="str">
            <v>ud</v>
          </cell>
          <cell r="D7974">
            <v>0</v>
          </cell>
          <cell r="E7974">
            <v>0.48</v>
          </cell>
          <cell r="F7974">
            <v>0.48</v>
          </cell>
        </row>
        <row r="7975">
          <cell r="A7975" t="str">
            <v>420566</v>
          </cell>
          <cell r="B7975" t="str">
            <v>Parafuso em aço inox 304, cabeça sextavada, auto atarraxante, bitola 3/8-M10 x 70mm (para bucha S-12), fab. CISER ou similar</v>
          </cell>
          <cell r="C7975" t="str">
            <v>ud</v>
          </cell>
          <cell r="D7975">
            <v>0</v>
          </cell>
          <cell r="E7975">
            <v>1.74</v>
          </cell>
          <cell r="F7975">
            <v>1.74</v>
          </cell>
        </row>
        <row r="7976">
          <cell r="A7976" t="str">
            <v>420567</v>
          </cell>
          <cell r="B7976" t="str">
            <v>Parafuso em aço zincado, cabeça panela, fendado, auto atarraxante, bitola 2,9 x 19mm (para bucha S-4), fab. CISER ou similar</v>
          </cell>
          <cell r="C7976" t="str">
            <v>ud</v>
          </cell>
          <cell r="D7976">
            <v>0</v>
          </cell>
          <cell r="E7976">
            <v>0.03</v>
          </cell>
          <cell r="F7976">
            <v>0.03</v>
          </cell>
        </row>
        <row r="7977">
          <cell r="A7977" t="str">
            <v>420568</v>
          </cell>
          <cell r="B7977" t="str">
            <v>Parafuso em aço zincado, cabeça panela, fendado, auto atarraxante, bitola 3,9 x 32mm (para bucha S-6), fab. CISER ou similar</v>
          </cell>
          <cell r="C7977" t="str">
            <v>ud</v>
          </cell>
          <cell r="D7977">
            <v>0</v>
          </cell>
          <cell r="E7977">
            <v>7.0000000000000007E-2</v>
          </cell>
          <cell r="F7977">
            <v>7.0000000000000007E-2</v>
          </cell>
        </row>
        <row r="7978">
          <cell r="A7978" t="str">
            <v>420569</v>
          </cell>
          <cell r="B7978" t="str">
            <v>Parafuso em aço zincado, cabeça panela, fendado, auto atarraxante, bitola 4,8 x 50mm (para bucha S-8), fab. CISER ou similar</v>
          </cell>
          <cell r="C7978" t="str">
            <v>ud</v>
          </cell>
          <cell r="D7978">
            <v>0</v>
          </cell>
          <cell r="E7978">
            <v>0.14000000000000001</v>
          </cell>
          <cell r="F7978">
            <v>0.14000000000000001</v>
          </cell>
        </row>
        <row r="7979">
          <cell r="A7979" t="str">
            <v>420570</v>
          </cell>
          <cell r="B7979" t="str">
            <v>Parafuso em aço zincado, cabeça panela, fendado, auto atarraxante, bitola 6,3 x 60mm (para bucha S-10), fab. CISER ou similar</v>
          </cell>
          <cell r="C7979" t="str">
            <v>ud</v>
          </cell>
          <cell r="D7979">
            <v>0</v>
          </cell>
          <cell r="E7979">
            <v>0.27</v>
          </cell>
          <cell r="F7979">
            <v>0.27</v>
          </cell>
        </row>
        <row r="7980">
          <cell r="A7980" t="str">
            <v>420571</v>
          </cell>
          <cell r="B7980" t="str">
            <v>Parafuso em aço zincado, cabeça sextavada, auto atarraxante, bitola 3/16-M5 x 50mm (para bucha S-8), fab. CISER ou similar</v>
          </cell>
          <cell r="C7980" t="str">
            <v>ud</v>
          </cell>
          <cell r="D7980">
            <v>0</v>
          </cell>
          <cell r="E7980">
            <v>0.11</v>
          </cell>
          <cell r="F7980">
            <v>0.11</v>
          </cell>
        </row>
        <row r="7981">
          <cell r="A7981" t="str">
            <v>420572</v>
          </cell>
          <cell r="B7981" t="str">
            <v>Parafuso em aço zincado, cabeça sextavada, auto atarraxante, bitola 1/4-M6 x 60mm (para bucha S-10), fab. CISER ou similar</v>
          </cell>
          <cell r="C7981" t="str">
            <v>ud</v>
          </cell>
          <cell r="D7981">
            <v>0</v>
          </cell>
          <cell r="E7981">
            <v>0.19</v>
          </cell>
          <cell r="F7981">
            <v>0.19</v>
          </cell>
        </row>
        <row r="7982">
          <cell r="A7982" t="str">
            <v>4206</v>
          </cell>
          <cell r="B7982" t="str">
            <v>BRAÇADEIRA EM AÇO GALV., ALUMINIO, INOX, PVC</v>
          </cell>
        </row>
        <row r="7983">
          <cell r="A7983" t="str">
            <v>420601</v>
          </cell>
          <cell r="B7983" t="str">
            <v>Braçadeira com cunha cônica para aperto, em aço galvanizado, ref. SRS-652, fab. SISA ou similar, bitola 3/4"</v>
          </cell>
          <cell r="C7983" t="str">
            <v>ud</v>
          </cell>
          <cell r="D7983">
            <v>0</v>
          </cell>
          <cell r="E7983">
            <v>0.59</v>
          </cell>
          <cell r="F7983">
            <v>0.59</v>
          </cell>
        </row>
        <row r="7984">
          <cell r="A7984" t="str">
            <v>420602</v>
          </cell>
          <cell r="B7984" t="str">
            <v>Braçadeira com cunha cônica para aperto, em aço galvanizado, ref. SRS-652, fab. SISA ou similar, bitola 1"</v>
          </cell>
          <cell r="C7984" t="str">
            <v>ud</v>
          </cell>
          <cell r="D7984">
            <v>0</v>
          </cell>
          <cell r="E7984">
            <v>0.73</v>
          </cell>
          <cell r="F7984">
            <v>0.73</v>
          </cell>
        </row>
        <row r="7985">
          <cell r="A7985" t="str">
            <v>420603</v>
          </cell>
          <cell r="B7985" t="str">
            <v>Braçadeira com cunha cônica para aperto, em aço galvanizado, ref. SRS-652, fab. SISA ou similar, bitola 1.1/4"</v>
          </cell>
          <cell r="C7985" t="str">
            <v>ud</v>
          </cell>
          <cell r="D7985">
            <v>0</v>
          </cell>
          <cell r="E7985">
            <v>1.06</v>
          </cell>
          <cell r="F7985">
            <v>1.06</v>
          </cell>
        </row>
        <row r="7986">
          <cell r="A7986" t="str">
            <v>420604</v>
          </cell>
          <cell r="B7986" t="str">
            <v>Braçadeira com cunha cônica para aperto, em aço galvanizado, ref. SRS-652, fab. SISA ou similar, bitola 1.1/2"</v>
          </cell>
          <cell r="C7986" t="str">
            <v>ud</v>
          </cell>
          <cell r="D7986">
            <v>0</v>
          </cell>
          <cell r="E7986">
            <v>1.41</v>
          </cell>
          <cell r="F7986">
            <v>1.41</v>
          </cell>
        </row>
        <row r="7987">
          <cell r="A7987" t="str">
            <v>420605</v>
          </cell>
          <cell r="B7987" t="str">
            <v>Braçadeira com cunha cônica para aperto, em aço galvanizado, ref. SRS-652, fab. SISA ou similar, bitola 2"</v>
          </cell>
          <cell r="C7987" t="str">
            <v>ud</v>
          </cell>
          <cell r="D7987">
            <v>0</v>
          </cell>
          <cell r="E7987">
            <v>1.1599999999999999</v>
          </cell>
          <cell r="F7987">
            <v>1.1599999999999999</v>
          </cell>
        </row>
        <row r="7988">
          <cell r="A7988" t="str">
            <v>420606</v>
          </cell>
          <cell r="B7988" t="str">
            <v>Braçadeira com cunha cônica para aperto, em aço galvanizado, ref. SRS-652, fab. SISA ou similar, bitola 2.1/2"</v>
          </cell>
          <cell r="C7988" t="str">
            <v>ud</v>
          </cell>
          <cell r="D7988">
            <v>0</v>
          </cell>
          <cell r="E7988">
            <v>1.73</v>
          </cell>
          <cell r="F7988">
            <v>1.73</v>
          </cell>
        </row>
        <row r="7989">
          <cell r="A7989" t="str">
            <v>420607</v>
          </cell>
          <cell r="B7989" t="str">
            <v>Braçadeira com cunha cônica para aperto, em aço galvanizado, ref. SRS-652, fab. SISA ou similar, bitola 3"</v>
          </cell>
          <cell r="C7989" t="str">
            <v>ud</v>
          </cell>
          <cell r="D7989">
            <v>0</v>
          </cell>
          <cell r="E7989">
            <v>1.93</v>
          </cell>
          <cell r="F7989">
            <v>1.93</v>
          </cell>
        </row>
        <row r="7990">
          <cell r="A7990" t="str">
            <v>420608</v>
          </cell>
          <cell r="B7990" t="str">
            <v>Braçadeira com cunha cônica para aperto, em aço galvanizado, ref. SRS-652, fab. SISA ou similar, bitola 4"</v>
          </cell>
          <cell r="C7990" t="str">
            <v>ud</v>
          </cell>
          <cell r="D7990">
            <v>0</v>
          </cell>
          <cell r="E7990">
            <v>2.36</v>
          </cell>
          <cell r="F7990">
            <v>2.36</v>
          </cell>
        </row>
        <row r="7991">
          <cell r="A7991" t="str">
            <v>420609</v>
          </cell>
          <cell r="B7991" t="str">
            <v>Braçadeira D com cunha cônica para aperto, em aço galvanizado a fogo (chapa 18), fab. DISPAN ou similar,  bitola 3/4" (45390)</v>
          </cell>
          <cell r="C7991" t="str">
            <v>ud</v>
          </cell>
          <cell r="D7991">
            <v>0</v>
          </cell>
          <cell r="E7991">
            <v>0.86</v>
          </cell>
          <cell r="F7991">
            <v>0.86</v>
          </cell>
          <cell r="G7991">
            <v>39128</v>
          </cell>
        </row>
        <row r="7992">
          <cell r="A7992" t="str">
            <v>420610</v>
          </cell>
          <cell r="B7992" t="str">
            <v>Braçadeira D com cunha cônica para aperto, em aço galvanizado a fogo (chapa 18), fab. DISPAN ou similar,  bitola 1" (291763)</v>
          </cell>
          <cell r="C7992" t="str">
            <v>ud</v>
          </cell>
          <cell r="D7992">
            <v>0</v>
          </cell>
          <cell r="E7992">
            <v>0.92</v>
          </cell>
          <cell r="F7992">
            <v>0.92</v>
          </cell>
          <cell r="G7992">
            <v>39129</v>
          </cell>
        </row>
        <row r="7993">
          <cell r="A7993" t="str">
            <v>420611</v>
          </cell>
          <cell r="B7993" t="str">
            <v>Braçadeira D com cunha cônica para aperto, em aço galvanizado a fogo (chapa 18), fab. DISPAN ou similar,  bitola 1.1/4"</v>
          </cell>
          <cell r="C7993" t="str">
            <v>ud</v>
          </cell>
          <cell r="D7993">
            <v>0</v>
          </cell>
          <cell r="E7993">
            <v>1.5</v>
          </cell>
          <cell r="F7993">
            <v>1.5</v>
          </cell>
          <cell r="G7993">
            <v>39130</v>
          </cell>
        </row>
        <row r="7994">
          <cell r="A7994" t="str">
            <v>420612</v>
          </cell>
          <cell r="B7994" t="str">
            <v>Braçadeira D com cunha cônica para aperto, em aço galvanizado a fogo (chapa 16), fab. DISPAN ou similar,  bitola 1.1/2" (290973)</v>
          </cell>
          <cell r="C7994" t="str">
            <v>ud</v>
          </cell>
          <cell r="D7994">
            <v>0</v>
          </cell>
          <cell r="E7994">
            <v>1.65</v>
          </cell>
          <cell r="F7994">
            <v>1.65</v>
          </cell>
          <cell r="G7994">
            <v>39131</v>
          </cell>
        </row>
        <row r="7995">
          <cell r="A7995" t="str">
            <v>420613</v>
          </cell>
          <cell r="B7995" t="str">
            <v>Braçadeira D com cunha cônica para aperto, em aço galvanizado a fogo (chapa 16), fab. DISPAN ou similar,  bitola 2" (295906)</v>
          </cell>
          <cell r="C7995" t="str">
            <v>ud</v>
          </cell>
          <cell r="D7995">
            <v>0</v>
          </cell>
          <cell r="E7995">
            <v>1.73</v>
          </cell>
          <cell r="F7995">
            <v>1.73</v>
          </cell>
          <cell r="G7995">
            <v>39132</v>
          </cell>
        </row>
        <row r="7996">
          <cell r="A7996" t="str">
            <v>420614</v>
          </cell>
          <cell r="B7996" t="str">
            <v>Braçadeira D com cunha cônica para aperto, em aço galvanizado a fogo (chapa 14), fab. DISPAN ou similar,  bitola 2.1/2"</v>
          </cell>
          <cell r="C7996" t="str">
            <v>ud</v>
          </cell>
          <cell r="D7996">
            <v>0</v>
          </cell>
          <cell r="E7996">
            <v>2.16</v>
          </cell>
          <cell r="F7996">
            <v>2.16</v>
          </cell>
          <cell r="G7996">
            <v>39133</v>
          </cell>
        </row>
        <row r="7997">
          <cell r="A7997" t="str">
            <v>420615</v>
          </cell>
          <cell r="B7997" t="str">
            <v>Braçadeira D com cunha cônica para aperto, em aço galvanizado a fogo (chapa 14), fab. DISPAN ou similar,  bitola 3"</v>
          </cell>
          <cell r="C7997" t="str">
            <v>ud</v>
          </cell>
          <cell r="D7997">
            <v>0</v>
          </cell>
          <cell r="E7997">
            <v>2.88</v>
          </cell>
          <cell r="F7997">
            <v>2.88</v>
          </cell>
          <cell r="G7997">
            <v>39134</v>
          </cell>
        </row>
        <row r="7998">
          <cell r="A7998" t="str">
            <v>420616</v>
          </cell>
          <cell r="B7998" t="str">
            <v>Braçadeira D com cunha cônica para aperto, em aço galvanizado a fogo (chapa 14), fab. DISPAN ou similar,  bitola 4"</v>
          </cell>
          <cell r="C7998" t="str">
            <v>ud</v>
          </cell>
          <cell r="D7998">
            <v>0</v>
          </cell>
          <cell r="E7998">
            <v>3.9</v>
          </cell>
          <cell r="F7998">
            <v>3.9</v>
          </cell>
          <cell r="G7998">
            <v>39126</v>
          </cell>
        </row>
        <row r="7999">
          <cell r="A7999" t="str">
            <v>420617</v>
          </cell>
          <cell r="B7999" t="str">
            <v>Braçadeira em aço inox regulável, para mangueira,  linha flexil, fab. METALÚRGICA SUPRENS ou similar, regulagem 13-19mm</v>
          </cell>
          <cell r="C7999" t="str">
            <v>ud</v>
          </cell>
          <cell r="D7999">
            <v>0</v>
          </cell>
          <cell r="E7999">
            <v>4.79</v>
          </cell>
          <cell r="F7999">
            <v>4.79</v>
          </cell>
        </row>
        <row r="8000">
          <cell r="A8000" t="str">
            <v>420618</v>
          </cell>
          <cell r="B8000" t="str">
            <v>Braçadeira em aço inox regulável, para mangueira,  linha flexil, fab. METALÚRGICA SUPRENS ou similar, regulagem 14-22mm</v>
          </cell>
          <cell r="C8000" t="str">
            <v>ud</v>
          </cell>
          <cell r="D8000">
            <v>0</v>
          </cell>
          <cell r="E8000">
            <v>4.4000000000000004</v>
          </cell>
          <cell r="F8000">
            <v>4.4000000000000004</v>
          </cell>
        </row>
        <row r="8001">
          <cell r="A8001" t="str">
            <v>420619</v>
          </cell>
          <cell r="B8001" t="str">
            <v>Braçadeira em aço inox regulável, para mangueira,  linha flexil, fab. METALÚRGICA SUPRENS ou similar, regulagem 22-32mm</v>
          </cell>
          <cell r="C8001" t="str">
            <v>ud</v>
          </cell>
          <cell r="D8001">
            <v>0</v>
          </cell>
          <cell r="E8001">
            <v>4.1500000000000004</v>
          </cell>
          <cell r="F8001">
            <v>4.1500000000000004</v>
          </cell>
        </row>
        <row r="8002">
          <cell r="A8002" t="str">
            <v>420620</v>
          </cell>
          <cell r="B8002" t="str">
            <v>Braçadeira em aço inox regulável, para mangueira,  linha flexil, fab. METALÚRGICA SUPRENS ou similar, regulagem 38-51mm</v>
          </cell>
          <cell r="C8002" t="str">
            <v>ud</v>
          </cell>
          <cell r="D8002">
            <v>0</v>
          </cell>
          <cell r="E8002">
            <v>4.57</v>
          </cell>
          <cell r="F8002">
            <v>4.57</v>
          </cell>
        </row>
        <row r="8003">
          <cell r="A8003" t="str">
            <v>420621</v>
          </cell>
          <cell r="B8003" t="str">
            <v>Braçadeira em aço inox regulável, para mangueira,  linha flexil, fab. METALÚRGICA SUPRENS ou similar, regulagem 57-70mm</v>
          </cell>
          <cell r="C8003" t="str">
            <v>ud</v>
          </cell>
          <cell r="D8003">
            <v>0</v>
          </cell>
          <cell r="E8003">
            <v>5.47</v>
          </cell>
          <cell r="F8003">
            <v>5.47</v>
          </cell>
        </row>
        <row r="8004">
          <cell r="A8004" t="str">
            <v>420622</v>
          </cell>
          <cell r="B8004" t="str">
            <v>Braçadeira em aço inox regulável, para mangueira,  linha flexil, fab. METALÚRGICA SUPRENS ou similar, regulagem 70-89mm</v>
          </cell>
          <cell r="C8004" t="str">
            <v>ud</v>
          </cell>
          <cell r="D8004">
            <v>0</v>
          </cell>
          <cell r="E8004">
            <v>5.61</v>
          </cell>
          <cell r="F8004">
            <v>5.61</v>
          </cell>
        </row>
        <row r="8005">
          <cell r="A8005" t="str">
            <v>420623</v>
          </cell>
          <cell r="B8005" t="str">
            <v>Braçadeira em aço inox regulável, para mangueira,  linha flexil, fab. METALÚRGICA SUPRENS ou similar, regulagem 89-108mm</v>
          </cell>
          <cell r="C8005" t="str">
            <v>ud</v>
          </cell>
          <cell r="D8005">
            <v>0</v>
          </cell>
          <cell r="E8005">
            <v>6.51</v>
          </cell>
          <cell r="F8005">
            <v>6.51</v>
          </cell>
        </row>
        <row r="8006">
          <cell r="A8006" t="str">
            <v>420624</v>
          </cell>
          <cell r="B8006" t="str">
            <v>Braçadeira para poste de seção circular, em aço galvanizado a fogo, fab. ROMAGNOLE ou similar, dimensão 1/4"x38x200mm</v>
          </cell>
          <cell r="C8006" t="str">
            <v>ud</v>
          </cell>
          <cell r="D8006">
            <v>0</v>
          </cell>
          <cell r="E8006">
            <v>19.329999999999998</v>
          </cell>
          <cell r="F8006">
            <v>19.329999999999998</v>
          </cell>
        </row>
        <row r="8007">
          <cell r="A8007" t="str">
            <v>420625</v>
          </cell>
          <cell r="B8007" t="str">
            <v>Braçadeira para poste de seção circular, em aço galvanizado a fogo, fab. ROMAGNOLE ou similar, dimensão 1/4"x38x210mm</v>
          </cell>
          <cell r="C8007" t="str">
            <v>ud</v>
          </cell>
          <cell r="D8007">
            <v>0</v>
          </cell>
          <cell r="E8007">
            <v>19.64</v>
          </cell>
          <cell r="F8007">
            <v>19.64</v>
          </cell>
        </row>
        <row r="8008">
          <cell r="A8008" t="str">
            <v>420626</v>
          </cell>
          <cell r="B8008" t="str">
            <v>Braçadeira para poste de seção circular, em aço galvanizado a fogo, fab. ROMAGNOLE ou similar, dimensão 1/4"x38x220mm</v>
          </cell>
          <cell r="C8008" t="str">
            <v>ud</v>
          </cell>
          <cell r="D8008">
            <v>0</v>
          </cell>
          <cell r="E8008">
            <v>20.260000000000002</v>
          </cell>
          <cell r="F8008">
            <v>20.260000000000002</v>
          </cell>
        </row>
        <row r="8009">
          <cell r="A8009" t="str">
            <v>420627</v>
          </cell>
          <cell r="B8009" t="str">
            <v>Braçadeira para poste de seção circular, em aço galvanizado a fogo, fab. ROMAGNOLE ou similar, dimensão 1/4"x38x230mm</v>
          </cell>
          <cell r="C8009" t="str">
            <v>ud</v>
          </cell>
          <cell r="D8009">
            <v>0</v>
          </cell>
          <cell r="E8009">
            <v>19.93</v>
          </cell>
          <cell r="F8009">
            <v>19.93</v>
          </cell>
        </row>
        <row r="8010">
          <cell r="A8010" t="str">
            <v>420628</v>
          </cell>
          <cell r="B8010" t="str">
            <v>Braçadeira para poste de seção circular, em aço galvanizado a fogo, fab. ROMAGNOLE ou similar, dimensão 1/4"x38x240mm</v>
          </cell>
          <cell r="C8010" t="str">
            <v>ud</v>
          </cell>
          <cell r="D8010">
            <v>0</v>
          </cell>
          <cell r="E8010">
            <v>20.54</v>
          </cell>
          <cell r="F8010">
            <v>20.54</v>
          </cell>
        </row>
        <row r="8011">
          <cell r="A8011" t="str">
            <v>420629</v>
          </cell>
          <cell r="B8011" t="str">
            <v>Braçadeira para poste de seção circular, em aço galvanizado a fogo, fab. ROMAGNOLE ou similar, dimensão 1/4"x38x250mm</v>
          </cell>
          <cell r="C8011" t="str">
            <v>ud</v>
          </cell>
          <cell r="D8011">
            <v>0</v>
          </cell>
          <cell r="E8011">
            <v>21.62</v>
          </cell>
          <cell r="F8011">
            <v>21.62</v>
          </cell>
        </row>
        <row r="8012">
          <cell r="A8012" t="str">
            <v>420630</v>
          </cell>
          <cell r="B8012" t="str">
            <v>Braçadeira para poste de seção circular, em aço galvanizado a fogo, fab. ROMAGNOLE ou similar, dimensão 1/4"x38x260mm</v>
          </cell>
          <cell r="C8012" t="str">
            <v>ud</v>
          </cell>
          <cell r="D8012">
            <v>0</v>
          </cell>
          <cell r="E8012">
            <v>22.47</v>
          </cell>
          <cell r="F8012">
            <v>22.47</v>
          </cell>
        </row>
        <row r="8013">
          <cell r="A8013" t="str">
            <v>420631</v>
          </cell>
          <cell r="B8013" t="str">
            <v>Braçadeira para poste de seção circular, em aço galvanizado a fogo, fab. ROMAGNOLE ou similar, dimensão 1/4"x38x270mm</v>
          </cell>
          <cell r="C8013" t="str">
            <v>ud</v>
          </cell>
          <cell r="D8013">
            <v>0</v>
          </cell>
          <cell r="E8013">
            <v>23.19</v>
          </cell>
          <cell r="F8013">
            <v>23.19</v>
          </cell>
        </row>
        <row r="8014">
          <cell r="A8014" t="str">
            <v>420632</v>
          </cell>
          <cell r="B8014" t="str">
            <v>Braçadeira para poste de seção circular, em aço galvanizado a fogo, fab. ROMAGNOLE ou similar, dimensão 1/4"x38x280mm</v>
          </cell>
          <cell r="C8014" t="str">
            <v>ud</v>
          </cell>
          <cell r="D8014">
            <v>0</v>
          </cell>
          <cell r="E8014">
            <v>24.62</v>
          </cell>
          <cell r="F8014">
            <v>24.62</v>
          </cell>
        </row>
        <row r="8015">
          <cell r="A8015" t="str">
            <v>420633</v>
          </cell>
          <cell r="B8015" t="str">
            <v>Braçadeira para poste de seção circular, em aço galvanizado a fogo, fab. ROMAGNOLE ou similar, dimensão 1/4"x38x290mm</v>
          </cell>
          <cell r="C8015" t="str">
            <v>ud</v>
          </cell>
          <cell r="D8015">
            <v>0</v>
          </cell>
          <cell r="E8015">
            <v>24.94</v>
          </cell>
          <cell r="F8015">
            <v>24.94</v>
          </cell>
        </row>
        <row r="8016">
          <cell r="A8016" t="str">
            <v>420634</v>
          </cell>
          <cell r="B8016" t="str">
            <v>Braçadeira para poste de seção circular, em aço galvanizado a fogo, fab. ROMAGNOLE ou similar, dimensão 1/4"x38x300mm</v>
          </cell>
          <cell r="C8016" t="str">
            <v>ud</v>
          </cell>
          <cell r="D8016">
            <v>0</v>
          </cell>
          <cell r="E8016">
            <v>26.28</v>
          </cell>
          <cell r="F8016">
            <v>26.28</v>
          </cell>
        </row>
        <row r="8017">
          <cell r="A8017" t="str">
            <v>420635</v>
          </cell>
          <cell r="B8017" t="str">
            <v>Braçadeira para poste duplo T, em chapa de aço 6,4 x 38mm, galvanizado à fogo, 190 x 105mm, fab. ROMAGNOLE ou similar</v>
          </cell>
          <cell r="C8017" t="str">
            <v>ud</v>
          </cell>
          <cell r="D8017">
            <v>0</v>
          </cell>
          <cell r="E8017">
            <v>24.24</v>
          </cell>
          <cell r="F8017">
            <v>24.24</v>
          </cell>
        </row>
        <row r="8018">
          <cell r="A8018" t="str">
            <v>420636</v>
          </cell>
          <cell r="B8018" t="str">
            <v>Braçadeira  para  poste  seção  duplo T, galvanizada  a fogo, perfil chato, 150 x 75mm, para  fixação  da  caixa CN no poste,  fab. ROMAGNOLE ou similar (80659)</v>
          </cell>
          <cell r="C8018" t="str">
            <v>ud</v>
          </cell>
          <cell r="D8018">
            <v>0</v>
          </cell>
          <cell r="E8018">
            <v>20.86</v>
          </cell>
          <cell r="F8018">
            <v>20.86</v>
          </cell>
        </row>
        <row r="8019">
          <cell r="A8019" t="str">
            <v>420637</v>
          </cell>
          <cell r="B8019" t="str">
            <v>Braçadeira (plastica) em PVC, cor cinza, ref. ABR-15, fab. WETZEL ou similar, bitola 3/4" (288592)</v>
          </cell>
          <cell r="C8019" t="str">
            <v>ud</v>
          </cell>
          <cell r="D8019">
            <v>0</v>
          </cell>
          <cell r="E8019">
            <v>1.1100000000000001</v>
          </cell>
          <cell r="F8019">
            <v>1.1100000000000001</v>
          </cell>
        </row>
        <row r="8020">
          <cell r="A8020" t="str">
            <v>420638</v>
          </cell>
          <cell r="B8020" t="str">
            <v>Braçadeira (plastica) em PVC, cor cinza, ref. ABR-20, fab. WETZEL ou similar, bitola 1" (294176)</v>
          </cell>
          <cell r="C8020" t="str">
            <v>ud</v>
          </cell>
          <cell r="D8020">
            <v>0</v>
          </cell>
          <cell r="E8020">
            <v>1.1499999999999999</v>
          </cell>
          <cell r="F8020">
            <v>1.1499999999999999</v>
          </cell>
        </row>
        <row r="8021">
          <cell r="A8021" t="str">
            <v>420639</v>
          </cell>
          <cell r="B8021" t="str">
            <v>Braçadeira (plastica) em PVC, cor cinza, ref. ABR-25, fab. WETZEL ou similar, bitola 1.1/4"</v>
          </cell>
          <cell r="C8021" t="str">
            <v>ud</v>
          </cell>
          <cell r="D8021">
            <v>0</v>
          </cell>
          <cell r="E8021">
            <v>1.43</v>
          </cell>
          <cell r="F8021">
            <v>1.43</v>
          </cell>
        </row>
        <row r="8022">
          <cell r="A8022" t="str">
            <v>420640</v>
          </cell>
          <cell r="B8022" t="str">
            <v>Braçadeira (plastica) em PVC, cor cinza, ref. ABR-30, fab. WETZEL ou similar, bitola 1.1/2" (294389)</v>
          </cell>
          <cell r="C8022" t="str">
            <v>ud</v>
          </cell>
          <cell r="D8022">
            <v>0</v>
          </cell>
          <cell r="E8022">
            <v>1.47</v>
          </cell>
          <cell r="F8022">
            <v>1.47</v>
          </cell>
        </row>
        <row r="8023">
          <cell r="A8023" t="str">
            <v>420641</v>
          </cell>
          <cell r="B8023" t="str">
            <v>Braçadeira tipo "C" para caixa "CN", em aluminio 2mm</v>
          </cell>
          <cell r="C8023" t="str">
            <v>ud</v>
          </cell>
          <cell r="D8023">
            <v>0</v>
          </cell>
          <cell r="E8023">
            <v>13.09</v>
          </cell>
          <cell r="F8023">
            <v>13.09</v>
          </cell>
        </row>
        <row r="8024">
          <cell r="A8024" t="str">
            <v>420642</v>
          </cell>
          <cell r="B8024" t="str">
            <v>Braçadeira tipo porta bandeira simples,  tipo PRT-522, fab: PARATEC ou similar, bitola 1.1/2"</v>
          </cell>
          <cell r="C8024" t="str">
            <v>ud</v>
          </cell>
          <cell r="D8024">
            <v>0</v>
          </cell>
          <cell r="E8024">
            <v>13.2</v>
          </cell>
          <cell r="F8024">
            <v>13.2</v>
          </cell>
        </row>
        <row r="8025">
          <cell r="A8025" t="str">
            <v>420643</v>
          </cell>
          <cell r="B8025" t="str">
            <v>Braçadeira tipo unha, em liga de alumínio, ref. BC, fab. DAISA ou similar, bitola 3/4" (292582)</v>
          </cell>
          <cell r="C8025" t="str">
            <v>ud</v>
          </cell>
          <cell r="D8025">
            <v>0</v>
          </cell>
          <cell r="E8025">
            <v>1.32</v>
          </cell>
          <cell r="F8025">
            <v>1.32</v>
          </cell>
        </row>
        <row r="8026">
          <cell r="A8026" t="str">
            <v>420644</v>
          </cell>
          <cell r="B8026" t="str">
            <v>Braçadeira tipo unha, em liga de alumínio, ref. BC, fab. DAISA ou similar, bitola 1" (290542)</v>
          </cell>
          <cell r="C8026" t="str">
            <v>ud</v>
          </cell>
          <cell r="D8026">
            <v>0</v>
          </cell>
          <cell r="E8026">
            <v>2.4500000000000002</v>
          </cell>
          <cell r="F8026">
            <v>2.4500000000000002</v>
          </cell>
        </row>
        <row r="8027">
          <cell r="A8027" t="str">
            <v>420645</v>
          </cell>
          <cell r="B8027" t="str">
            <v>Braçadeira tipo unha, em liga de alumínio, ref. BC, fab. DAISA ou similar, bitola 1.1/4"</v>
          </cell>
          <cell r="C8027" t="str">
            <v>ud</v>
          </cell>
          <cell r="D8027">
            <v>0</v>
          </cell>
          <cell r="E8027">
            <v>4.63</v>
          </cell>
          <cell r="F8027">
            <v>4.63</v>
          </cell>
        </row>
        <row r="8028">
          <cell r="A8028" t="str">
            <v>420646</v>
          </cell>
          <cell r="B8028" t="str">
            <v>Braçadeira tipo unha, em liga de alumínio, ref. BC, fab. DAISA ou similar, bitola 1.1/2" (299483)</v>
          </cell>
          <cell r="C8028" t="str">
            <v>ud</v>
          </cell>
          <cell r="D8028">
            <v>0</v>
          </cell>
          <cell r="E8028">
            <v>4.8</v>
          </cell>
          <cell r="F8028">
            <v>4.8</v>
          </cell>
        </row>
        <row r="8029">
          <cell r="A8029" t="str">
            <v>420647</v>
          </cell>
          <cell r="B8029" t="str">
            <v>Braçadeira tipo unha, em liga de alumínio, ref. BC, fab. DAISA ou similar, bitola 2" (292579)</v>
          </cell>
          <cell r="C8029" t="str">
            <v>ud</v>
          </cell>
          <cell r="D8029">
            <v>0</v>
          </cell>
          <cell r="E8029">
            <v>8.49</v>
          </cell>
          <cell r="F8029">
            <v>8.49</v>
          </cell>
        </row>
        <row r="8030">
          <cell r="A8030" t="str">
            <v>420648</v>
          </cell>
          <cell r="B8030" t="str">
            <v>Braçadeira tipo unha, em liga de alumínio, ref. BC, fab. DAISA ou similar, bitola 2.1/2"</v>
          </cell>
          <cell r="C8030" t="str">
            <v>ud</v>
          </cell>
          <cell r="D8030">
            <v>0</v>
          </cell>
          <cell r="E8030">
            <v>21.22</v>
          </cell>
          <cell r="F8030">
            <v>21.22</v>
          </cell>
        </row>
        <row r="8031">
          <cell r="A8031" t="str">
            <v>420649</v>
          </cell>
          <cell r="B8031" t="str">
            <v>Braçadeira tipo unha, em liga de alumínio, ref. BC, fab. DAISA ou similar, bitola 3" (289975)</v>
          </cell>
          <cell r="C8031" t="str">
            <v>ud</v>
          </cell>
          <cell r="D8031">
            <v>0</v>
          </cell>
          <cell r="E8031">
            <v>27.17</v>
          </cell>
          <cell r="F8031">
            <v>27.17</v>
          </cell>
        </row>
        <row r="8032">
          <cell r="A8032" t="str">
            <v>420650</v>
          </cell>
          <cell r="B8032" t="str">
            <v>Braçadeira tipo unha, em liga de alumínio, ref. BC, fab. DAISA ou similar, bitola 4"</v>
          </cell>
          <cell r="C8032" t="str">
            <v>ud</v>
          </cell>
          <cell r="D8032">
            <v>0</v>
          </cell>
          <cell r="E8032">
            <v>53.48</v>
          </cell>
          <cell r="F8032">
            <v>53.48</v>
          </cell>
        </row>
        <row r="8033">
          <cell r="A8033" t="str">
            <v>420651</v>
          </cell>
          <cell r="B8033" t="str">
            <v>Braçadeira para suporte de cabo isolado 50mm, em aço carbono, conforme NTC 811740 - Copel</v>
          </cell>
          <cell r="C8033" t="str">
            <v>ud</v>
          </cell>
          <cell r="D8033">
            <v>0</v>
          </cell>
          <cell r="E8033">
            <v>74.45</v>
          </cell>
          <cell r="F8033">
            <v>74.45</v>
          </cell>
        </row>
        <row r="8034">
          <cell r="A8034" t="str">
            <v>420652</v>
          </cell>
          <cell r="B8034" t="str">
            <v xml:space="preserve">Braçadeira tipo D, em aço galvanizado a fogo (chapa 18), com parafuso e porca em aço inox 304, bitola 3/4", ref. BTU/D-02, fab. BLINDA ou similar </v>
          </cell>
          <cell r="C8034" t="str">
            <v>ud</v>
          </cell>
          <cell r="D8034">
            <v>0</v>
          </cell>
          <cell r="E8034">
            <v>18.12</v>
          </cell>
          <cell r="F8034">
            <v>18.12</v>
          </cell>
        </row>
        <row r="8035">
          <cell r="A8035" t="str">
            <v>420653</v>
          </cell>
          <cell r="B8035" t="str">
            <v>Braçadeira tipo D, em aço galvanizado a fogo (chapa 18), com parafuso e porca em aço inox 304, bitola 1", ref. BTU/D-03, fab. BLINDA ou similar</v>
          </cell>
          <cell r="C8035" t="str">
            <v>ud</v>
          </cell>
          <cell r="D8035">
            <v>0</v>
          </cell>
          <cell r="E8035">
            <v>23.28</v>
          </cell>
          <cell r="F8035">
            <v>23.28</v>
          </cell>
        </row>
        <row r="8036">
          <cell r="A8036" t="str">
            <v>420654</v>
          </cell>
          <cell r="B8036" t="str">
            <v>Braçadeira tipo D, em aço galvanizado a fogo (chapa 18), com parafuso e porca em aço inox 304,  bitola 1.1/4", ref. BTU/D-04, fab. BLINDA ou similar</v>
          </cell>
          <cell r="C8036" t="str">
            <v>ud</v>
          </cell>
          <cell r="D8036">
            <v>0</v>
          </cell>
          <cell r="E8036">
            <v>26.47</v>
          </cell>
          <cell r="F8036">
            <v>26.47</v>
          </cell>
        </row>
        <row r="8037">
          <cell r="A8037" t="str">
            <v>420655</v>
          </cell>
          <cell r="B8037" t="str">
            <v>Braçadeira tipo D, em aço galvanizado a fogo (chapa 16), com parafuso e porca em aço inox 304, bitola 1.1/2", ref. BTU/D-05, fab. BLINDA ou similar</v>
          </cell>
          <cell r="C8037" t="str">
            <v>ud</v>
          </cell>
          <cell r="D8037">
            <v>0</v>
          </cell>
          <cell r="E8037">
            <v>30.06</v>
          </cell>
          <cell r="F8037">
            <v>30.06</v>
          </cell>
        </row>
        <row r="8038">
          <cell r="A8038" t="str">
            <v>420656</v>
          </cell>
          <cell r="B8038" t="str">
            <v>Braçadeira tipo D, em aço galvanizado a fogo (chapa 16), com parafuso e porca em aço inox 304, bitola 2", ref. BTU/D-06, fab. BLINDA ou similar</v>
          </cell>
          <cell r="C8038" t="str">
            <v>ud</v>
          </cell>
          <cell r="D8038">
            <v>0</v>
          </cell>
          <cell r="E8038">
            <v>33.590000000000003</v>
          </cell>
          <cell r="F8038">
            <v>33.590000000000003</v>
          </cell>
        </row>
        <row r="8039">
          <cell r="A8039" t="str">
            <v>420657</v>
          </cell>
          <cell r="B8039" t="str">
            <v>Braçadeira tipo D, em aço galvanizado a fogo (chapa 14), com parafuso e porca em aço inox 304, bitola 2.1/2", ref. BTU/D-07, fab. BLINDA ou similar</v>
          </cell>
          <cell r="C8039" t="str">
            <v>ud</v>
          </cell>
          <cell r="D8039">
            <v>0</v>
          </cell>
          <cell r="E8039">
            <v>41.59</v>
          </cell>
          <cell r="F8039">
            <v>41.59</v>
          </cell>
        </row>
        <row r="8040">
          <cell r="A8040" t="str">
            <v>420658</v>
          </cell>
          <cell r="B8040" t="str">
            <v>Braçadeira tipo D, em aço galvanizado a fogo (chapa 14), com parafuso e porca em aço inox 304, bitola 3", ref. BTU/D-08, fab. BLINDA ou similar</v>
          </cell>
          <cell r="C8040" t="str">
            <v>ud</v>
          </cell>
          <cell r="D8040">
            <v>0</v>
          </cell>
          <cell r="E8040">
            <v>56.78</v>
          </cell>
          <cell r="F8040">
            <v>56.78</v>
          </cell>
        </row>
        <row r="8041">
          <cell r="A8041" t="str">
            <v>420659</v>
          </cell>
          <cell r="B8041" t="str">
            <v>Braçadeira tipo D, em aço galvanizado a fogo (chapa 14), com parafuso e porca em aço inox 304, bitola 4", ref. BTU/D-10, fab. BLINDA ou similar</v>
          </cell>
          <cell r="C8041" t="str">
            <v>ud</v>
          </cell>
          <cell r="D8041">
            <v>0</v>
          </cell>
          <cell r="E8041">
            <v>74.650000000000006</v>
          </cell>
          <cell r="F8041">
            <v>74.650000000000006</v>
          </cell>
        </row>
        <row r="8042">
          <cell r="A8042" t="str">
            <v>420660</v>
          </cell>
          <cell r="B8042" t="str">
            <v>Braçadeira U perfil, em aço galvanizado a fogo (chapa 18), com parafuso e porca em aço inox 304, ref. DP631, fab. DISPAN ou similar,  bitola 3/4"</v>
          </cell>
          <cell r="C8042" t="str">
            <v>ud</v>
          </cell>
          <cell r="D8042">
            <v>0</v>
          </cell>
          <cell r="E8042">
            <v>1.37</v>
          </cell>
          <cell r="F8042">
            <v>1.37</v>
          </cell>
        </row>
        <row r="8043">
          <cell r="A8043" t="str">
            <v>420661</v>
          </cell>
          <cell r="B8043" t="str">
            <v>Braçadeira U perfil, em aço galvanizado a fogo (chapa 18), com parafuso e porca em aço inox 304, ref. DP631, fab. DISPAN ou similar,  bitola 1"</v>
          </cell>
          <cell r="C8043" t="str">
            <v>ud</v>
          </cell>
          <cell r="D8043">
            <v>0</v>
          </cell>
          <cell r="E8043">
            <v>1.73</v>
          </cell>
          <cell r="F8043">
            <v>1.73</v>
          </cell>
        </row>
        <row r="8044">
          <cell r="A8044" t="str">
            <v>420662</v>
          </cell>
          <cell r="B8044" t="str">
            <v>Braçadeira U perfil, em aço galvanizado a fogo (chapa 18), com parafuso e porca em aço inox 304, ref. DP631, fab. DISPAN ou similar,  bitola 1.1/4"</v>
          </cell>
          <cell r="C8044" t="str">
            <v>ud</v>
          </cell>
          <cell r="D8044">
            <v>0</v>
          </cell>
          <cell r="E8044">
            <v>2.2599999999999998</v>
          </cell>
          <cell r="F8044">
            <v>2.2599999999999998</v>
          </cell>
        </row>
        <row r="8045">
          <cell r="A8045" t="str">
            <v>420663</v>
          </cell>
          <cell r="B8045" t="str">
            <v>Braçadeira U perfil, em aço galvanizado a fogo (chapa 16), com parafuso e porca em aço inox 304, ref. DP631, fab. DISPAN ou similar,  bitola 1.1/2"</v>
          </cell>
          <cell r="C8045" t="str">
            <v>ud</v>
          </cell>
          <cell r="D8045">
            <v>0</v>
          </cell>
          <cell r="E8045">
            <v>2.16</v>
          </cell>
          <cell r="F8045">
            <v>2.16</v>
          </cell>
        </row>
        <row r="8046">
          <cell r="A8046" t="str">
            <v>420664</v>
          </cell>
          <cell r="B8046" t="str">
            <v>Braçadeira U perfil, em aço galvanizado a fogo (chapa 16), com parafuso e porca em aço inox 304, ref. DP631, fab. DISPAN ou similar,  bitola 2"</v>
          </cell>
          <cell r="C8046" t="str">
            <v>ud</v>
          </cell>
          <cell r="D8046">
            <v>0</v>
          </cell>
          <cell r="E8046">
            <v>2.39</v>
          </cell>
          <cell r="F8046">
            <v>2.39</v>
          </cell>
        </row>
        <row r="8047">
          <cell r="A8047" t="str">
            <v>420665</v>
          </cell>
          <cell r="B8047" t="str">
            <v>Braçadeira U perfil, em aço galvanizado a fogo (chapa 14), com parafuso e porca em aço inox 304, ref. DP631, fab. DISPAN ou similar,  bitola 2.1/2"</v>
          </cell>
          <cell r="C8047" t="str">
            <v>ud</v>
          </cell>
          <cell r="D8047">
            <v>0</v>
          </cell>
          <cell r="E8047">
            <v>3.07</v>
          </cell>
          <cell r="F8047">
            <v>3.07</v>
          </cell>
        </row>
        <row r="8048">
          <cell r="A8048" t="str">
            <v>420666</v>
          </cell>
          <cell r="B8048" t="str">
            <v>Braçadeira U perfil, em aço galvanizado a fogo (chapa 14), com parafuso e porca em aço inox 304, ref. DP631, fab. DISPAN ou similar,  bitola 3"</v>
          </cell>
          <cell r="C8048" t="str">
            <v>ud</v>
          </cell>
          <cell r="D8048">
            <v>0</v>
          </cell>
          <cell r="E8048">
            <v>3.81</v>
          </cell>
          <cell r="F8048">
            <v>3.81</v>
          </cell>
        </row>
        <row r="8049">
          <cell r="A8049" t="str">
            <v>420667</v>
          </cell>
          <cell r="B8049" t="str">
            <v>Braçadeira U perfil, em aço galvanizado a fogo (chapa 14), com parafuso e porca em aço inox 304, ref. DP631, fab. DISPAN ou similar,  bitola 4"</v>
          </cell>
          <cell r="C8049" t="str">
            <v>ud</v>
          </cell>
          <cell r="D8049">
            <v>0</v>
          </cell>
          <cell r="E8049">
            <v>4.5999999999999996</v>
          </cell>
          <cell r="F8049">
            <v>4.5999999999999996</v>
          </cell>
        </row>
        <row r="8050">
          <cell r="A8050" t="str">
            <v>4207</v>
          </cell>
          <cell r="B8050" t="str">
            <v>CABOS FORÇA E DISTRIBUIÇÃO (COBRE E ALUMINIO)</v>
          </cell>
        </row>
        <row r="8051">
          <cell r="A8051" t="str">
            <v>420701</v>
          </cell>
          <cell r="B8051" t="str">
            <v>Cabo de cobre coberto com XLPE, 16 mm²/15kV, ref. PIRELLI ou similar</v>
          </cell>
          <cell r="C8051" t="str">
            <v>m</v>
          </cell>
          <cell r="D8051">
            <v>0</v>
          </cell>
          <cell r="E8051">
            <v>9.31</v>
          </cell>
          <cell r="F8051">
            <v>9.31</v>
          </cell>
        </row>
        <row r="8052">
          <cell r="A8052" t="str">
            <v>420702</v>
          </cell>
          <cell r="B8052" t="str">
            <v xml:space="preserve">Cabo de cobre coberto com XLPE, 35 mm²/15kV, ref. PIRELLI ou similar  </v>
          </cell>
          <cell r="C8052" t="str">
            <v>m</v>
          </cell>
          <cell r="D8052">
            <v>0</v>
          </cell>
          <cell r="E8052">
            <v>18.05</v>
          </cell>
          <cell r="F8052">
            <v>18.05</v>
          </cell>
        </row>
        <row r="8053">
          <cell r="A8053" t="str">
            <v>420703</v>
          </cell>
          <cell r="B8053" t="str">
            <v xml:space="preserve">Cabo de alumínio coberto com XLPE, 70 mm²/35kV, ref. PIRELLI ou similar  </v>
          </cell>
          <cell r="C8053" t="str">
            <v>m</v>
          </cell>
          <cell r="D8053">
            <v>0</v>
          </cell>
          <cell r="E8053">
            <v>16.61</v>
          </cell>
          <cell r="F8053">
            <v>16.61</v>
          </cell>
        </row>
        <row r="8054">
          <cell r="A8054" t="str">
            <v>420704</v>
          </cell>
          <cell r="B8054" t="str">
            <v>Cabo de alumínio com alma de aço, fab. ALCOA ou similar, bitola 04 AWG - CAA</v>
          </cell>
          <cell r="C8054" t="str">
            <v>m</v>
          </cell>
          <cell r="D8054">
            <v>0</v>
          </cell>
          <cell r="E8054">
            <v>1.58</v>
          </cell>
          <cell r="F8054">
            <v>1.58</v>
          </cell>
        </row>
        <row r="8055">
          <cell r="A8055" t="str">
            <v>420705</v>
          </cell>
          <cell r="B8055" t="str">
            <v>Cabo de alumínio com alma de aço, fab. ALCOA ou similar, bitola 02 AWG - CAA</v>
          </cell>
          <cell r="C8055" t="str">
            <v>m</v>
          </cell>
          <cell r="D8055">
            <v>0</v>
          </cell>
          <cell r="E8055">
            <v>2.08</v>
          </cell>
          <cell r="F8055">
            <v>2.08</v>
          </cell>
        </row>
        <row r="8056">
          <cell r="A8056" t="str">
            <v>420706</v>
          </cell>
          <cell r="B8056" t="str">
            <v>Cabo de alumínio com alma de aço, fab. ALCOA ou similar, bitola 1/0 AWG - CAA</v>
          </cell>
          <cell r="C8056" t="str">
            <v>m</v>
          </cell>
          <cell r="D8056">
            <v>0</v>
          </cell>
          <cell r="E8056">
            <v>3.99</v>
          </cell>
          <cell r="F8056">
            <v>3.99</v>
          </cell>
        </row>
        <row r="8057">
          <cell r="A8057" t="str">
            <v>420707</v>
          </cell>
          <cell r="B8057" t="str">
            <v>Cabo de alumínio com alma de aço, fab. ALCOA ou similar, bitola 2/0 AWG - CAA</v>
          </cell>
          <cell r="C8057" t="str">
            <v>m</v>
          </cell>
          <cell r="D8057">
            <v>0</v>
          </cell>
          <cell r="E8057">
            <v>5.0199999999999996</v>
          </cell>
          <cell r="F8057">
            <v>5.0199999999999996</v>
          </cell>
        </row>
        <row r="8058">
          <cell r="A8058" t="str">
            <v>420708</v>
          </cell>
          <cell r="B8058" t="str">
            <v>Cabo de alumínio com alma de aço, fab. ALCOA ou similar, bitola 4/0 AWG - CAA</v>
          </cell>
          <cell r="C8058" t="str">
            <v>m</v>
          </cell>
          <cell r="D8058">
            <v>0</v>
          </cell>
          <cell r="E8058">
            <v>8</v>
          </cell>
          <cell r="F8058">
            <v>8</v>
          </cell>
        </row>
        <row r="8059">
          <cell r="A8059" t="str">
            <v>420709</v>
          </cell>
          <cell r="B8059" t="str">
            <v>Cabo de alumínio sem alma de aço, fab. ALCOA ou similar, bitola 04 AWG - CA</v>
          </cell>
          <cell r="C8059" t="str">
            <v>m</v>
          </cell>
          <cell r="D8059">
            <v>0</v>
          </cell>
          <cell r="E8059">
            <v>1.36</v>
          </cell>
          <cell r="F8059">
            <v>1.36</v>
          </cell>
        </row>
        <row r="8060">
          <cell r="A8060" t="str">
            <v>420710</v>
          </cell>
          <cell r="B8060" t="str">
            <v>Cabo de alumínio sem alma de aço, fab. ALCOA ou similar, bitola 02 AWG - CA</v>
          </cell>
          <cell r="C8060" t="str">
            <v>m</v>
          </cell>
          <cell r="D8060">
            <v>0</v>
          </cell>
          <cell r="E8060">
            <v>2.09</v>
          </cell>
          <cell r="F8060">
            <v>2.09</v>
          </cell>
        </row>
        <row r="8061">
          <cell r="A8061" t="str">
            <v>420711</v>
          </cell>
          <cell r="B8061" t="str">
            <v>Cabo de alumínio sem alma de aço, fab. ALCOA ou similar, bitola 1/0 AWG - CA</v>
          </cell>
          <cell r="C8061" t="str">
            <v>m</v>
          </cell>
          <cell r="D8061">
            <v>0</v>
          </cell>
          <cell r="E8061">
            <v>2.11</v>
          </cell>
          <cell r="F8061">
            <v>2.11</v>
          </cell>
        </row>
        <row r="8062">
          <cell r="A8062" t="str">
            <v>420712</v>
          </cell>
          <cell r="B8062" t="str">
            <v>Cabo de alumínio sem alma de aço, fab. ALCOA ou similar, bitola 2/0 AWG - CA</v>
          </cell>
          <cell r="C8062" t="str">
            <v>m</v>
          </cell>
          <cell r="D8062">
            <v>0</v>
          </cell>
          <cell r="E8062">
            <v>4.1900000000000004</v>
          </cell>
          <cell r="F8062">
            <v>4.1900000000000004</v>
          </cell>
        </row>
        <row r="8063">
          <cell r="A8063" t="str">
            <v>420713</v>
          </cell>
          <cell r="B8063" t="str">
            <v>Cabo de alumínio sem alma de aço, fab. ALCOA ou similar, bitola 4/0 AWG - CA</v>
          </cell>
          <cell r="C8063" t="str">
            <v>m</v>
          </cell>
          <cell r="D8063">
            <v>0</v>
          </cell>
          <cell r="E8063">
            <v>6.64</v>
          </cell>
          <cell r="F8063">
            <v>6.64</v>
          </cell>
        </row>
        <row r="8064">
          <cell r="A8064" t="str">
            <v>420714</v>
          </cell>
          <cell r="B8064" t="str">
            <v>Cabo de cobre nu, têmpera meio dura, classe 2A, fab. ALCOA ou similar, seção 10 mm² (286897)</v>
          </cell>
          <cell r="C8064" t="str">
            <v>m</v>
          </cell>
          <cell r="D8064">
            <v>0</v>
          </cell>
          <cell r="E8064">
            <v>4.16</v>
          </cell>
          <cell r="F8064">
            <v>4.16</v>
          </cell>
          <cell r="G8064">
            <v>862</v>
          </cell>
        </row>
        <row r="8065">
          <cell r="A8065" t="str">
            <v>420715</v>
          </cell>
          <cell r="B8065" t="str">
            <v>Cabo de cobre nu, têmpera meio dura, classe 2A, fab. ALCOA ou similar, seção 16 mm² (284401)</v>
          </cell>
          <cell r="C8065" t="str">
            <v>m</v>
          </cell>
          <cell r="D8065">
            <v>0</v>
          </cell>
          <cell r="E8065">
            <v>6.62</v>
          </cell>
          <cell r="F8065">
            <v>6.62</v>
          </cell>
          <cell r="G8065">
            <v>857</v>
          </cell>
        </row>
        <row r="8066">
          <cell r="A8066" t="str">
            <v>420716</v>
          </cell>
          <cell r="B8066" t="str">
            <v>Cabo de cobre nu, têmpera meio dura, classe 2A, fab. ALCOA ou similar, seção 25 mm² (260568)</v>
          </cell>
          <cell r="C8066" t="str">
            <v>m</v>
          </cell>
          <cell r="D8066">
            <v>0</v>
          </cell>
          <cell r="E8066">
            <v>10.220000000000001</v>
          </cell>
          <cell r="F8066">
            <v>10.220000000000001</v>
          </cell>
          <cell r="G8066">
            <v>868</v>
          </cell>
        </row>
        <row r="8067">
          <cell r="A8067" t="str">
            <v>420717</v>
          </cell>
          <cell r="B8067" t="str">
            <v>Cabo de cobre nu, têmpera meio dura, classe 2A, fab. ALCOA ou similar, seção 35 mm² (260576)</v>
          </cell>
          <cell r="C8067" t="str">
            <v>m</v>
          </cell>
          <cell r="D8067">
            <v>0</v>
          </cell>
          <cell r="E8067">
            <v>14.12</v>
          </cell>
          <cell r="F8067">
            <v>14.12</v>
          </cell>
          <cell r="G8067">
            <v>863</v>
          </cell>
        </row>
        <row r="8068">
          <cell r="A8068" t="str">
            <v>420718</v>
          </cell>
          <cell r="B8068" t="str">
            <v>Cabo de cobre nu, têmpera meio dura, classe 2A, fab. ALCOA ou similar, seção 50 mm² (81817)</v>
          </cell>
          <cell r="C8068" t="str">
            <v>m</v>
          </cell>
          <cell r="D8068">
            <v>0</v>
          </cell>
          <cell r="E8068">
            <v>19.670000000000002</v>
          </cell>
          <cell r="F8068">
            <v>19.670000000000002</v>
          </cell>
          <cell r="G8068">
            <v>867</v>
          </cell>
        </row>
        <row r="8069">
          <cell r="A8069" t="str">
            <v>420719</v>
          </cell>
          <cell r="B8069" t="str">
            <v>Cabo de cobre nu, têmpera meio dura, classe 2A, fab. ALCOA ou similar, seção 70 mm² (176621)</v>
          </cell>
          <cell r="C8069" t="str">
            <v>m</v>
          </cell>
          <cell r="D8069">
            <v>0</v>
          </cell>
          <cell r="E8069">
            <v>27.71</v>
          </cell>
          <cell r="F8069">
            <v>27.71</v>
          </cell>
          <cell r="G8069">
            <v>864</v>
          </cell>
        </row>
        <row r="8070">
          <cell r="A8070" t="str">
            <v>420720</v>
          </cell>
          <cell r="B8070" t="str">
            <v>Cabo de cobre nu, têmpera meio dura, classe 2A, fab. ALCOA ou similar, seção 95 mm²</v>
          </cell>
          <cell r="C8070" t="str">
            <v>m</v>
          </cell>
          <cell r="D8070">
            <v>0</v>
          </cell>
          <cell r="E8070">
            <v>39.03</v>
          </cell>
          <cell r="F8070">
            <v>39.03</v>
          </cell>
          <cell r="G8070">
            <v>865</v>
          </cell>
        </row>
        <row r="8071">
          <cell r="A8071" t="str">
            <v>420721</v>
          </cell>
          <cell r="B8071" t="str">
            <v>Cabo de cobre nu, têmpera meio dura, classe 2A, fab. ALCOA ou similar, seção 120 mm²</v>
          </cell>
          <cell r="C8071" t="str">
            <v>m</v>
          </cell>
          <cell r="D8071">
            <v>0</v>
          </cell>
          <cell r="E8071">
            <v>51.13</v>
          </cell>
          <cell r="F8071">
            <v>51.13</v>
          </cell>
          <cell r="G8071">
            <v>866</v>
          </cell>
        </row>
        <row r="8072">
          <cell r="A8072" t="str">
            <v>420722</v>
          </cell>
          <cell r="B8072" t="str">
            <v>Cabo de cobre, têmpera mole, classe 2, 750V, PVC 70ºC, BWF antiflam, tipo Superastic, fab. PRYSMIAN (PIRELLI) ou similar, seção 10mm² (275832)</v>
          </cell>
          <cell r="C8072" t="str">
            <v>m</v>
          </cell>
          <cell r="D8072">
            <v>0</v>
          </cell>
          <cell r="E8072">
            <v>3.53</v>
          </cell>
          <cell r="F8072">
            <v>3.53</v>
          </cell>
        </row>
        <row r="8073">
          <cell r="A8073" t="str">
            <v>420723</v>
          </cell>
          <cell r="B8073" t="str">
            <v>Cabo de cobre, têmpera mole, classe 2, 750V, PVC 70ºC, BWF antiflam, tipo Superastic, fab. PRYSMIAN (PIRELLI) ou similar, seção 16mm² (120472)</v>
          </cell>
          <cell r="C8073" t="str">
            <v>m</v>
          </cell>
          <cell r="D8073">
            <v>0</v>
          </cell>
          <cell r="E8073">
            <v>6.22</v>
          </cell>
          <cell r="F8073">
            <v>6.22</v>
          </cell>
        </row>
        <row r="8074">
          <cell r="A8074" t="str">
            <v>420724</v>
          </cell>
          <cell r="B8074" t="str">
            <v>Cabo de cobre, têmpera mole, classe 2, 750V, PVC 70ºC, BWF antiflam, tipo Superastic, fab. PRYSMIAN (PIRELLI) ou similar, seção 25mm² (120405)</v>
          </cell>
          <cell r="C8074" t="str">
            <v>m</v>
          </cell>
          <cell r="D8074">
            <v>0</v>
          </cell>
          <cell r="E8074">
            <v>9.68</v>
          </cell>
          <cell r="F8074">
            <v>9.68</v>
          </cell>
        </row>
        <row r="8075">
          <cell r="A8075" t="str">
            <v>420725</v>
          </cell>
          <cell r="B8075" t="str">
            <v>Cabo de cobre, têmpera mole, classe 2, 750V, PVC 70ºC, BWF antiflam, tipo Superastic, fab. PRYSMIAN (PIRELLI) ou similar, seção 35mm² (120448)</v>
          </cell>
          <cell r="C8075" t="str">
            <v>m</v>
          </cell>
          <cell r="D8075">
            <v>0</v>
          </cell>
          <cell r="E8075">
            <v>13.3</v>
          </cell>
          <cell r="F8075">
            <v>13.3</v>
          </cell>
        </row>
        <row r="8076">
          <cell r="A8076" t="str">
            <v>420726</v>
          </cell>
          <cell r="B8076" t="str">
            <v>Cabo de cobre, têmpera mole, classe 2, 750V, PVC 70ºC, BWF antiflam, tipo Superastic, fab. PRYSMIAN (PIRELLI) ou similar, seção 50mm² (120413)</v>
          </cell>
          <cell r="C8076" t="str">
            <v>m</v>
          </cell>
          <cell r="D8076">
            <v>0</v>
          </cell>
          <cell r="E8076">
            <v>18.02</v>
          </cell>
          <cell r="F8076">
            <v>18.02</v>
          </cell>
        </row>
        <row r="8077">
          <cell r="A8077" t="str">
            <v>420727</v>
          </cell>
          <cell r="B8077" t="str">
            <v>Cabo de cobre, têmpera mole, classe 2, 750V, PVC 70ºC, BWF antiflam, tipo Superastic, fab. PRYSMIAN (PIRELLI) ou similar, seção 70mm² (120421)</v>
          </cell>
          <cell r="C8077" t="str">
            <v>m</v>
          </cell>
          <cell r="D8077">
            <v>0</v>
          </cell>
          <cell r="E8077">
            <v>25.63</v>
          </cell>
          <cell r="F8077">
            <v>25.63</v>
          </cell>
        </row>
        <row r="8078">
          <cell r="A8078" t="str">
            <v>420728</v>
          </cell>
          <cell r="B8078" t="str">
            <v>Cabo de cobre, têmpera mole, classe 2, 750V, PVC 70ºC, BWF antiflam, tipo Superastic, fab. PRYSMIAN (PIRELLI) ou similar, seção 95mm² (120430)</v>
          </cell>
          <cell r="C8078" t="str">
            <v>m</v>
          </cell>
          <cell r="D8078">
            <v>0</v>
          </cell>
          <cell r="E8078">
            <v>34.950000000000003</v>
          </cell>
          <cell r="F8078">
            <v>34.950000000000003</v>
          </cell>
        </row>
        <row r="8079">
          <cell r="A8079" t="str">
            <v>420729</v>
          </cell>
          <cell r="B8079" t="str">
            <v>Cabo de cobre, têmpera mole, classe 2, 750V, PVC 70ºC, BWF antiflam, tipo Superastic, fab. PRYSMIAN (PIRELLI) ou similar, seção 120mm² (120456)</v>
          </cell>
          <cell r="C8079" t="str">
            <v>m</v>
          </cell>
          <cell r="D8079">
            <v>0</v>
          </cell>
          <cell r="E8079">
            <v>49.42</v>
          </cell>
          <cell r="F8079">
            <v>49.42</v>
          </cell>
        </row>
        <row r="8080">
          <cell r="A8080" t="str">
            <v>420730</v>
          </cell>
          <cell r="B8080" t="str">
            <v>Cabo de cobre, têmpera mole, classe 2, 750V, PVC 70ºC, BWF antiflam, tipo Superastic, fab. PRYSMIAN (PIRELLI) ou similar, seção 150mm²</v>
          </cell>
          <cell r="C8080" t="str">
            <v>m</v>
          </cell>
          <cell r="D8080">
            <v>0</v>
          </cell>
          <cell r="E8080">
            <v>60.42</v>
          </cell>
          <cell r="F8080">
            <v>60.42</v>
          </cell>
        </row>
        <row r="8081">
          <cell r="A8081" t="str">
            <v>420731</v>
          </cell>
          <cell r="B8081" t="str">
            <v>Cabo de cobre, têmpera mole, classe 2, 750V, PVC 70ºC, BWF antiflam, tipo Superastic, fab. PRYSMIAN (PIRELLI) ou similar, seção 185mm²</v>
          </cell>
          <cell r="C8081" t="str">
            <v>m</v>
          </cell>
          <cell r="D8081">
            <v>0</v>
          </cell>
          <cell r="E8081">
            <v>74.59</v>
          </cell>
          <cell r="F8081">
            <v>74.59</v>
          </cell>
        </row>
        <row r="8082">
          <cell r="A8082" t="str">
            <v>420732</v>
          </cell>
          <cell r="B8082" t="str">
            <v>Cabo de cobre, têmpera mole, classe 2, 750V, PVC 70ºC, BWF antiflam, tipo Superastic, fab. PRYSMIAN (PIRELLI) ou similar, seção 240mm²</v>
          </cell>
          <cell r="C8082" t="str">
            <v>m</v>
          </cell>
          <cell r="D8082">
            <v>0</v>
          </cell>
          <cell r="E8082">
            <v>97.27</v>
          </cell>
          <cell r="F8082">
            <v>97.27</v>
          </cell>
        </row>
        <row r="8083">
          <cell r="A8083" t="str">
            <v>420733</v>
          </cell>
          <cell r="B8083" t="str">
            <v>Cabo de cobre, têmpera mole, classe 2, 750V, PVC 70ºC, BWF antiflam, tipo Superastic, fab. PRYSMIAN (PIRELLI) ou similar, seção 300mm²</v>
          </cell>
          <cell r="C8083" t="str">
            <v>m</v>
          </cell>
          <cell r="D8083">
            <v>0</v>
          </cell>
          <cell r="E8083">
            <v>123.96</v>
          </cell>
          <cell r="F8083">
            <v>123.96</v>
          </cell>
        </row>
        <row r="8084">
          <cell r="A8084" t="str">
            <v>420734</v>
          </cell>
          <cell r="B8084" t="str">
            <v>Cabo de cobre, têmpera mole, classe 5, 750V, PVC 70ºC, BWF antiflam, tipo Superastic Flex, fab. PRYSMIAN (PIRELLI) ou similar, seção 1,5mm²</v>
          </cell>
          <cell r="C8084" t="str">
            <v>m</v>
          </cell>
          <cell r="D8084">
            <v>0</v>
          </cell>
          <cell r="E8084">
            <v>0.59</v>
          </cell>
          <cell r="F8084">
            <v>0.59</v>
          </cell>
        </row>
        <row r="8085">
          <cell r="A8085" t="str">
            <v>420735</v>
          </cell>
          <cell r="B8085" t="str">
            <v>Cabo de cobre, têmpera mole, classe 5, 750V, PVC 70ºC, BWF antiflam, tipo Superastic Flex, fab. PRYSMIAN (PIRELLI) ou similar, seção 2,5mm²</v>
          </cell>
          <cell r="C8085" t="str">
            <v>m</v>
          </cell>
          <cell r="D8085">
            <v>0</v>
          </cell>
          <cell r="E8085">
            <v>0.93</v>
          </cell>
          <cell r="F8085">
            <v>0.93</v>
          </cell>
        </row>
        <row r="8086">
          <cell r="A8086" t="str">
            <v>420736</v>
          </cell>
          <cell r="B8086" t="str">
            <v>Cabo de cobre, têmpera mole, classe 5, 750V, PVC 70ºC, BWF antiflam, tipo Superastic Flex, fab. PRYSMIAN (PIRELLI) ou similar, seção 4mm² (267945)</v>
          </cell>
          <cell r="C8086" t="str">
            <v>m</v>
          </cell>
          <cell r="D8086">
            <v>0</v>
          </cell>
          <cell r="E8086">
            <v>1.46</v>
          </cell>
          <cell r="F8086">
            <v>1.46</v>
          </cell>
        </row>
        <row r="8087">
          <cell r="A8087" t="str">
            <v>420737</v>
          </cell>
          <cell r="B8087" t="str">
            <v>Cabo de cobre, têmpera mole, classe 5, 750V, PVC 70ºC, BWF antiflam, tipo Superastic Flex, fab. PRYSMIAN (PIRELLI) ou similar, seção 6mm² (258431)</v>
          </cell>
          <cell r="C8087" t="str">
            <v>m</v>
          </cell>
          <cell r="D8087">
            <v>0</v>
          </cell>
          <cell r="E8087">
            <v>2.1</v>
          </cell>
          <cell r="F8087">
            <v>2.1</v>
          </cell>
        </row>
        <row r="8088">
          <cell r="A8088" t="str">
            <v>420738</v>
          </cell>
          <cell r="B8088" t="str">
            <v>Cabo de cobre, têmpera mole, classe 5, 750V, PVC 70ºC, BWF antiflam, tipo Superastic Flex, fab. PRYSMIAN (PIRELLI) ou similar, seção 10mm² (243671)</v>
          </cell>
          <cell r="C8088" t="str">
            <v>m</v>
          </cell>
          <cell r="D8088">
            <v>0</v>
          </cell>
          <cell r="E8088">
            <v>5.31</v>
          </cell>
          <cell r="F8088">
            <v>5.31</v>
          </cell>
        </row>
        <row r="8089">
          <cell r="A8089" t="str">
            <v>420739</v>
          </cell>
          <cell r="B8089" t="str">
            <v>Cabo de cobre, têmpera mole, classe 5, 750V, PVC 70ºC, BWF antiflam, tipo Superastic Flex, fab. PRYSMIAN (PIRELLI) ou similar, seção 16mm² (258431)</v>
          </cell>
          <cell r="C8089" t="str">
            <v>m</v>
          </cell>
          <cell r="D8089">
            <v>0</v>
          </cell>
          <cell r="E8089">
            <v>5.58</v>
          </cell>
          <cell r="F8089">
            <v>5.58</v>
          </cell>
        </row>
        <row r="8090">
          <cell r="A8090" t="str">
            <v>420740</v>
          </cell>
          <cell r="B8090" t="str">
            <v>Cabo de cobre, têmpera mole, classe 5, 750V, PVC 70ºC, BWF antiflam, tipo Superastic Flex, fab. PRYSMIAN (PIRELLI) ou similar, seção 25mm² (258423)</v>
          </cell>
          <cell r="C8090" t="str">
            <v>m</v>
          </cell>
          <cell r="D8090">
            <v>0</v>
          </cell>
          <cell r="E8090">
            <v>8.7100000000000009</v>
          </cell>
          <cell r="F8090">
            <v>8.7100000000000009</v>
          </cell>
        </row>
        <row r="8091">
          <cell r="A8091" t="str">
            <v>420741</v>
          </cell>
          <cell r="B8091" t="str">
            <v>Cabo de cobre, têmpera mole, classe 5, 750V, PVC 70ºC, BWF antiflam, tipo Superastic Flex, fab. PRYSMIAN (PIRELLI) ou similar, seção 35mm²</v>
          </cell>
          <cell r="C8091" t="str">
            <v>m</v>
          </cell>
          <cell r="D8091">
            <v>0</v>
          </cell>
          <cell r="E8091">
            <v>12.03</v>
          </cell>
          <cell r="F8091">
            <v>12.03</v>
          </cell>
        </row>
        <row r="8092">
          <cell r="A8092" t="str">
            <v>420742</v>
          </cell>
          <cell r="B8092" t="str">
            <v>Cabo de cobre, têmpera mole, classe 5, 1kV, tipo Sintenax Flex, fab. PRYSMIAN (PIRELLI) ou similar, seção 1,5mm² (294196)</v>
          </cell>
          <cell r="C8092" t="str">
            <v>m</v>
          </cell>
          <cell r="D8092">
            <v>0</v>
          </cell>
          <cell r="E8092">
            <v>1.22</v>
          </cell>
          <cell r="F8092">
            <v>1.22</v>
          </cell>
          <cell r="G8092">
            <v>993</v>
          </cell>
        </row>
        <row r="8093">
          <cell r="A8093" t="str">
            <v>420743</v>
          </cell>
          <cell r="B8093" t="str">
            <v>Cabo de cobre, têmpera mole, classe 5, 1kV, tipo Sintenax Flex, fab. PRYSMIAN (PIRELLI) ou similar, seção 2,5mm² (294197)</v>
          </cell>
          <cell r="C8093" t="str">
            <v>m</v>
          </cell>
          <cell r="D8093">
            <v>0</v>
          </cell>
          <cell r="E8093">
            <v>1.69</v>
          </cell>
          <cell r="F8093">
            <v>1.69</v>
          </cell>
          <cell r="G8093">
            <v>1022</v>
          </cell>
        </row>
        <row r="8094">
          <cell r="A8094" t="str">
            <v>420744</v>
          </cell>
          <cell r="B8094" t="str">
            <v>Cabo de cobre, têmpera mole, classe 5, 1kV, tipo Sintenax Flex, fab. PRYSMIAN (PIRELLI) ou similar, seção 4mm²</v>
          </cell>
          <cell r="C8094" t="str">
            <v>m</v>
          </cell>
          <cell r="D8094">
            <v>0</v>
          </cell>
          <cell r="E8094">
            <v>2.4300000000000002</v>
          </cell>
          <cell r="F8094">
            <v>2.4300000000000002</v>
          </cell>
          <cell r="G8094">
            <v>1021</v>
          </cell>
        </row>
        <row r="8095">
          <cell r="A8095" t="str">
            <v>420745</v>
          </cell>
          <cell r="B8095" t="str">
            <v>Cabo de cobre, têmpera mole, classe 5, 1kV, tipo Sintenax Flex, fab. PRYSMIAN (PIRELLI) ou similar, seção 6mm² (291603)</v>
          </cell>
          <cell r="C8095" t="str">
            <v>m</v>
          </cell>
          <cell r="D8095">
            <v>0</v>
          </cell>
          <cell r="E8095">
            <v>3.32</v>
          </cell>
          <cell r="F8095">
            <v>3.32</v>
          </cell>
          <cell r="G8095">
            <v>994</v>
          </cell>
        </row>
        <row r="8096">
          <cell r="A8096" t="str">
            <v>420746</v>
          </cell>
          <cell r="B8096" t="str">
            <v>Cabo de cobre, têmpera mole, classe 5, 1kV, tipo Sintenax Flex, fab. PRYSMIAN (PIRELLI) ou similar, seção 10mm²</v>
          </cell>
          <cell r="C8096" t="str">
            <v>m</v>
          </cell>
          <cell r="D8096">
            <v>0</v>
          </cell>
          <cell r="E8096">
            <v>5.32</v>
          </cell>
          <cell r="F8096">
            <v>5.32</v>
          </cell>
          <cell r="G8096">
            <v>1020</v>
          </cell>
        </row>
        <row r="8097">
          <cell r="A8097" t="str">
            <v>420747</v>
          </cell>
          <cell r="B8097" t="str">
            <v>Cabo de cobre, têmpera mole, classe 5, 1kV, tipo Sintenax Flex, fab. PRYSMIAN (PIRELLI) ou similar, seção 16mm²</v>
          </cell>
          <cell r="C8097" t="str">
            <v>m</v>
          </cell>
          <cell r="D8097">
            <v>0</v>
          </cell>
          <cell r="E8097">
            <v>8.16</v>
          </cell>
          <cell r="F8097">
            <v>8.16</v>
          </cell>
          <cell r="G8097">
            <v>995</v>
          </cell>
        </row>
        <row r="8098">
          <cell r="A8098" t="str">
            <v>420748</v>
          </cell>
          <cell r="B8098" t="str">
            <v>Cabo de cobre, têmpera mole, classe 5, 1kV, tipo Sintenax Flex, fab. PRYSMIAN (PIRELLI) ou similar, seção 25mm²</v>
          </cell>
          <cell r="C8098" t="str">
            <v>m</v>
          </cell>
          <cell r="D8098">
            <v>0</v>
          </cell>
          <cell r="E8098">
            <v>12.42</v>
          </cell>
          <cell r="F8098">
            <v>12.42</v>
          </cell>
          <cell r="G8098">
            <v>996</v>
          </cell>
        </row>
        <row r="8099">
          <cell r="A8099" t="str">
            <v>420749</v>
          </cell>
          <cell r="B8099" t="str">
            <v>Cabo de cobre, têmpera mole, classe 5, 1kV, tipo Sintenax Flex, fab. PRYSMIAN (PIRELLI) ou similar, seção 35mm² (231320)</v>
          </cell>
          <cell r="C8099" t="str">
            <v>m</v>
          </cell>
          <cell r="D8099">
            <v>0</v>
          </cell>
          <cell r="E8099">
            <v>17.12</v>
          </cell>
          <cell r="F8099">
            <v>17.12</v>
          </cell>
          <cell r="G8099">
            <v>1019</v>
          </cell>
        </row>
        <row r="8100">
          <cell r="A8100" t="str">
            <v>420750</v>
          </cell>
          <cell r="B8100" t="str">
            <v>Cabo de cobre, têmpera mole, classe 5, 1kV, tipo Sintenax Flex, fab. PRYSMIAN (PIRELLI) ou similar, seção 50mm² (189278)</v>
          </cell>
          <cell r="C8100" t="str">
            <v>m</v>
          </cell>
          <cell r="D8100">
            <v>0</v>
          </cell>
          <cell r="E8100">
            <v>24.41</v>
          </cell>
          <cell r="F8100">
            <v>24.41</v>
          </cell>
          <cell r="G8100">
            <v>1018</v>
          </cell>
        </row>
        <row r="8101">
          <cell r="A8101" t="str">
            <v>420751</v>
          </cell>
          <cell r="B8101" t="str">
            <v>Cabo de cobre, têmpera mole, classe 5, 1kV, tipo Sintenax Flex, fab. PRYSMIAN (PIRELLI) ou similar, seção 70mm² (49727)</v>
          </cell>
          <cell r="C8101" t="str">
            <v>m</v>
          </cell>
          <cell r="D8101">
            <v>0</v>
          </cell>
          <cell r="E8101">
            <v>33.81</v>
          </cell>
          <cell r="F8101">
            <v>33.81</v>
          </cell>
          <cell r="G8101">
            <v>977</v>
          </cell>
        </row>
        <row r="8102">
          <cell r="A8102" t="str">
            <v>420752</v>
          </cell>
          <cell r="B8102" t="str">
            <v>Cabo de cobre, têmpera mole, classe 5, 1kV, tipo Sintenax Flex, fab. PRYSMIAN (PIRELLI) ou similar, seção 95mm² (287429)</v>
          </cell>
          <cell r="C8102" t="str">
            <v>m</v>
          </cell>
          <cell r="D8102">
            <v>0</v>
          </cell>
          <cell r="E8102">
            <v>44.91</v>
          </cell>
          <cell r="F8102">
            <v>44.91</v>
          </cell>
          <cell r="G8102">
            <v>998</v>
          </cell>
        </row>
        <row r="8103">
          <cell r="A8103" t="str">
            <v>420753</v>
          </cell>
          <cell r="B8103" t="str">
            <v>Cabo de cobre, têmpera mole, classe 5, 1kV, tipo Sintenax Flex, fab. PRYSMIAN (PIRELLI) ou similar, seção 120mm²</v>
          </cell>
          <cell r="C8103" t="str">
            <v>m</v>
          </cell>
          <cell r="D8103">
            <v>0</v>
          </cell>
          <cell r="E8103">
            <v>58.46</v>
          </cell>
          <cell r="F8103">
            <v>58.46</v>
          </cell>
          <cell r="G8103">
            <v>1017</v>
          </cell>
        </row>
        <row r="8104">
          <cell r="A8104" t="str">
            <v>420754</v>
          </cell>
          <cell r="B8104" t="str">
            <v>Cabo de cobre, têmpera mole, classe 5, 1kV, tipo Sintenax Flex, fab. PRYSMIAN (PIRELLI) ou similar, seção 150mm²</v>
          </cell>
          <cell r="C8104" t="str">
            <v>m</v>
          </cell>
          <cell r="D8104">
            <v>0</v>
          </cell>
          <cell r="E8104">
            <v>72.44</v>
          </cell>
          <cell r="F8104">
            <v>72.44</v>
          </cell>
          <cell r="G8104">
            <v>999</v>
          </cell>
        </row>
        <row r="8105">
          <cell r="A8105" t="str">
            <v>420755</v>
          </cell>
          <cell r="B8105" t="str">
            <v>Cabo de cobre, têmpera mole, classe 5, 1kV, tipo Sintenax Flex, fab. PRYSMIAN (PIRELLI) ou similar, seção 185mm² (288806)</v>
          </cell>
          <cell r="C8105" t="str">
            <v>m</v>
          </cell>
          <cell r="D8105">
            <v>0</v>
          </cell>
          <cell r="E8105">
            <v>88.8</v>
          </cell>
          <cell r="F8105">
            <v>88.8</v>
          </cell>
          <cell r="G8105">
            <v>1000</v>
          </cell>
        </row>
        <row r="8106">
          <cell r="A8106" t="str">
            <v>420756</v>
          </cell>
          <cell r="B8106" t="str">
            <v>Cabo de cobre, têmpera mole, classe 5, 1kV, tipo Sintenax Flex, fab. PRYSMIAN (PIRELLI) ou similar, seção 240mm²</v>
          </cell>
          <cell r="C8106" t="str">
            <v>m</v>
          </cell>
          <cell r="D8106">
            <v>0</v>
          </cell>
          <cell r="E8106">
            <v>116.93</v>
          </cell>
          <cell r="F8106">
            <v>116.93</v>
          </cell>
          <cell r="G8106">
            <v>1015</v>
          </cell>
        </row>
        <row r="8107">
          <cell r="A8107" t="str">
            <v>420757</v>
          </cell>
          <cell r="B8107" t="str">
            <v>Cabo de cobre, têmpera mole, classe 5, 1kV, tipo Sintenax Flex, fab. PRYSMIAN (PIRELLI) ou similar, seção 300mm²</v>
          </cell>
          <cell r="C8107" t="str">
            <v>m</v>
          </cell>
          <cell r="D8107">
            <v>0</v>
          </cell>
          <cell r="E8107">
            <v>146.34</v>
          </cell>
          <cell r="F8107">
            <v>146.34</v>
          </cell>
          <cell r="G8107">
            <v>1001</v>
          </cell>
        </row>
        <row r="8108">
          <cell r="A8108" t="str">
            <v>420758</v>
          </cell>
          <cell r="B8108" t="str">
            <v>Cabo de cobre, têmpera mole, classe 5, 1kV, tipo Sintenax Flex, fab. PRYSMIAN (PIRELLI) ou similar, seção 2x1,5mm²</v>
          </cell>
          <cell r="C8108" t="str">
            <v>m</v>
          </cell>
          <cell r="D8108">
            <v>0</v>
          </cell>
          <cell r="E8108">
            <v>1.66</v>
          </cell>
          <cell r="F8108">
            <v>1.66</v>
          </cell>
        </row>
        <row r="8109">
          <cell r="A8109" t="str">
            <v>420759</v>
          </cell>
          <cell r="B8109" t="str">
            <v>Cabo de cobre, têmpera mole, classe 5, 1kV, tipo Sintenax Flex, fab. PRYSMIAN (PIRELLI) ou similar, seção 3x1,5mm² (287669)</v>
          </cell>
          <cell r="C8109" t="str">
            <v>m</v>
          </cell>
          <cell r="D8109">
            <v>0</v>
          </cell>
          <cell r="E8109">
            <v>2.2400000000000002</v>
          </cell>
          <cell r="F8109">
            <v>2.2400000000000002</v>
          </cell>
        </row>
        <row r="8110">
          <cell r="A8110" t="str">
            <v>420760</v>
          </cell>
          <cell r="B8110" t="str">
            <v>Cabo de cobre, têmpera mole, classe 5, 1kV, tipo Sintenax Flex, fab. PRYSMIAN (PIRELLI) ou similar, seção 4x1,5mm²</v>
          </cell>
          <cell r="C8110" t="str">
            <v>m</v>
          </cell>
          <cell r="D8110">
            <v>0</v>
          </cell>
          <cell r="E8110">
            <v>2.91</v>
          </cell>
          <cell r="F8110">
            <v>2.91</v>
          </cell>
        </row>
        <row r="8111">
          <cell r="A8111" t="str">
            <v>420761</v>
          </cell>
          <cell r="B8111" t="str">
            <v>Cabo de cobre, têmpera mole, classe 5, 1kV, tipo Sintenax Flex, fab. PRYSMIAN (PIRELLI) ou similar, seção 2x2,5mm²</v>
          </cell>
          <cell r="C8111" t="str">
            <v>m</v>
          </cell>
          <cell r="D8111">
            <v>0</v>
          </cell>
          <cell r="E8111">
            <v>2.46</v>
          </cell>
          <cell r="F8111">
            <v>2.46</v>
          </cell>
        </row>
        <row r="8112">
          <cell r="A8112" t="str">
            <v>420762</v>
          </cell>
          <cell r="B8112" t="str">
            <v>Cabo de cobre, têmpera mole, classe 5, 1kV, tipo Sintenax Flex, fab. PRYSMIAN (PIRELLI) ou similar, seção 3x2,5mm²</v>
          </cell>
          <cell r="C8112" t="str">
            <v>m</v>
          </cell>
          <cell r="D8112">
            <v>0</v>
          </cell>
          <cell r="E8112">
            <v>3.35</v>
          </cell>
          <cell r="F8112">
            <v>3.35</v>
          </cell>
        </row>
        <row r="8113">
          <cell r="A8113" t="str">
            <v>420763</v>
          </cell>
          <cell r="B8113" t="str">
            <v>Cabo de cobre, têmpera mole, classe 5, 1kV, tipo Sintenax Flex, fab. PRYSMIAN (PIRELLI) ou similar, seção 4x2,5mm² (290449)</v>
          </cell>
          <cell r="C8113" t="str">
            <v>m</v>
          </cell>
          <cell r="D8113">
            <v>0</v>
          </cell>
          <cell r="E8113">
            <v>4.3</v>
          </cell>
          <cell r="F8113">
            <v>4.3</v>
          </cell>
        </row>
        <row r="8114">
          <cell r="A8114" t="str">
            <v>420764</v>
          </cell>
          <cell r="B8114" t="str">
            <v>Cabo de cobre, têmpera mole, classe 5, 1kV, tipo Sintenax Flex, fab. PRYSMIAN (PIRELLI) ou similar, seção 2x4mm²</v>
          </cell>
          <cell r="C8114" t="str">
            <v>m</v>
          </cell>
          <cell r="D8114">
            <v>0</v>
          </cell>
          <cell r="E8114">
            <v>3.56</v>
          </cell>
          <cell r="F8114">
            <v>3.56</v>
          </cell>
        </row>
        <row r="8115">
          <cell r="A8115" t="str">
            <v>420765</v>
          </cell>
          <cell r="B8115" t="str">
            <v>Cabo de cobre, têmpera mole, classe 5, 1kV, tipo Sintenax Flex, fab. PRYSMIAN (PIRELLI) ou similar, seção 3x4mm²</v>
          </cell>
          <cell r="C8115" t="str">
            <v>m</v>
          </cell>
          <cell r="D8115">
            <v>0</v>
          </cell>
          <cell r="E8115">
            <v>4.96</v>
          </cell>
          <cell r="F8115">
            <v>4.96</v>
          </cell>
        </row>
        <row r="8116">
          <cell r="A8116" t="str">
            <v>420766</v>
          </cell>
          <cell r="B8116" t="str">
            <v>Cabo de cobre, têmpera mole, classe 5, 1kV, tipo Sintenax Flex, fab. PRYSMIAN (PIRELLI) ou similar, seção 4x4mm² (19186)</v>
          </cell>
          <cell r="C8116" t="str">
            <v>m</v>
          </cell>
          <cell r="D8116">
            <v>0</v>
          </cell>
          <cell r="E8116">
            <v>6.48</v>
          </cell>
          <cell r="F8116">
            <v>6.48</v>
          </cell>
        </row>
        <row r="8117">
          <cell r="A8117" t="str">
            <v>420767</v>
          </cell>
          <cell r="B8117" t="str">
            <v>Cabo de cobre, têmpera mole, classe 5, 1kV, tipo Sintenax Flex, fab. PRYSMIAN (PIRELLI) ou similar, seção 2x6mm²</v>
          </cell>
          <cell r="C8117" t="str">
            <v>m</v>
          </cell>
          <cell r="D8117">
            <v>0</v>
          </cell>
          <cell r="E8117">
            <v>4.95</v>
          </cell>
          <cell r="F8117">
            <v>4.95</v>
          </cell>
        </row>
        <row r="8118">
          <cell r="A8118" t="str">
            <v>420768</v>
          </cell>
          <cell r="B8118" t="str">
            <v>Cabo de cobre, têmpera mole, classe 5, 1kV, tipo Sintenax Flex, fab. PRYSMIAN (PIRELLI) ou similar, seção 3x6mm²</v>
          </cell>
          <cell r="C8118" t="str">
            <v>m</v>
          </cell>
          <cell r="D8118">
            <v>0</v>
          </cell>
          <cell r="E8118">
            <v>6.95</v>
          </cell>
          <cell r="F8118">
            <v>6.95</v>
          </cell>
        </row>
        <row r="8119">
          <cell r="A8119" t="str">
            <v>420769</v>
          </cell>
          <cell r="B8119" t="str">
            <v>Cabo de cobre, têmpera mole, classe 5, 1kV, tipo Sintenax Flex, fab. PRYSMIAN (PIRELLI) ou similar, seção 4x6mm²</v>
          </cell>
          <cell r="C8119" t="str">
            <v>m</v>
          </cell>
          <cell r="D8119">
            <v>0</v>
          </cell>
          <cell r="E8119">
            <v>9.19</v>
          </cell>
          <cell r="F8119">
            <v>9.19</v>
          </cell>
        </row>
        <row r="8120">
          <cell r="A8120" t="str">
            <v>420770</v>
          </cell>
          <cell r="B8120" t="str">
            <v>Cabo de cobre, têmpera mole, classe 5, 1kV, tipo Sintenax Flex, fab. PRYSMIAN (PIRELLI) ou similar, seção 4x10mm² (293329)</v>
          </cell>
          <cell r="C8120" t="str">
            <v>m</v>
          </cell>
          <cell r="D8120">
            <v>0</v>
          </cell>
          <cell r="E8120">
            <v>15.13</v>
          </cell>
          <cell r="F8120">
            <v>15.13</v>
          </cell>
        </row>
        <row r="8121">
          <cell r="A8121" t="str">
            <v>420771</v>
          </cell>
          <cell r="B8121" t="str">
            <v>Cabo de cobre, têmpera mole, classe 5, 0,6/1kV, EPR 90º, tipo Eprotenax Gsette, fab. PRYSMIAN (PIRELLI) ou similar, secão 16mm²</v>
          </cell>
          <cell r="C8121" t="str">
            <v>m</v>
          </cell>
          <cell r="D8121">
            <v>0</v>
          </cell>
          <cell r="E8121">
            <v>6.71</v>
          </cell>
          <cell r="F8121">
            <v>6.71</v>
          </cell>
        </row>
        <row r="8122">
          <cell r="A8122" t="str">
            <v>420772</v>
          </cell>
          <cell r="B8122" t="str">
            <v>Cabo de cobre, têmpera mole, classe 5, 0,6/1kV, EPR 90º, tipo Eprotenax Gsette, fab. PRYSMIAN (PIRELLI) ou similar, secão 25mm² (287442)</v>
          </cell>
          <cell r="C8122" t="str">
            <v>m</v>
          </cell>
          <cell r="D8122">
            <v>0</v>
          </cell>
          <cell r="E8122">
            <v>10.46</v>
          </cell>
          <cell r="F8122">
            <v>10.46</v>
          </cell>
        </row>
        <row r="8123">
          <cell r="A8123" t="str">
            <v>420773</v>
          </cell>
          <cell r="B8123" t="str">
            <v>Cabo de cobre, têmpera mole, classe 5, 0,6/1kV, EPR 90º, tipo Eprotenax Gsette, fab. PRYSMIAN (PIRELLI) ou similar, secão 35mm² (287854)</v>
          </cell>
          <cell r="C8123" t="str">
            <v>m</v>
          </cell>
          <cell r="D8123">
            <v>0</v>
          </cell>
          <cell r="E8123">
            <v>14.59</v>
          </cell>
          <cell r="F8123">
            <v>14.59</v>
          </cell>
        </row>
        <row r="8124">
          <cell r="A8124" t="str">
            <v>420774</v>
          </cell>
          <cell r="B8124" t="str">
            <v>Cabo de cobre, têmpera mole, classe 5, 0,6/1kV, EPR 90º, tipo Eprotenax Gsette, fab. PRYSMIAN (PIRELLI) ou similar, secão 50mm²</v>
          </cell>
          <cell r="C8124" t="str">
            <v>m</v>
          </cell>
          <cell r="D8124">
            <v>0</v>
          </cell>
          <cell r="E8124">
            <v>21.17</v>
          </cell>
          <cell r="F8124">
            <v>21.17</v>
          </cell>
        </row>
        <row r="8125">
          <cell r="A8125" t="str">
            <v>420775</v>
          </cell>
          <cell r="B8125" t="str">
            <v>Cabo de cobre, têmpera mole, classe 5, 0,6/1kV, EPR 90º, tipo Eprotenax Gsette, fab. PRYSMIAN (PIRELLI) ou similar, secão 70mm² (287151)</v>
          </cell>
          <cell r="C8125" t="str">
            <v>m</v>
          </cell>
          <cell r="D8125">
            <v>0</v>
          </cell>
          <cell r="E8125">
            <v>29.82</v>
          </cell>
          <cell r="F8125">
            <v>29.82</v>
          </cell>
        </row>
        <row r="8126">
          <cell r="A8126" t="str">
            <v>420776</v>
          </cell>
          <cell r="B8126" t="str">
            <v>Cabo de cobre, têmpera mole, classe 5, 0,6/1kV, EPR 90º, tipo Eprotenax Gsette, fab. PRYSMIAN (PIRELLI) ou similar, secão 95mm²</v>
          </cell>
          <cell r="C8126" t="str">
            <v>m</v>
          </cell>
          <cell r="D8126">
            <v>0</v>
          </cell>
          <cell r="E8126">
            <v>39.380000000000003</v>
          </cell>
          <cell r="F8126">
            <v>39.380000000000003</v>
          </cell>
        </row>
        <row r="8127">
          <cell r="A8127" t="str">
            <v>420777</v>
          </cell>
          <cell r="B8127" t="str">
            <v>Cabo de cobre, têmpera mole, classe 5, 0,6/1kV, EPR 90º, tipo Eprotenax Gsette, fab. PRYSMIAN (PIRELLI) ou similar, secão 120mm² (285530)</v>
          </cell>
          <cell r="C8127" t="str">
            <v>m</v>
          </cell>
          <cell r="D8127">
            <v>0</v>
          </cell>
          <cell r="E8127">
            <v>50.24</v>
          </cell>
          <cell r="F8127">
            <v>50.24</v>
          </cell>
        </row>
        <row r="8128">
          <cell r="A8128" t="str">
            <v>420778</v>
          </cell>
          <cell r="B8128" t="str">
            <v>Cabo de cobre, têmpera mole, classe 5, 0,6/1kV, EPR 90º, tipo Eprotenax Gsette, fab. PRYSMIAN (PIRELLI) ou similar, secão 150mm² (291321)</v>
          </cell>
          <cell r="C8128" t="str">
            <v>m</v>
          </cell>
          <cell r="D8128">
            <v>0</v>
          </cell>
          <cell r="E8128">
            <v>62.95</v>
          </cell>
          <cell r="F8128">
            <v>62.95</v>
          </cell>
        </row>
        <row r="8129">
          <cell r="A8129" t="str">
            <v>420779</v>
          </cell>
          <cell r="B8129" t="str">
            <v>Cabo de cobre, têmpera mole, classe 5, 0,6/1kV, EPR 90º, tipo Eprotenax Gsette, fab. PRYSMIAN (PIRELLI) ou similar, secão 185mm²</v>
          </cell>
          <cell r="C8129" t="str">
            <v>m</v>
          </cell>
          <cell r="D8129">
            <v>0</v>
          </cell>
          <cell r="E8129">
            <v>76.2</v>
          </cell>
          <cell r="F8129">
            <v>76.2</v>
          </cell>
        </row>
        <row r="8130">
          <cell r="A8130" t="str">
            <v>420780</v>
          </cell>
          <cell r="B8130" t="str">
            <v>Cabo de cobre, têmpera mole, classe 5, 0,6/1kV, EPR 90º, tipo Eprotenax Gsette, fab. PRYSMIAN (PIRELLI) ou similar, secão 240mm² (288759)</v>
          </cell>
          <cell r="C8130" t="str">
            <v>m</v>
          </cell>
          <cell r="D8130">
            <v>0</v>
          </cell>
          <cell r="E8130">
            <v>101.08</v>
          </cell>
          <cell r="F8130">
            <v>101.08</v>
          </cell>
        </row>
        <row r="8131">
          <cell r="A8131" t="str">
            <v>420781</v>
          </cell>
          <cell r="B8131" t="str">
            <v>Cabo de cobre, têmpera mole, classe 5, 0,6/1kV, EPR 90º, tipo Eprotenax Gsette, fab. PRYSMIAN (PIRELLI) ou similar, secão 300mm² (288758)</v>
          </cell>
          <cell r="C8131" t="str">
            <v>m</v>
          </cell>
          <cell r="D8131">
            <v>0</v>
          </cell>
          <cell r="E8131">
            <v>126.18</v>
          </cell>
          <cell r="F8131">
            <v>126.18</v>
          </cell>
        </row>
        <row r="8132">
          <cell r="A8132" t="str">
            <v>420782</v>
          </cell>
          <cell r="B8132" t="str">
            <v>Cabo de cobre, têmpera mole, classe 5, 750V, PVC 70ºC, BWF antiflam, tipo Superastic flex, fab. PRYSMIAN (PIRELLI) ou similar, seção 1,5mm² - cor preta (79090)</v>
          </cell>
          <cell r="C8132" t="str">
            <v>m</v>
          </cell>
          <cell r="D8132">
            <v>0</v>
          </cell>
          <cell r="E8132">
            <v>0.63</v>
          </cell>
          <cell r="F8132">
            <v>0.63</v>
          </cell>
        </row>
        <row r="8133">
          <cell r="A8133" t="str">
            <v>420783</v>
          </cell>
          <cell r="B8133" t="str">
            <v>Cabo de cobre, têmpera mole, classe 5, 750V, PVC 70ºC, BWF antiflam, tipo Superastic flex, fab. PRYSMIAN (PIRELLI) ou similar, seção 1,5mm² - cor verde (187879)</v>
          </cell>
          <cell r="C8133" t="str">
            <v>m</v>
          </cell>
          <cell r="D8133">
            <v>0</v>
          </cell>
          <cell r="E8133">
            <v>0.59</v>
          </cell>
          <cell r="F8133">
            <v>0.59</v>
          </cell>
        </row>
        <row r="8134">
          <cell r="A8134" t="str">
            <v>420784</v>
          </cell>
          <cell r="B8134" t="str">
            <v>Cabo de cobre, têmpera mole, classe 5, 750V, PVC 70ºC, BWF antiflam, tipo Superastic flex, fab. PRYSMIAN (PIRELLI) ou similar, seção 1,5mm² - cor vermelha (113727)</v>
          </cell>
          <cell r="C8134" t="str">
            <v>m</v>
          </cell>
          <cell r="D8134">
            <v>0</v>
          </cell>
          <cell r="E8134">
            <v>0.63</v>
          </cell>
          <cell r="F8134">
            <v>0.63</v>
          </cell>
        </row>
        <row r="8135">
          <cell r="A8135" t="str">
            <v>420785</v>
          </cell>
          <cell r="B8135" t="str">
            <v>Cabo de cobre, têmpera mole, classe 5, 750V, PVC 70ºC, BWF antiflam, tipo Superastic flex, fab. PRYSMIAN (PIRELLI) ou similar, seção 1,5mm² - cor amarela</v>
          </cell>
          <cell r="C8135" t="str">
            <v>m</v>
          </cell>
          <cell r="D8135">
            <v>0</v>
          </cell>
          <cell r="E8135">
            <v>0.59</v>
          </cell>
          <cell r="F8135">
            <v>0.59</v>
          </cell>
        </row>
        <row r="8136">
          <cell r="A8136" t="str">
            <v>420786</v>
          </cell>
          <cell r="B8136" t="str">
            <v>Cabo de cobre, têmpera mole, classe 5, 750V, PVC 70ºC, BWF antiflam, tipo Superastic flex, fab. PRYSMIAN (PIRELLI) ou similar, seção 2,5mm² - cor preta (259942)</v>
          </cell>
          <cell r="C8136" t="str">
            <v>ud</v>
          </cell>
          <cell r="D8136">
            <v>0</v>
          </cell>
          <cell r="E8136">
            <v>0.98</v>
          </cell>
          <cell r="F8136">
            <v>0.98</v>
          </cell>
        </row>
        <row r="8137">
          <cell r="A8137" t="str">
            <v>420787</v>
          </cell>
          <cell r="B8137" t="str">
            <v>Cabo de cobre, têmpera mole, classe 5, 750V, PVC 70ºC, BWF antiflam, tipo Superastic flex, fab. PRYSMIAN (PIRELLI) ou similar, seção 2,5mm² - cor verde (285722)</v>
          </cell>
          <cell r="C8137" t="str">
            <v>m</v>
          </cell>
          <cell r="D8137">
            <v>0</v>
          </cell>
          <cell r="E8137">
            <v>0.98</v>
          </cell>
          <cell r="F8137">
            <v>0.98</v>
          </cell>
        </row>
        <row r="8138">
          <cell r="A8138" t="str">
            <v>420788</v>
          </cell>
          <cell r="B8138" t="str">
            <v>Cabo de cobre, têmpera mole, classe 5, 750V, PVC 70ºC, BWF antiflam, tipo Superastic flex, fab. PRYSMIAN (PIRELLI) ou similar, seção 2,5mm² - cor vermelha (284996)</v>
          </cell>
          <cell r="C8138" t="str">
            <v>m</v>
          </cell>
          <cell r="D8138">
            <v>0</v>
          </cell>
          <cell r="E8138">
            <v>0.93</v>
          </cell>
          <cell r="F8138">
            <v>0.93</v>
          </cell>
        </row>
        <row r="8139">
          <cell r="A8139" t="str">
            <v>420789</v>
          </cell>
          <cell r="B8139" t="str">
            <v>Cabo de cobre, têmpera mole, classe 5, 750V, PVC 70ºC, BWF antiflam, tipo Superastic flex, fab. PRYSMIAN (PIRELLI) ou similar, seção 2,5mm² - cor amarela</v>
          </cell>
          <cell r="C8139" t="str">
            <v>m</v>
          </cell>
          <cell r="D8139">
            <v>0</v>
          </cell>
          <cell r="E8139">
            <v>0.93</v>
          </cell>
          <cell r="F8139">
            <v>0.93</v>
          </cell>
        </row>
        <row r="8140">
          <cell r="A8140" t="str">
            <v>420790</v>
          </cell>
          <cell r="B8140" t="str">
            <v>Cabo de cobre, têmpera mole, classe 5, 750V, PVC 70ºC, BWF antiflam, tipo Superastic flex, fab. PRYSMIAN (PIRELLI) ou similar, seção 2,5mm² - cor azul</v>
          </cell>
          <cell r="C8140" t="str">
            <v>m</v>
          </cell>
          <cell r="D8140">
            <v>0</v>
          </cell>
          <cell r="E8140">
            <v>0.98</v>
          </cell>
          <cell r="F8140">
            <v>0.98</v>
          </cell>
        </row>
        <row r="8141">
          <cell r="A8141" t="str">
            <v>420791</v>
          </cell>
          <cell r="B8141" t="str">
            <v>Cabo de cobre, têmpera mole, classe 5, 750V, PVC 70ºC, BWF antiflam, tipo Superastic Flex, fab. PRYSMIAN (PIRELLI) ou similar, seção 4mm²  - cor preta</v>
          </cell>
          <cell r="C8141" t="str">
            <v>m</v>
          </cell>
          <cell r="D8141">
            <v>0</v>
          </cell>
          <cell r="E8141">
            <v>1.62</v>
          </cell>
          <cell r="F8141">
            <v>1.62</v>
          </cell>
        </row>
        <row r="8142">
          <cell r="A8142" t="str">
            <v>420792</v>
          </cell>
          <cell r="B8142" t="str">
            <v>Cabo de cobre, têmpera mole, classe 5, 750V, PVC 70ºC, BWF antiflam, tipo Superastic Flex, fab. PRYSMIAN (PIRELLI) ou similar, seção 4mm²  - cor verde</v>
          </cell>
          <cell r="C8142" t="str">
            <v>m</v>
          </cell>
          <cell r="D8142">
            <v>0</v>
          </cell>
          <cell r="E8142">
            <v>1.62</v>
          </cell>
          <cell r="F8142">
            <v>1.62</v>
          </cell>
        </row>
        <row r="8143">
          <cell r="A8143" t="str">
            <v>420793</v>
          </cell>
          <cell r="B8143" t="str">
            <v>Cabo de cobre, têmpera mole, classe 5, 750V, PVC 70ºC, BWF antiflam, tipo Superastic Flex, fab. PRYSMIAN (PIRELLI) ou similar, seção 4mm²  - cor vermelha</v>
          </cell>
          <cell r="C8143" t="str">
            <v>m</v>
          </cell>
          <cell r="D8143">
            <v>0</v>
          </cell>
          <cell r="E8143">
            <v>1.62</v>
          </cell>
          <cell r="F8143">
            <v>1.62</v>
          </cell>
        </row>
        <row r="8144">
          <cell r="A8144" t="str">
            <v>420794</v>
          </cell>
          <cell r="B8144" t="str">
            <v>Cabo de cobre, têmpera mole, classe 5, 750V, PVC 70ºC, BWF antiflam, tipo Superastic Flex, fab. PRYSMIAN (PIRELLI) ou similar, seção 4mm²  - cor amarela</v>
          </cell>
          <cell r="C8144" t="str">
            <v>m</v>
          </cell>
          <cell r="D8144">
            <v>0</v>
          </cell>
          <cell r="E8144">
            <v>1.62</v>
          </cell>
          <cell r="F8144">
            <v>1.62</v>
          </cell>
        </row>
        <row r="8145">
          <cell r="A8145" t="str">
            <v>420795</v>
          </cell>
          <cell r="B8145" t="str">
            <v>Cabo de cobre, têmpera mole, classe 5, 750V, PVC 70ºC, BWF antiflam, tipo Superastic Flex, fab. PRYSMIAN (PIRELLI) ou similar, seção 6mm²  - cor preta</v>
          </cell>
          <cell r="C8145" t="str">
            <v>m</v>
          </cell>
          <cell r="D8145">
            <v>0</v>
          </cell>
          <cell r="E8145">
            <v>2.38</v>
          </cell>
          <cell r="F8145">
            <v>2.38</v>
          </cell>
        </row>
        <row r="8146">
          <cell r="A8146" t="str">
            <v>420796</v>
          </cell>
          <cell r="B8146" t="str">
            <v>Cabo de cobre, têmpera mole, classe 5, 750V, PVC 70ºC, BWF antiflam, tipo Superastic Flex, fab. PRYSMIAN (PIRELLI) ou similar, seção 6mm²  - cor verde</v>
          </cell>
          <cell r="C8146" t="str">
            <v>m</v>
          </cell>
          <cell r="D8146">
            <v>0</v>
          </cell>
          <cell r="E8146">
            <v>2.38</v>
          </cell>
          <cell r="F8146">
            <v>2.38</v>
          </cell>
        </row>
        <row r="8147">
          <cell r="A8147" t="str">
            <v>420797</v>
          </cell>
          <cell r="B8147" t="str">
            <v>Cabo de cobre, têmpera mole, classe 5, 750V, PVC 70ºC, BWF antiflam, tipo Superastic Flex, fab. PRYSMIAN (PIRELLI) ou similar, seção 6mm²  - cor vermelha</v>
          </cell>
          <cell r="C8147" t="str">
            <v>m</v>
          </cell>
          <cell r="D8147">
            <v>0</v>
          </cell>
          <cell r="E8147">
            <v>2.38</v>
          </cell>
          <cell r="F8147">
            <v>2.38</v>
          </cell>
        </row>
        <row r="8148">
          <cell r="A8148" t="str">
            <v>420798</v>
          </cell>
          <cell r="B8148" t="str">
            <v>Cabo de cobre, têmpera mole, classe 5, 750V, PVC 70ºC, BWF antiflam, tipo Superastic Flex, fab. PRYSMIAN (PIRELLI) ou similar, seção 6mm²  - cor amarela</v>
          </cell>
          <cell r="C8148" t="str">
            <v>m</v>
          </cell>
          <cell r="D8148">
            <v>0</v>
          </cell>
          <cell r="E8148">
            <v>2.38</v>
          </cell>
          <cell r="F8148">
            <v>2.38</v>
          </cell>
        </row>
        <row r="8149">
          <cell r="A8149" t="str">
            <v>4208</v>
          </cell>
          <cell r="B8149" t="str">
            <v>CABOS FORÇA E DISTRIBUIÇÃO (COBRE)</v>
          </cell>
        </row>
        <row r="8150">
          <cell r="A8150" t="str">
            <v>420801</v>
          </cell>
          <cell r="B8150" t="str">
            <v>Cabo de cobre multipolar, têmpera mole, classe 5, seção circular, 0,6/1kV, EPR 90ºC, tipo Fiter-Flex, fab. FICAP ou similar, seção 3x1,5mm²</v>
          </cell>
          <cell r="C8150" t="str">
            <v>m</v>
          </cell>
          <cell r="D8150">
            <v>0</v>
          </cell>
          <cell r="E8150">
            <v>2.52</v>
          </cell>
          <cell r="F8150">
            <v>2.52</v>
          </cell>
        </row>
        <row r="8151">
          <cell r="A8151" t="str">
            <v>420802</v>
          </cell>
          <cell r="B8151" t="str">
            <v>Cabo de cobre multipolar, têmpera mole, classe 5, seção circular, 0,6/1kV, EPR 90ºC, tipo Fiter-Flex, fab. FICAP ou similar, seção 3x2,5mm²</v>
          </cell>
          <cell r="C8151" t="str">
            <v>m</v>
          </cell>
          <cell r="D8151">
            <v>0</v>
          </cell>
          <cell r="E8151">
            <v>4.0199999999999996</v>
          </cell>
          <cell r="F8151">
            <v>4.0199999999999996</v>
          </cell>
        </row>
        <row r="8152">
          <cell r="A8152" t="str">
            <v>420803</v>
          </cell>
          <cell r="B8152" t="str">
            <v>Cabo de cobre multipolar, têmpera mole, classe 5, seção circular, 0,6/1kV, EPR 90ºC, tipo Fiter-Flex, fab. FICAP ou similar, seção 3x4mm²</v>
          </cell>
          <cell r="C8152" t="str">
            <v>m</v>
          </cell>
          <cell r="D8152">
            <v>0</v>
          </cell>
          <cell r="E8152">
            <v>5.93</v>
          </cell>
          <cell r="F8152">
            <v>5.93</v>
          </cell>
        </row>
        <row r="8153">
          <cell r="A8153" t="str">
            <v>420804</v>
          </cell>
          <cell r="B8153" t="str">
            <v>Cabo de cobre multipolar, têmpera mole, classe 5, seção circular, 0,6/1kV, EPR 90ºC, tipo Fiter-Flex, fab. FICAP ou similar, seção 3x6mm²</v>
          </cell>
          <cell r="C8153" t="str">
            <v>m</v>
          </cell>
          <cell r="D8153">
            <v>0</v>
          </cell>
          <cell r="E8153">
            <v>8.4499999999999993</v>
          </cell>
          <cell r="F8153">
            <v>8.4499999999999993</v>
          </cell>
        </row>
        <row r="8154">
          <cell r="A8154" t="str">
            <v>420805</v>
          </cell>
          <cell r="B8154" t="str">
            <v>Cabo de cobre multipolar, têmpera mole, classe 5, seção circular, 0,6/1kV, EPR 90ºC, tipo Fiter-Flex, fab. FICAP ou similar, seção 3x10mm²</v>
          </cell>
          <cell r="C8154" t="str">
            <v>m</v>
          </cell>
          <cell r="D8154">
            <v>0</v>
          </cell>
          <cell r="E8154">
            <v>14.18</v>
          </cell>
          <cell r="F8154">
            <v>14.18</v>
          </cell>
        </row>
        <row r="8155">
          <cell r="A8155" t="str">
            <v>420806</v>
          </cell>
          <cell r="B8155" t="str">
            <v>Cabo de cobre multipolar, têmpera mole, classe 5, seção circular, 0,6/1kV, EPR 90ºC, tipo Fiter-Flex, fab. FICAP ou similar, seção 3x16mm²</v>
          </cell>
          <cell r="C8155" t="str">
            <v>m</v>
          </cell>
          <cell r="D8155">
            <v>0</v>
          </cell>
          <cell r="E8155">
            <v>21.64</v>
          </cell>
          <cell r="F8155">
            <v>21.64</v>
          </cell>
        </row>
        <row r="8156">
          <cell r="A8156" t="str">
            <v>420807</v>
          </cell>
          <cell r="B8156" t="str">
            <v>Cabo de cobre multipolar, têmpera mole, classe 5, seção circular, 0,6/1kV, EPR 90ºC, tipo Fiter-Flex, fab. FICAP ou similar, seção 3x25mm²</v>
          </cell>
          <cell r="C8156" t="str">
            <v>m</v>
          </cell>
          <cell r="D8156">
            <v>0</v>
          </cell>
          <cell r="E8156">
            <v>33.68</v>
          </cell>
          <cell r="F8156">
            <v>33.68</v>
          </cell>
        </row>
        <row r="8157">
          <cell r="A8157" t="str">
            <v>420808</v>
          </cell>
          <cell r="B8157" t="str">
            <v>Cabo de cobre multipolar, têmpera mole, classe 5, seção circular, 0,6/1kV, EPR 90ºC, tipo Fiter-Flex, fab. FICAP ou similar, seção 3x35mm² (295928)</v>
          </cell>
          <cell r="C8157" t="str">
            <v>m</v>
          </cell>
          <cell r="D8157">
            <v>0</v>
          </cell>
          <cell r="E8157">
            <v>47.35</v>
          </cell>
          <cell r="F8157">
            <v>47.35</v>
          </cell>
        </row>
        <row r="8158">
          <cell r="A8158" t="str">
            <v>420809</v>
          </cell>
          <cell r="B8158" t="str">
            <v>Cabo de cobre multipolar, têmpera mole, classe 5, seção circular, 0,6/1kV, EPR 90ºC, tipo Fiter-Flex, fab. FICAP ou similar, seção 3x50mm² (291204)</v>
          </cell>
          <cell r="C8158" t="str">
            <v>m</v>
          </cell>
          <cell r="D8158">
            <v>0</v>
          </cell>
          <cell r="E8158">
            <v>68.2</v>
          </cell>
          <cell r="F8158">
            <v>68.2</v>
          </cell>
        </row>
        <row r="8159">
          <cell r="A8159" t="str">
            <v>420810</v>
          </cell>
          <cell r="B8159" t="str">
            <v>Cabo de cobre multipolar, têmpera mole, classe 5, seção circular, 0,6/1kV, EPR 90ºC, tipo Fiter-Flex, fab. FICAP ou similar, seção 3x70mm²</v>
          </cell>
          <cell r="C8159" t="str">
            <v>m</v>
          </cell>
          <cell r="D8159">
            <v>0</v>
          </cell>
          <cell r="E8159">
            <v>99.7</v>
          </cell>
          <cell r="F8159">
            <v>99.7</v>
          </cell>
        </row>
        <row r="8160">
          <cell r="A8160" t="str">
            <v>420811</v>
          </cell>
          <cell r="B8160" t="str">
            <v>Cabo de cobre multipolar, têmpera mole, classe 5, seção circular, 0,6/1kV, EPR 90ºC, tipo Fiter-Flex, fab. FICAP ou similar, seção 3x95mm²</v>
          </cell>
          <cell r="C8160" t="str">
            <v>m</v>
          </cell>
          <cell r="D8160">
            <v>0</v>
          </cell>
          <cell r="E8160">
            <v>132.53</v>
          </cell>
          <cell r="F8160">
            <v>132.53</v>
          </cell>
        </row>
        <row r="8161">
          <cell r="A8161" t="str">
            <v>420812</v>
          </cell>
          <cell r="B8161" t="str">
            <v>Cabo de cobre multipolar, têmpera mole, classe 5, seção circular, 0,6/1kV, EPR 90ºC, tipo Fiter-Flex, fab. FICAP ou similar, seção 3x120mm²</v>
          </cell>
          <cell r="C8161" t="str">
            <v>m</v>
          </cell>
          <cell r="D8161">
            <v>0</v>
          </cell>
          <cell r="E8161">
            <v>170.84</v>
          </cell>
          <cell r="F8161">
            <v>170.84</v>
          </cell>
        </row>
        <row r="8162">
          <cell r="A8162" t="str">
            <v>420813</v>
          </cell>
          <cell r="B8162" t="str">
            <v>Cabo de cobre, têmpera mole, seção retangular,  750V, PVC 70ºC, tipo Eledeep, para uso em bomba submersa, fab. FICAP ou similar, seção 3x1,5mm²</v>
          </cell>
          <cell r="C8162" t="str">
            <v>m</v>
          </cell>
          <cell r="D8162">
            <v>0</v>
          </cell>
          <cell r="E8162">
            <v>2.29</v>
          </cell>
          <cell r="F8162">
            <v>2.29</v>
          </cell>
        </row>
        <row r="8163">
          <cell r="A8163" t="str">
            <v>420814</v>
          </cell>
          <cell r="B8163" t="str">
            <v>Cabo de cobre, têmpera mole, seção retangular,  750V, PVC 70ºC, tipo Eledeep, para uso em bomba submersa, fab. FICAP ou similar, seção 3x2,5mm² (114537)</v>
          </cell>
          <cell r="C8163" t="str">
            <v>m</v>
          </cell>
          <cell r="D8163">
            <v>0</v>
          </cell>
          <cell r="E8163">
            <v>3.58</v>
          </cell>
          <cell r="F8163">
            <v>3.58</v>
          </cell>
        </row>
        <row r="8164">
          <cell r="A8164" t="str">
            <v>420815</v>
          </cell>
          <cell r="B8164" t="str">
            <v>Cabo de cobre, têmpera mole, seção retangular,  750V, PVC 70ºC, tipo Eledeep, para uso em bomba submersa, fab. FICAP ou similar, seção 3x4mm² (151068)</v>
          </cell>
          <cell r="C8164" t="str">
            <v>m</v>
          </cell>
          <cell r="D8164">
            <v>0</v>
          </cell>
          <cell r="E8164">
            <v>5.19</v>
          </cell>
          <cell r="F8164">
            <v>5.19</v>
          </cell>
        </row>
        <row r="8165">
          <cell r="A8165" t="str">
            <v>420816</v>
          </cell>
          <cell r="B8165" t="str">
            <v>Cabo de cobre, têmpera mole, seção retangular,  750V, PVC 70ºC, tipo Eledeep, para uso em bomba submersa, fab. FICAP ou similar, seção 3x6mm² (68241)</v>
          </cell>
          <cell r="C8165" t="str">
            <v>m</v>
          </cell>
          <cell r="D8165">
            <v>0</v>
          </cell>
          <cell r="E8165">
            <v>7.42</v>
          </cell>
          <cell r="F8165">
            <v>7.42</v>
          </cell>
        </row>
        <row r="8166">
          <cell r="A8166" t="str">
            <v>420817</v>
          </cell>
          <cell r="B8166" t="str">
            <v>Cabo de cobre, têmpera mole, seção retangular,  750V, PVC 70ºC, tipo Eledeep, para uso em bomba submersa, fab. FICAP ou similar, seção 3x10mm² (68250)</v>
          </cell>
          <cell r="C8166" t="str">
            <v>m</v>
          </cell>
          <cell r="D8166">
            <v>0</v>
          </cell>
          <cell r="E8166">
            <v>11.73</v>
          </cell>
          <cell r="F8166">
            <v>11.73</v>
          </cell>
        </row>
        <row r="8167">
          <cell r="A8167" t="str">
            <v>420818</v>
          </cell>
          <cell r="B8167" t="str">
            <v>Cabo de cobre, têmpera mole, seção retangular,  750V, PVC 70ºC, tipo Eledeep, para uso em bomba submersa, fab. FICAP ou similar, seção 3x16mm² (14044)</v>
          </cell>
          <cell r="C8167" t="str">
            <v>m</v>
          </cell>
          <cell r="D8167">
            <v>0</v>
          </cell>
          <cell r="E8167">
            <v>18.18</v>
          </cell>
          <cell r="F8167">
            <v>18.18</v>
          </cell>
        </row>
        <row r="8168">
          <cell r="A8168" t="str">
            <v>420819</v>
          </cell>
          <cell r="B8168" t="str">
            <v>Cabo de cobre, têmpera mole, seção retangular,  750V, PVC 70ºC, tipo Eledeep, para uso em bomba submersa, fab. FICAP ou similar, seção 3x25mm² (187852)</v>
          </cell>
          <cell r="C8168" t="str">
            <v>m</v>
          </cell>
          <cell r="D8168">
            <v>0</v>
          </cell>
          <cell r="E8168">
            <v>28.63</v>
          </cell>
          <cell r="F8168">
            <v>28.63</v>
          </cell>
        </row>
        <row r="8169">
          <cell r="A8169" t="str">
            <v>420820</v>
          </cell>
          <cell r="B8169" t="str">
            <v>Cabo de cobre, têmpera mole, seção retangular,  750V, PVC 70ºC, tipo Eledeep, para uso em bomba submersa, fab. FICAP ou similar, seção 3x35mm² (151092)</v>
          </cell>
          <cell r="C8169" t="str">
            <v>m</v>
          </cell>
          <cell r="D8169">
            <v>0</v>
          </cell>
          <cell r="E8169">
            <v>39.69</v>
          </cell>
          <cell r="F8169">
            <v>39.69</v>
          </cell>
        </row>
        <row r="8170">
          <cell r="A8170" t="str">
            <v>420821</v>
          </cell>
          <cell r="B8170" t="str">
            <v>Cabo de cobre, têmpera mole, seção retangular,  750V, PVC 70ºC, tipo Eledeep, para uso em bomba submersa, fab. FICAP ou similar, seção 3x50mm² (187860)</v>
          </cell>
          <cell r="C8170" t="str">
            <v>m</v>
          </cell>
          <cell r="D8170">
            <v>0</v>
          </cell>
          <cell r="E8170">
            <v>56.46</v>
          </cell>
          <cell r="F8170">
            <v>56.46</v>
          </cell>
        </row>
        <row r="8171">
          <cell r="A8171" t="str">
            <v>420822</v>
          </cell>
          <cell r="B8171" t="str">
            <v>Cabo de cobre, têmpera mole, seção retangular,  750V, PVC 70ºC, tipo Eledeep, para uso em bomba submersa, fab. FICAP ou similar, seção 3x70mm² (178497)</v>
          </cell>
          <cell r="C8171" t="str">
            <v>m</v>
          </cell>
          <cell r="D8171">
            <v>0</v>
          </cell>
          <cell r="E8171">
            <v>79.03</v>
          </cell>
          <cell r="F8171">
            <v>79.03</v>
          </cell>
        </row>
        <row r="8172">
          <cell r="A8172" t="str">
            <v>420823</v>
          </cell>
          <cell r="B8172" t="str">
            <v>Cabo de cobre, têmpera mole, seção retangular,  750V, PVC 70ºC, tipo Eledeep, para uso em bomba submersa, fab. FICAP ou similar, seção 3x95mm² (275883)</v>
          </cell>
          <cell r="C8172" t="str">
            <v>m</v>
          </cell>
          <cell r="D8172">
            <v>0</v>
          </cell>
          <cell r="E8172">
            <v>104.9</v>
          </cell>
          <cell r="F8172">
            <v>104.9</v>
          </cell>
        </row>
        <row r="8173">
          <cell r="A8173" t="str">
            <v>420824</v>
          </cell>
          <cell r="B8173" t="str">
            <v>Cabo de cobre, têmpera mole, seção retangular,  750V, PVC 70ºC, tipo Eledeep, para uso em bomba submersa, fab. FICAP ou similar, seção 3x120mm² (267961)</v>
          </cell>
          <cell r="C8173" t="str">
            <v>m</v>
          </cell>
          <cell r="D8173">
            <v>0</v>
          </cell>
          <cell r="E8173">
            <v>138.80000000000001</v>
          </cell>
          <cell r="F8173">
            <v>138.80000000000001</v>
          </cell>
        </row>
        <row r="8174">
          <cell r="A8174" t="str">
            <v>420830</v>
          </cell>
          <cell r="B8174" t="str">
            <v>Cabo de cobre PP, têmpera mole, classe 5, 1kV, tipo Sintenax Flex, fab. PRYSMIAN (PIRELLI) ou similar, seção 3x10mm² (176931)</v>
          </cell>
          <cell r="C8174" t="str">
            <v>m</v>
          </cell>
          <cell r="D8174">
            <v>0</v>
          </cell>
          <cell r="E8174">
            <v>17.09</v>
          </cell>
          <cell r="F8174">
            <v>17.09</v>
          </cell>
        </row>
        <row r="8175">
          <cell r="A8175" t="str">
            <v>420831</v>
          </cell>
          <cell r="B8175" t="str">
            <v>Cabo de cobre PP, têmpera mole, classe 5, 1kV, tipo Sintenax Flex, fab. PRYSMIAN (PIRELLI) ou similar, seção 3x16mm² (85855)</v>
          </cell>
          <cell r="C8175" t="str">
            <v>m</v>
          </cell>
          <cell r="D8175">
            <v>0</v>
          </cell>
          <cell r="E8175">
            <v>27.38</v>
          </cell>
          <cell r="F8175">
            <v>27.38</v>
          </cell>
        </row>
        <row r="8176">
          <cell r="A8176" t="str">
            <v>420832</v>
          </cell>
          <cell r="B8176" t="str">
            <v>Cabo de cobre PP, têmpera mole, classe 5, 1kV, tipo Sintenax Flex, fab. PRYSMIAN (PIRELLI) ou similar, seção 3x25mm²</v>
          </cell>
          <cell r="C8176" t="str">
            <v>m</v>
          </cell>
          <cell r="D8176">
            <v>0</v>
          </cell>
          <cell r="E8176">
            <v>42.09</v>
          </cell>
          <cell r="F8176">
            <v>42.09</v>
          </cell>
        </row>
        <row r="8177">
          <cell r="A8177" t="str">
            <v>420833</v>
          </cell>
          <cell r="B8177" t="str">
            <v>Cabo de cobre PP, têmpera mole, classe 5, 1kV, tipo Sintenax Flex, fab. PRYSMIAN (PIRELLI) ou similar, seção 3x35mm²</v>
          </cell>
          <cell r="C8177" t="str">
            <v>m</v>
          </cell>
          <cell r="D8177">
            <v>0</v>
          </cell>
          <cell r="E8177">
            <v>58.23</v>
          </cell>
          <cell r="F8177">
            <v>58.23</v>
          </cell>
        </row>
        <row r="8178">
          <cell r="A8178" t="str">
            <v>420834</v>
          </cell>
          <cell r="B8178" t="str">
            <v>Cabo de cobre PP, têmpera mole, classe 5, 1kV, tipo Sintenax Flex, fab. PRYSMIAN (PIRELLI) ou similar, seção 3x50mm²</v>
          </cell>
          <cell r="C8178" t="str">
            <v>m</v>
          </cell>
          <cell r="D8178">
            <v>0</v>
          </cell>
          <cell r="E8178">
            <v>84.94</v>
          </cell>
          <cell r="F8178">
            <v>84.94</v>
          </cell>
        </row>
        <row r="8179">
          <cell r="A8179" t="str">
            <v>420835</v>
          </cell>
          <cell r="B8179" t="str">
            <v>Cabo de cobre PP, têmpera mole, classe 5, 1kV, tipo Sintenax Flex, fab. PRYSMIAN (PIRELLI) ou similar, seção 3x70mm²</v>
          </cell>
          <cell r="C8179" t="str">
            <v>m</v>
          </cell>
          <cell r="D8179">
            <v>0</v>
          </cell>
          <cell r="E8179">
            <v>127.66</v>
          </cell>
          <cell r="F8179">
            <v>127.66</v>
          </cell>
        </row>
        <row r="8180">
          <cell r="A8180" t="str">
            <v>420836</v>
          </cell>
          <cell r="B8180" t="str">
            <v>Cabo de cobre PP, têmpera mole, classe 5, 1kV, tipo Sintenax Flex, fab. PRYSMIAN (PIRELLI) ou similar, seção 3x95mm²</v>
          </cell>
          <cell r="C8180" t="str">
            <v>m</v>
          </cell>
          <cell r="D8180">
            <v>0</v>
          </cell>
          <cell r="E8180">
            <v>164.97</v>
          </cell>
          <cell r="F8180">
            <v>164.97</v>
          </cell>
        </row>
        <row r="8181">
          <cell r="A8181" t="str">
            <v>4209</v>
          </cell>
          <cell r="B8181" t="str">
            <v>CABOS DE COMUNICAÇÃO, INSTRUMENTAÇÃO E CONTROLE</v>
          </cell>
        </row>
        <row r="8182">
          <cell r="A8182" t="str">
            <v>420901</v>
          </cell>
          <cell r="B8182" t="str">
            <v>Cabo de controle numerado, de cobre, têmpera mole, encordoamento classe 5, 0,3/0,5kV, PVC 70C, tipo Sintenax Flex Controle, fab. PIRELLI ou similar, seção 2x1,0mm²</v>
          </cell>
          <cell r="C8182" t="str">
            <v>m</v>
          </cell>
          <cell r="D8182">
            <v>0</v>
          </cell>
          <cell r="E8182">
            <v>1.93</v>
          </cell>
          <cell r="F8182">
            <v>1.93</v>
          </cell>
        </row>
        <row r="8183">
          <cell r="A8183" t="str">
            <v>420902</v>
          </cell>
          <cell r="B8183" t="str">
            <v>Cabo de controle numerado, de cobre, têmpera mole, encordoamento classe 5, 0,3/0,5kV, PVC 70C, tipo Sintenax Flex Controle, fab. PIRELLI ou similar, seção 3x1,0mm² (294754)</v>
          </cell>
          <cell r="C8183" t="str">
            <v>m</v>
          </cell>
          <cell r="D8183">
            <v>0</v>
          </cell>
          <cell r="E8183">
            <v>2.21</v>
          </cell>
          <cell r="F8183">
            <v>2.21</v>
          </cell>
        </row>
        <row r="8184">
          <cell r="A8184" t="str">
            <v>420903</v>
          </cell>
          <cell r="B8184" t="str">
            <v>Cabo de controle numerado, de cobre, têmpera mole, encordoamento classe 5, 0,3/0,5kV, PVC 70C, tipo Sintenax Flex Controle, fab. PIRELLI ou similar, seção 4x1,0mm²</v>
          </cell>
          <cell r="C8184" t="str">
            <v>m</v>
          </cell>
          <cell r="D8184">
            <v>0</v>
          </cell>
          <cell r="E8184">
            <v>2.65</v>
          </cell>
          <cell r="F8184">
            <v>2.65</v>
          </cell>
        </row>
        <row r="8185">
          <cell r="A8185" t="str">
            <v>420904</v>
          </cell>
          <cell r="B8185" t="str">
            <v>Cabo de controle numerado, de cobre, têmpera mole, encordoamento classe 5, 0,3/0,5kV, PVC 70C, tipo Sintenax Flex Controle, fab. PIRELLI ou similar, seção 6x1,0mm²</v>
          </cell>
          <cell r="C8185" t="str">
            <v>m</v>
          </cell>
          <cell r="D8185">
            <v>0</v>
          </cell>
          <cell r="E8185">
            <v>3.73</v>
          </cell>
          <cell r="F8185">
            <v>3.73</v>
          </cell>
        </row>
        <row r="8186">
          <cell r="A8186" t="str">
            <v>420905</v>
          </cell>
          <cell r="B8186" t="str">
            <v>Cabo de controle numerado, de cobre, têmpera mole, encordoamento classe 5, 0,3/0,5kV, PVC 70C, tipo Sintenax Flex Controle, fab. PIRELLI ou similar, seção 10x1,0mm²</v>
          </cell>
          <cell r="C8186" t="str">
            <v>m</v>
          </cell>
          <cell r="D8186">
            <v>0</v>
          </cell>
          <cell r="E8186">
            <v>6.36</v>
          </cell>
          <cell r="F8186">
            <v>6.36</v>
          </cell>
        </row>
        <row r="8187">
          <cell r="A8187" t="str">
            <v>420906</v>
          </cell>
          <cell r="B8187" t="str">
            <v>Cabo de controle numerado, de cobre, têmpera mole, encordoamento classe 5, 0,3/0,5kV, PVC 70C, tipo Sintenax Flex Controle, fab. PIRELLI ou similar, seção 12x1,0mm²</v>
          </cell>
          <cell r="C8187" t="str">
            <v>m</v>
          </cell>
          <cell r="D8187">
            <v>0</v>
          </cell>
          <cell r="E8187">
            <v>7.03</v>
          </cell>
          <cell r="F8187">
            <v>7.03</v>
          </cell>
        </row>
        <row r="8188">
          <cell r="A8188" t="str">
            <v>420907</v>
          </cell>
          <cell r="B8188" t="str">
            <v>Cabo de controle numerado, de cobre, têmpera mole, encordoamento classe 5, 0,3/0,5kV, PVC 70C, tipo Sintenax Flex Controle, fab. PIRELLI ou similar, seção 15x1,0mm²</v>
          </cell>
          <cell r="C8188" t="str">
            <v>m</v>
          </cell>
          <cell r="D8188">
            <v>0</v>
          </cell>
          <cell r="E8188">
            <v>9.1</v>
          </cell>
          <cell r="F8188">
            <v>9.1</v>
          </cell>
        </row>
        <row r="8189">
          <cell r="A8189" t="str">
            <v>420908</v>
          </cell>
          <cell r="B8189" t="str">
            <v>Cabo de controle numerado, de cobre, têmpera mole, encordoamento classe 5, 0,3/0,5kV, PVC 70C, tipo Sintenax Flex Controle, fab. PIRELLI ou similar, seção 20x1,0mm²</v>
          </cell>
          <cell r="C8189" t="str">
            <v>m</v>
          </cell>
          <cell r="D8189">
            <v>0</v>
          </cell>
          <cell r="E8189">
            <v>11.5</v>
          </cell>
          <cell r="F8189">
            <v>11.5</v>
          </cell>
        </row>
        <row r="8190">
          <cell r="A8190" t="str">
            <v>420909</v>
          </cell>
          <cell r="B8190" t="str">
            <v>Cabo de controle numerado, de cobre, têmpera mole, encordoamento classe 5, 0,3/0,5kV, PVC 70C, tipo Sintenax Flex Controle, fab. PIRELLI ou similar, seção 25x1,0mm²</v>
          </cell>
          <cell r="C8190" t="str">
            <v>m</v>
          </cell>
          <cell r="D8190">
            <v>0</v>
          </cell>
          <cell r="E8190">
            <v>13.96</v>
          </cell>
          <cell r="F8190">
            <v>13.96</v>
          </cell>
        </row>
        <row r="8191">
          <cell r="A8191" t="str">
            <v>420912</v>
          </cell>
          <cell r="B8191" t="str">
            <v>Cabo de controle numerado, de cobre, têmpera mole, encordoamento classe 5, 0,6/1,0kV, PVC 70C, tipo Sintenax Flex Controle, fab. PIRELLI ou similar, seção 2x1,5mm²</v>
          </cell>
          <cell r="C8191" t="str">
            <v>m</v>
          </cell>
          <cell r="D8191">
            <v>0</v>
          </cell>
          <cell r="E8191">
            <v>2.5499999999999998</v>
          </cell>
          <cell r="F8191">
            <v>2.5499999999999998</v>
          </cell>
        </row>
        <row r="8192">
          <cell r="A8192" t="str">
            <v>420913</v>
          </cell>
          <cell r="B8192" t="str">
            <v>Cabo de controle numerado, de cobre, têmpera mole, encordoamento classe 5, 0,6/1,0kV, PVC 70C, tipo Sintenax Flex Controle, fab. PIRELLI ou similar, seção 3x1,5mm²</v>
          </cell>
          <cell r="C8192" t="str">
            <v>m</v>
          </cell>
          <cell r="D8192">
            <v>0</v>
          </cell>
          <cell r="E8192">
            <v>3.49</v>
          </cell>
          <cell r="F8192">
            <v>3.49</v>
          </cell>
        </row>
        <row r="8193">
          <cell r="A8193" t="str">
            <v>420914</v>
          </cell>
          <cell r="B8193" t="str">
            <v>Cabo de controle numerado, de cobre, têmpera mole, encordoamento classe 5, 0,6/1,0kV, PVC 70C, tipo Sintenax Flex Controle, fab. PIRELLI ou similar, seção 4x1,5mm²</v>
          </cell>
          <cell r="C8193" t="str">
            <v>m</v>
          </cell>
          <cell r="D8193">
            <v>0</v>
          </cell>
          <cell r="E8193">
            <v>3.88</v>
          </cell>
          <cell r="F8193">
            <v>3.88</v>
          </cell>
        </row>
        <row r="8194">
          <cell r="A8194" t="str">
            <v>420915</v>
          </cell>
          <cell r="B8194" t="str">
            <v>Cabo de controle numerado, de cobre, têmpera mole, encordoamento classe 5, 0,6/1,0kV, PVC 70C, tipo Sintenax Flex Controle, fab. PIRELLI ou similar, seção 6x1,5mm²</v>
          </cell>
          <cell r="C8194" t="str">
            <v>m</v>
          </cell>
          <cell r="D8194">
            <v>0</v>
          </cell>
          <cell r="E8194">
            <v>4.67</v>
          </cell>
          <cell r="F8194">
            <v>4.67</v>
          </cell>
        </row>
        <row r="8195">
          <cell r="A8195" t="str">
            <v>420916</v>
          </cell>
          <cell r="B8195" t="str">
            <v>Cabo de controle numerado, de cobre, têmpera mole, encordoamento classe 5, 0,6/1,0kV, PVC 70C, tipo Sintenax Flex Controle, fab. PIRELLI ou similar, seção 7x1,5mm²</v>
          </cell>
          <cell r="C8195" t="str">
            <v>m</v>
          </cell>
          <cell r="D8195">
            <v>0</v>
          </cell>
          <cell r="E8195">
            <v>5.66</v>
          </cell>
          <cell r="F8195">
            <v>5.66</v>
          </cell>
        </row>
        <row r="8196">
          <cell r="A8196" t="str">
            <v>420917</v>
          </cell>
          <cell r="B8196" t="str">
            <v>Cabo de controle numerado, de cobre, têmpera mole, classe 5, 1kV, tipo Ficom-F, fab. FICAP ou similar, seção 5x1,5mm²</v>
          </cell>
          <cell r="C8196" t="str">
            <v>m</v>
          </cell>
          <cell r="D8196">
            <v>0</v>
          </cell>
          <cell r="E8196">
            <v>4.74</v>
          </cell>
          <cell r="F8196">
            <v>4.74</v>
          </cell>
        </row>
        <row r="8197">
          <cell r="A8197" t="str">
            <v>420918</v>
          </cell>
          <cell r="B8197" t="str">
            <v>Cabo de controle numerado, de cobre, têmpera mole, classe 5, 1kV, tipo Ficom-F, fab. FICAP ou similar, seção 7x1,5mm²</v>
          </cell>
          <cell r="C8197" t="str">
            <v>m</v>
          </cell>
          <cell r="D8197">
            <v>0</v>
          </cell>
          <cell r="E8197">
            <v>5.58</v>
          </cell>
          <cell r="F8197">
            <v>5.58</v>
          </cell>
        </row>
        <row r="8198">
          <cell r="A8198" t="str">
            <v>420919</v>
          </cell>
          <cell r="B8198" t="str">
            <v>Cabo de controle numerado, de cobre, têmpera mole, classe 5, 1kV, tipo Ficom-F, fab. FICAP ou similar, seção 9x1,5mm²</v>
          </cell>
          <cell r="C8198" t="str">
            <v>m</v>
          </cell>
          <cell r="D8198">
            <v>0</v>
          </cell>
          <cell r="E8198">
            <v>6.85</v>
          </cell>
          <cell r="F8198">
            <v>6.85</v>
          </cell>
        </row>
        <row r="8199">
          <cell r="A8199" t="str">
            <v>420920</v>
          </cell>
          <cell r="B8199" t="str">
            <v>Cabo de controle numerado, de cobre, têmpera mole, classe 5, 1kV, tipo Ficom-F, fab. FICAP ou similar, seção 12x1,5mm²</v>
          </cell>
          <cell r="C8199" t="str">
            <v>m</v>
          </cell>
          <cell r="D8199">
            <v>0</v>
          </cell>
          <cell r="E8199">
            <v>10.91</v>
          </cell>
          <cell r="F8199">
            <v>10.91</v>
          </cell>
        </row>
        <row r="8200">
          <cell r="A8200" t="str">
            <v>420921</v>
          </cell>
          <cell r="B8200" t="str">
            <v>Cabo de controle numerado, de cobre, têmpera mole, classe 5, 1kV, tipo Ficom-F, fab. FICAP ou similar, seção 15x1,5mm²</v>
          </cell>
          <cell r="C8200" t="str">
            <v>m</v>
          </cell>
          <cell r="D8200">
            <v>0</v>
          </cell>
          <cell r="E8200">
            <v>17.559999999999999</v>
          </cell>
          <cell r="F8200">
            <v>17.559999999999999</v>
          </cell>
        </row>
        <row r="8201">
          <cell r="A8201" t="str">
            <v>420922</v>
          </cell>
          <cell r="B8201" t="str">
            <v>Cabo de controle numerado, de cobre, têmpera mole, classe 5, 1kV, tipo Ficom-F, fab. FICAP ou similar, seção 20x1,5mm²</v>
          </cell>
          <cell r="C8201" t="str">
            <v>m</v>
          </cell>
          <cell r="D8201">
            <v>0</v>
          </cell>
          <cell r="E8201">
            <v>17.440000000000001</v>
          </cell>
          <cell r="F8201">
            <v>17.440000000000001</v>
          </cell>
        </row>
        <row r="8202">
          <cell r="A8202" t="str">
            <v>420923</v>
          </cell>
          <cell r="B8202" t="str">
            <v>Cabo de controle numerado, de cobre, têmpera mole, classe 5, 1kV, tipo Ficom-F, fab. FICAP ou similar, seção 25x1,5mm²</v>
          </cell>
          <cell r="C8202" t="str">
            <v>m</v>
          </cell>
          <cell r="D8202">
            <v>0</v>
          </cell>
          <cell r="E8202">
            <v>21.95</v>
          </cell>
          <cell r="F8202">
            <v>21.95</v>
          </cell>
        </row>
        <row r="8203">
          <cell r="A8203" t="str">
            <v>420924</v>
          </cell>
          <cell r="B8203" t="str">
            <v>Cabo de controle numerado, de cobre, têmpera mole, classe 5, 1kV, tipo Ficom-F, fab. FICAP ou similar, seção 5x2,5mm²</v>
          </cell>
          <cell r="C8203" t="str">
            <v>m</v>
          </cell>
          <cell r="D8203">
            <v>0</v>
          </cell>
          <cell r="E8203">
            <v>6.99</v>
          </cell>
          <cell r="F8203">
            <v>6.99</v>
          </cell>
        </row>
        <row r="8204">
          <cell r="A8204" t="str">
            <v>420925</v>
          </cell>
          <cell r="B8204" t="str">
            <v>Cabo de controle numerado, de cobre, têmpera mole, classe 5, 1kV, tipo Ficom-F, fab. FICAP ou similar, seção 7x2,5mm²</v>
          </cell>
          <cell r="C8204" t="str">
            <v>m</v>
          </cell>
          <cell r="D8204">
            <v>0</v>
          </cell>
          <cell r="E8204">
            <v>9.48</v>
          </cell>
          <cell r="F8204">
            <v>9.48</v>
          </cell>
        </row>
        <row r="8205">
          <cell r="A8205" t="str">
            <v>420926</v>
          </cell>
          <cell r="B8205" t="str">
            <v>Cabo de controle numerado, de cobre, têmpera mole, classe 5, 1kV, tipo Ficom-F, fab. FICAP ou similar, seção 9x2,5mm²</v>
          </cell>
          <cell r="C8205" t="str">
            <v>m</v>
          </cell>
          <cell r="D8205">
            <v>0</v>
          </cell>
          <cell r="E8205">
            <v>15.5</v>
          </cell>
          <cell r="F8205">
            <v>15.5</v>
          </cell>
        </row>
        <row r="8206">
          <cell r="A8206" t="str">
            <v>420927</v>
          </cell>
          <cell r="B8206" t="str">
            <v>Cabo de controle numerado, de cobre, têmpera mole, classe 5, 1kV, tipo Ficom-F, fab. FICAP ou similar, seção 12x2,5mm²</v>
          </cell>
          <cell r="C8206" t="str">
            <v>m</v>
          </cell>
          <cell r="D8206">
            <v>0</v>
          </cell>
          <cell r="E8206">
            <v>20.69</v>
          </cell>
          <cell r="F8206">
            <v>20.69</v>
          </cell>
        </row>
        <row r="8207">
          <cell r="A8207" t="str">
            <v>420928</v>
          </cell>
          <cell r="B8207" t="str">
            <v>Cabo de controle numerado, de cobre, têmpera mole, classe 5, 1kV, tipo Ficom-F, fab. FICAP ou similar, seção 15x2,5mm²</v>
          </cell>
          <cell r="C8207" t="str">
            <v>m</v>
          </cell>
          <cell r="D8207">
            <v>0</v>
          </cell>
          <cell r="E8207">
            <v>26.03</v>
          </cell>
          <cell r="F8207">
            <v>26.03</v>
          </cell>
        </row>
        <row r="8208">
          <cell r="A8208" t="str">
            <v>420929</v>
          </cell>
          <cell r="B8208" t="str">
            <v>Cabo de controle numerado, de cobre, têmpera mole, classe 5, 1kV, tipo Ficom-F, fab. FICAP ou similar, seção 20x2,5mm²</v>
          </cell>
          <cell r="C8208" t="str">
            <v>m</v>
          </cell>
          <cell r="D8208">
            <v>0</v>
          </cell>
          <cell r="E8208">
            <v>33.64</v>
          </cell>
          <cell r="F8208">
            <v>33.64</v>
          </cell>
        </row>
        <row r="8209">
          <cell r="A8209" t="str">
            <v>420930</v>
          </cell>
          <cell r="B8209" t="str">
            <v>Cabo de controle numerado, de cobre, têmpera mole, classe 5, 1kV, tipo Ficom-F, fab. FICAP ou similar, seção 25x2,5mm²</v>
          </cell>
          <cell r="C8209" t="str">
            <v>m</v>
          </cell>
          <cell r="D8209">
            <v>0</v>
          </cell>
          <cell r="E8209">
            <v>41.74</v>
          </cell>
          <cell r="F8209">
            <v>41.74</v>
          </cell>
        </row>
        <row r="8210">
          <cell r="A8210" t="str">
            <v>420931</v>
          </cell>
          <cell r="B8210" t="str">
            <v>Cabo de cobre estanhado flexível, em polietileno colorido, torcido em pares, blindagem par-a-par de fita metalizada, com fio dreno de cobre estanhado flexível, PVC, tipo Fisabyte, fab. FURUKAWA ou similar, bitola 2x18AWG</v>
          </cell>
          <cell r="C8210" t="str">
            <v>m</v>
          </cell>
          <cell r="D8210">
            <v>0</v>
          </cell>
          <cell r="E8210">
            <v>5.03</v>
          </cell>
          <cell r="F8210">
            <v>5.03</v>
          </cell>
        </row>
        <row r="8211">
          <cell r="A8211" t="str">
            <v>420932</v>
          </cell>
          <cell r="B8211" t="str">
            <v>Cabo de cobre estanhado flexível, em polietileno colorido, torcido em pares, blindagem par-a-par de fita metalizada, com fio dreno de cobre estanhado flexível, PVC, tipo Fisabyte, fab. FURUKAWA ou similar, bitola 2x24AWG</v>
          </cell>
          <cell r="C8211" t="str">
            <v>m</v>
          </cell>
          <cell r="D8211">
            <v>0</v>
          </cell>
          <cell r="E8211">
            <v>1.92</v>
          </cell>
          <cell r="F8211">
            <v>1.92</v>
          </cell>
        </row>
        <row r="8212">
          <cell r="A8212" t="str">
            <v>420933</v>
          </cell>
          <cell r="B8212" t="str">
            <v>Cabo coaxial, 50 Ohms, RGC 213, fab. KMP ou similar (19011)</v>
          </cell>
          <cell r="C8212" t="str">
            <v>m</v>
          </cell>
          <cell r="D8212">
            <v>0</v>
          </cell>
          <cell r="E8212">
            <v>9.4499999999999993</v>
          </cell>
          <cell r="F8212">
            <v>9.4499999999999993</v>
          </cell>
        </row>
        <row r="8213">
          <cell r="A8213" t="str">
            <v>420934</v>
          </cell>
          <cell r="B8213" t="str">
            <v>Cabo controle com blindagem eletrostática, 0,5/1kV, 70ºC, tipo TA, ref. 115 CA 02 CL5 FR, 2x1,5mm², fab. POLIRON ou similar</v>
          </cell>
          <cell r="C8213" t="str">
            <v>m</v>
          </cell>
          <cell r="D8213">
            <v>0</v>
          </cell>
          <cell r="E8213">
            <v>4.6500000000000004</v>
          </cell>
          <cell r="F8213">
            <v>4.6500000000000004</v>
          </cell>
        </row>
        <row r="8214">
          <cell r="A8214" t="str">
            <v>420935</v>
          </cell>
          <cell r="B8214" t="str">
            <v>Cabo controle com blindagem eletrostática, 0,5/1kV, 70ºC, tipo MA, ref. 115 CA 03 CL5 FR, 3x1,5mm², fab. POLIRON ou similar</v>
          </cell>
          <cell r="C8214" t="str">
            <v>m</v>
          </cell>
          <cell r="D8214">
            <v>0</v>
          </cell>
          <cell r="E8214">
            <v>7.14</v>
          </cell>
          <cell r="F8214">
            <v>7.14</v>
          </cell>
        </row>
        <row r="8215">
          <cell r="A8215" t="str">
            <v>420936</v>
          </cell>
          <cell r="B8215" t="str">
            <v>Cabo controle com blindagem eletrostática, 0,5/1kV, 70ºC, tipo TA, ref. 115 CA 04 CL5 FR, 4x1,5mm², fab. POLIRON ou similar</v>
          </cell>
          <cell r="C8215" t="str">
            <v>m</v>
          </cell>
          <cell r="D8215">
            <v>0</v>
          </cell>
          <cell r="E8215">
            <v>8.91</v>
          </cell>
          <cell r="F8215">
            <v>8.91</v>
          </cell>
        </row>
        <row r="8216">
          <cell r="A8216" t="str">
            <v>420937</v>
          </cell>
          <cell r="B8216" t="str">
            <v>Cabo controle com blindagem eletrostática, 0,3kV, 70ºC, tipo MA P, ref. 301 MA PE/PVC FR, 3x1,0mm², fab. POLIRON ou similar</v>
          </cell>
          <cell r="C8216" t="str">
            <v>m</v>
          </cell>
          <cell r="D8216">
            <v>0</v>
          </cell>
          <cell r="E8216">
            <v>5.6</v>
          </cell>
          <cell r="F8216">
            <v>5.6</v>
          </cell>
        </row>
        <row r="8217">
          <cell r="A8217" t="str">
            <v>420938</v>
          </cell>
          <cell r="B8217" t="str">
            <v>Cabo controle com blindagem eletrostática, 0,3kV, 70ºC, tipo MA P, ref. 201 MA PE/PVC FR, 2x1,0mm², fab. POLIRON ou similar</v>
          </cell>
          <cell r="C8217" t="str">
            <v>m</v>
          </cell>
          <cell r="D8217">
            <v>0</v>
          </cell>
          <cell r="E8217">
            <v>4.25</v>
          </cell>
          <cell r="F8217">
            <v>4.25</v>
          </cell>
        </row>
        <row r="8218">
          <cell r="A8218" t="str">
            <v>420939</v>
          </cell>
          <cell r="B8218" t="str">
            <v xml:space="preserve">Cabo com blindagem em trança de cobre,  tipo AF  - 2 x 18 AWG (T),  fab. RFS BRASIL KMP ou similar  </v>
          </cell>
          <cell r="C8218" t="str">
            <v>m</v>
          </cell>
          <cell r="D8218">
            <v>0</v>
          </cell>
          <cell r="E8218">
            <v>4.33</v>
          </cell>
          <cell r="F8218">
            <v>4.33</v>
          </cell>
        </row>
        <row r="8219">
          <cell r="A8219" t="str">
            <v>420940</v>
          </cell>
          <cell r="B8219" t="str">
            <v xml:space="preserve">Cabo com blindagem em trança de cobre,  tipo AF  - 3 x 18 AWG (T),  fab. RFS BRASIL KMP ou similar  </v>
          </cell>
          <cell r="C8219" t="str">
            <v>m</v>
          </cell>
          <cell r="D8219">
            <v>0</v>
          </cell>
          <cell r="E8219">
            <v>4.8899999999999997</v>
          </cell>
          <cell r="F8219">
            <v>4.8899999999999997</v>
          </cell>
        </row>
        <row r="8220">
          <cell r="A8220" t="str">
            <v>420941</v>
          </cell>
          <cell r="B8220" t="str">
            <v xml:space="preserve">Cabo com blindagem em trança de cobre,  tipo AF  - 3 x 24 AWG (T),  fab. RFS BRASIL KMP ou similar  </v>
          </cell>
          <cell r="C8220" t="str">
            <v>m</v>
          </cell>
          <cell r="D8220">
            <v>0</v>
          </cell>
          <cell r="E8220">
            <v>1.5</v>
          </cell>
          <cell r="F8220">
            <v>1.5</v>
          </cell>
        </row>
        <row r="8221">
          <cell r="A8221" t="str">
            <v>420942</v>
          </cell>
          <cell r="B8221" t="str">
            <v xml:space="preserve">Cabo optico, 4 fibras, 10 Base FX, instalação externa, tipo multimodo 62,5/125, revestido com fibra sintética dielétrica, proteção UV, capa externa de polietileno, ref. Fis-Optic-AS, fab. FURUKAWA ou similar </v>
          </cell>
          <cell r="C8221" t="str">
            <v>m</v>
          </cell>
          <cell r="D8221">
            <v>0</v>
          </cell>
          <cell r="E8221">
            <v>12.02</v>
          </cell>
          <cell r="F8221">
            <v>12.02</v>
          </cell>
        </row>
        <row r="8222">
          <cell r="A8222" t="str">
            <v>420943</v>
          </cell>
          <cell r="B8222" t="str">
            <v xml:space="preserve">Cabo optico, 6 fibras, 10 Base FX, instalação externa, tipo multimodo 62,5/125, revestido com fibra sintética dielétrica, proteção UV, capa externa de polietileno, ref. Fis-Optic-AS, fab. FURUKAWA ou similar </v>
          </cell>
          <cell r="C8222" t="str">
            <v>m</v>
          </cell>
          <cell r="D8222">
            <v>0</v>
          </cell>
          <cell r="E8222">
            <v>14.46</v>
          </cell>
          <cell r="F8222">
            <v>14.46</v>
          </cell>
        </row>
        <row r="8223">
          <cell r="A8223" t="str">
            <v>420944</v>
          </cell>
          <cell r="B8223" t="str">
            <v xml:space="preserve">Cabo optico, 8 fibras, 10 Base FX, instalação externa, tipo multimodo 62,5/125, revestido com fibra sintética dielétrica, proteção UV, capa externa de polietileno, ref. Fis-Optic-AS, fab. FURUKAWA ou similar </v>
          </cell>
          <cell r="C8223" t="str">
            <v>m</v>
          </cell>
          <cell r="D8223">
            <v>0</v>
          </cell>
          <cell r="E8223">
            <v>18.39</v>
          </cell>
          <cell r="F8223">
            <v>18.39</v>
          </cell>
        </row>
        <row r="8224">
          <cell r="A8224" t="str">
            <v>420945</v>
          </cell>
          <cell r="B8224" t="str">
            <v>Cabo para conexão elétrica (jumper), 600mm, plugue fêmea M12 / plugue PUR/PVC, ref. E10818, fab. IFM ou similar</v>
          </cell>
          <cell r="C8224" t="str">
            <v>m</v>
          </cell>
          <cell r="D8224">
            <v>0</v>
          </cell>
          <cell r="E8224">
            <v>165.51</v>
          </cell>
          <cell r="F8224">
            <v>165.51</v>
          </cell>
        </row>
        <row r="8225">
          <cell r="A8225" t="str">
            <v>420946</v>
          </cell>
          <cell r="B8225" t="str">
            <v>Cabo para rede AS-i, ref. E74000, fab. IFM ou similar</v>
          </cell>
          <cell r="C8225" t="str">
            <v>m</v>
          </cell>
          <cell r="D8225">
            <v>0</v>
          </cell>
          <cell r="E8225">
            <v>15.87</v>
          </cell>
          <cell r="F8225">
            <v>15.87</v>
          </cell>
        </row>
        <row r="8226">
          <cell r="A8226" t="str">
            <v>420947</v>
          </cell>
          <cell r="B8226" t="str">
            <v>Cabo para rede de comunicação ALNET-1-RS-485 ref. AL 2306, fab. ALTUS ou similar</v>
          </cell>
          <cell r="C8226" t="str">
            <v>m</v>
          </cell>
          <cell r="D8226">
            <v>0</v>
          </cell>
          <cell r="E8226">
            <v>30.63</v>
          </cell>
          <cell r="F8226">
            <v>30.63</v>
          </cell>
        </row>
        <row r="8227">
          <cell r="A8227" t="str">
            <v>420948</v>
          </cell>
          <cell r="B8227" t="str">
            <v xml:space="preserve">Cabo par trançado, para rede ethernet, uso interno, categoria 5, tipo Multilan, fab. FURUKAWA ou similar </v>
          </cell>
          <cell r="C8227" t="str">
            <v>m</v>
          </cell>
          <cell r="D8227">
            <v>0</v>
          </cell>
          <cell r="E8227">
            <v>1.76</v>
          </cell>
          <cell r="F8227">
            <v>1.76</v>
          </cell>
        </row>
        <row r="8228">
          <cell r="A8228" t="str">
            <v>420949</v>
          </cell>
          <cell r="B8228" t="str">
            <v>Cabo telefônico de cobre eletrolítico, isolação em termoplástico, núcleo protegido por capa APL, 20 pares, diâmetro do condutor 0,5mm,  tipo CCE-APL, fab. FURUKAWA ou similar (287503)</v>
          </cell>
          <cell r="C8228" t="str">
            <v>m</v>
          </cell>
          <cell r="D8228">
            <v>0</v>
          </cell>
          <cell r="E8228">
            <v>7.86</v>
          </cell>
          <cell r="F8228">
            <v>7.86</v>
          </cell>
        </row>
        <row r="8229">
          <cell r="A8229" t="str">
            <v>420950</v>
          </cell>
          <cell r="B8229" t="str">
            <v xml:space="preserve">Fio telefônico em liga de cobre, uso externo, com dois condutores paralelos bitola 2x1,0 mm², tipo FE 100, fab. PIRELLI ou similar </v>
          </cell>
          <cell r="C8229" t="str">
            <v>m</v>
          </cell>
          <cell r="D8229">
            <v>0</v>
          </cell>
          <cell r="E8229">
            <v>0.79</v>
          </cell>
          <cell r="F8229">
            <v>0.79</v>
          </cell>
          <cell r="G8229">
            <v>936</v>
          </cell>
        </row>
        <row r="8230">
          <cell r="A8230" t="str">
            <v>420951</v>
          </cell>
          <cell r="B8230" t="str">
            <v>Fio telefônico em liga de cobre, uso externo, com dois condutores paralelos bitola 2x1,6 mm², tipo FE 160, fab. PIRELLI ou similar (188727)</v>
          </cell>
          <cell r="C8230" t="str">
            <v>m</v>
          </cell>
          <cell r="D8230">
            <v>0</v>
          </cell>
          <cell r="E8230">
            <v>2.5299999999999998</v>
          </cell>
          <cell r="F8230">
            <v>2.5299999999999998</v>
          </cell>
        </row>
        <row r="8231">
          <cell r="A8231" t="str">
            <v>420952</v>
          </cell>
          <cell r="B8231" t="str">
            <v>Cabo de cobre, tempera mole, encordoamento classe 2, isolamento 6/10kV, termofixo de borracha EPR, temperatura 90°C em serviço contínuo, ref. PRYSMIAN ou similar, 16 mm²</v>
          </cell>
          <cell r="C8231" t="str">
            <v>m</v>
          </cell>
          <cell r="D8231">
            <v>0</v>
          </cell>
          <cell r="E8231">
            <v>36.17</v>
          </cell>
          <cell r="F8231">
            <v>36.17</v>
          </cell>
          <cell r="G8231">
            <v>911</v>
          </cell>
        </row>
        <row r="8232">
          <cell r="A8232" t="str">
            <v>420953</v>
          </cell>
          <cell r="B8232" t="str">
            <v>Cabo de cobre, tempera mole, encordoamento classe 2, isolamento 6/10kV, termofixo de borracha EPR, temperatura 90°C em serviço contínuo, ref. PRYSMIAN ou similar, 25 mm²</v>
          </cell>
          <cell r="C8232" t="str">
            <v>m</v>
          </cell>
          <cell r="D8232">
            <v>0</v>
          </cell>
          <cell r="E8232">
            <v>36.93</v>
          </cell>
          <cell r="F8232">
            <v>36.93</v>
          </cell>
          <cell r="G8232">
            <v>954</v>
          </cell>
        </row>
        <row r="8233">
          <cell r="A8233" t="str">
            <v>420954</v>
          </cell>
          <cell r="B8233" t="str">
            <v>Cabo de cobre, tempera mole, encordoamento classe 2, isolamento 6/10kV, termofixo de borracha EPR, temperatura 90°C em serviço contínuo, ref. PRYSMIAN ou similar, 35 mm²</v>
          </cell>
          <cell r="C8233" t="str">
            <v>m</v>
          </cell>
          <cell r="D8233">
            <v>0</v>
          </cell>
          <cell r="E8233">
            <v>42.03</v>
          </cell>
          <cell r="F8233">
            <v>42.03</v>
          </cell>
          <cell r="G8233">
            <v>912</v>
          </cell>
        </row>
        <row r="8234">
          <cell r="A8234" t="str">
            <v>420955</v>
          </cell>
          <cell r="B8234" t="str">
            <v>Cabo de cobre, tempera mole, encordoamento classe 2, isolamento 6/10kV, termofixo de borracha EPR, temperatura 90°C em serviço contínuo, ref. PRYSMIAN ou similar, 50 mm²</v>
          </cell>
          <cell r="C8234" t="str">
            <v>m</v>
          </cell>
          <cell r="D8234">
            <v>0</v>
          </cell>
          <cell r="E8234">
            <v>51.33</v>
          </cell>
          <cell r="F8234">
            <v>51.33</v>
          </cell>
          <cell r="G8234">
            <v>953</v>
          </cell>
        </row>
        <row r="8235">
          <cell r="A8235" t="str">
            <v>420956</v>
          </cell>
          <cell r="B8235" t="str">
            <v>Cabo de cobre, tempera mole, encordoamento classe 2, isolamento 6/10kV, termofixo de borracha EPR, temperatura 90°C em serviço contínuo, ref. PRYSMIAN ou similar, 70 mm²</v>
          </cell>
          <cell r="C8235" t="str">
            <v>m</v>
          </cell>
          <cell r="D8235">
            <v>0</v>
          </cell>
          <cell r="E8235">
            <v>67.5</v>
          </cell>
          <cell r="F8235">
            <v>67.5</v>
          </cell>
          <cell r="G8235">
            <v>913</v>
          </cell>
        </row>
        <row r="8236">
          <cell r="A8236" t="str">
            <v>420957</v>
          </cell>
          <cell r="B8236" t="str">
            <v>Cabo de cobre, tempera mole, encordoamento classe 2, isolamento 6/10kV, termofixo de borracha EPR, temperatura 90°C em serviço contínuo, ref. PRYSMIAN ou similar, 95 mm²</v>
          </cell>
          <cell r="C8236" t="str">
            <v>m</v>
          </cell>
          <cell r="D8236">
            <v>0</v>
          </cell>
          <cell r="E8236">
            <v>82.79</v>
          </cell>
          <cell r="F8236">
            <v>82.79</v>
          </cell>
          <cell r="G8236">
            <v>914</v>
          </cell>
        </row>
        <row r="8237">
          <cell r="A8237" t="str">
            <v>420958</v>
          </cell>
          <cell r="B8237" t="str">
            <v>Cabo de cobre, tempera mole, encordoamento classe 2, isolamento 6/10kV, termofixo de borracha EPR, temperatura 90°C em serviço contínuo, ref. PRYSMIAN ou similar, 120 mm²</v>
          </cell>
          <cell r="C8237" t="str">
            <v>m</v>
          </cell>
          <cell r="D8237">
            <v>0</v>
          </cell>
          <cell r="E8237">
            <v>73.069999999999993</v>
          </cell>
          <cell r="F8237">
            <v>73.069999999999993</v>
          </cell>
        </row>
        <row r="8238">
          <cell r="A8238" t="str">
            <v>420959</v>
          </cell>
          <cell r="B8238" t="str">
            <v>Cabo de cobre, tempera mole, encordoamento classe 2, isolamento 6/10kV, termofixo de borracha EPR, temperatura 90°C em serviço contínuo, ref. PRYSMIAN ou similar, 150 mm²</v>
          </cell>
          <cell r="C8238" t="str">
            <v>m</v>
          </cell>
          <cell r="D8238">
            <v>0</v>
          </cell>
          <cell r="E8238">
            <v>84.94</v>
          </cell>
          <cell r="F8238">
            <v>84.94</v>
          </cell>
        </row>
        <row r="8239">
          <cell r="A8239" t="str">
            <v>420960</v>
          </cell>
          <cell r="B8239" t="str">
            <v>Cabo de cobre, tempera mole, encordoamento classe 2, isolamento 12/20kV, termofixo de borracha EPR, temperatura 90°C em serviço contínuo, ref. PRYSMIAN ou similar, 16 mm²</v>
          </cell>
          <cell r="C8239" t="str">
            <v>m</v>
          </cell>
          <cell r="D8239">
            <v>0</v>
          </cell>
          <cell r="E8239">
            <v>24.71</v>
          </cell>
          <cell r="F8239">
            <v>24.71</v>
          </cell>
        </row>
        <row r="8240">
          <cell r="A8240" t="str">
            <v>420961</v>
          </cell>
          <cell r="B8240" t="str">
            <v>Cabo de cobre, tempera mole, encordoamento classe 2, isolamento 12/20kV, termofixo de borracha EPR, temperatura 90°C em serviço contínuo, ref. PRYSMIAN ou similar, 25 mm²</v>
          </cell>
          <cell r="C8240" t="str">
            <v>m</v>
          </cell>
          <cell r="D8240">
            <v>0</v>
          </cell>
          <cell r="E8240">
            <v>27.41</v>
          </cell>
          <cell r="F8240">
            <v>27.41</v>
          </cell>
        </row>
        <row r="8241">
          <cell r="A8241" t="str">
            <v>420962</v>
          </cell>
          <cell r="B8241" t="str">
            <v>Cabo de cobre, tempera mole, encordoamento classe 2, isolamento 12/20kV, termofixo de borracha EPR, temperatura 90°C em serviço contínuo, ref. PRYSMIAN ou similar, 35 mm²</v>
          </cell>
          <cell r="C8241" t="str">
            <v>m</v>
          </cell>
          <cell r="D8241">
            <v>0</v>
          </cell>
          <cell r="E8241">
            <v>39.53</v>
          </cell>
          <cell r="F8241">
            <v>39.53</v>
          </cell>
          <cell r="G8241">
            <v>901</v>
          </cell>
        </row>
        <row r="8242">
          <cell r="A8242" t="str">
            <v>420963</v>
          </cell>
          <cell r="B8242" t="str">
            <v>Cabo de cobre, tempera mole, encordoamento classe 2, isolamento 12/20kV, termofixo de borracha EPR, temperatura 90°C em serviço contínuo, ref. PRYSMIAN ou similar, 50 mm² (292614)</v>
          </cell>
          <cell r="C8242" t="str">
            <v>m</v>
          </cell>
          <cell r="D8242">
            <v>0</v>
          </cell>
          <cell r="E8242">
            <v>50.17</v>
          </cell>
          <cell r="F8242">
            <v>50.17</v>
          </cell>
          <cell r="G8242">
            <v>955</v>
          </cell>
        </row>
        <row r="8243">
          <cell r="A8243" t="str">
            <v>420964</v>
          </cell>
          <cell r="B8243" t="str">
            <v>Cabo de cobre, tempera mole, encordoamento classe 2, isolamento 12/20kV, termofixo de borracha EPR, temperatura 90°C em serviço contínuo, ref. PRYSMIAN ou similar, 70 mm²</v>
          </cell>
          <cell r="C8243" t="str">
            <v>m</v>
          </cell>
          <cell r="D8243">
            <v>0</v>
          </cell>
          <cell r="E8243">
            <v>62.39</v>
          </cell>
          <cell r="F8243">
            <v>62.39</v>
          </cell>
          <cell r="G8243">
            <v>902</v>
          </cell>
        </row>
        <row r="8244">
          <cell r="A8244" t="str">
            <v>420965</v>
          </cell>
          <cell r="B8244" t="str">
            <v>Cabo de cobre, tempera mole, encordoamento classe 2, isolamento 12/20kV, termofixo de borracha EPR, temperatura 90°C em serviço contínuo, ref. PRYSMIAN ou similar, 95 mm²</v>
          </cell>
          <cell r="C8244" t="str">
            <v>m</v>
          </cell>
          <cell r="D8244">
            <v>0</v>
          </cell>
          <cell r="E8244">
            <v>76.39</v>
          </cell>
          <cell r="F8244">
            <v>76.39</v>
          </cell>
          <cell r="G8244">
            <v>903</v>
          </cell>
        </row>
        <row r="8245">
          <cell r="A8245" t="str">
            <v>420966</v>
          </cell>
          <cell r="B8245" t="str">
            <v>Cabo de cobre, tempera mole, encordoamento classe 2, isolamento 12/20kV, termofixo de borracha EPR, temperatura 90°C em serviço contínuo, ref. PRYSMIAN ou similar, 120 mm²</v>
          </cell>
          <cell r="C8245" t="str">
            <v>m</v>
          </cell>
          <cell r="D8245">
            <v>0</v>
          </cell>
          <cell r="E8245">
            <v>64.510000000000005</v>
          </cell>
          <cell r="F8245">
            <v>64.510000000000005</v>
          </cell>
        </row>
        <row r="8246">
          <cell r="A8246" t="str">
            <v>420967</v>
          </cell>
          <cell r="B8246" t="str">
            <v>Cabo de cobre, tempera mole, encordoamento classe 2, isolamento 12/20kV, termofixo de borracha EPR, temperatura 90°C em serviço contínuo, ref. PRYSMIAN ou similar, 150 mm²</v>
          </cell>
          <cell r="C8246" t="str">
            <v>m</v>
          </cell>
          <cell r="D8246">
            <v>0</v>
          </cell>
          <cell r="E8246">
            <v>74.400000000000006</v>
          </cell>
          <cell r="F8246">
            <v>74.400000000000006</v>
          </cell>
        </row>
        <row r="8247">
          <cell r="A8247" t="str">
            <v>420968</v>
          </cell>
          <cell r="B8247" t="str">
            <v>Cabo de cobre, tempera mole, encordoamento classe 2, isolamento 20/35kV, termofixo de borracha EPR, temperatura 90°C em serviço contínuo, ref. PRYSMIAN ou similar, 50 mm²</v>
          </cell>
          <cell r="C8247" t="str">
            <v>m</v>
          </cell>
          <cell r="D8247">
            <v>0</v>
          </cell>
          <cell r="E8247">
            <v>77.8</v>
          </cell>
          <cell r="F8247">
            <v>77.8</v>
          </cell>
          <cell r="G8247">
            <v>873</v>
          </cell>
        </row>
        <row r="8248">
          <cell r="A8248" t="str">
            <v>420969</v>
          </cell>
          <cell r="B8248" t="str">
            <v>Cabo de cobre, tempera mole, encordoamento classe 2, isolamento 20/35kV, termofixo de borracha EPR, temperatura 90°C em serviço contínuo, ref. PRYSMIAN ou similar, 70 mm²</v>
          </cell>
          <cell r="C8248" t="str">
            <v>m</v>
          </cell>
          <cell r="D8248">
            <v>0</v>
          </cell>
          <cell r="E8248">
            <v>92.34</v>
          </cell>
          <cell r="F8248">
            <v>92.34</v>
          </cell>
          <cell r="G8248">
            <v>874</v>
          </cell>
        </row>
        <row r="8249">
          <cell r="A8249" t="str">
            <v>420970</v>
          </cell>
          <cell r="B8249" t="str">
            <v>Cabo de cobre, tempera mole, encordoamento classe 2, isolamento 20/35kV, termofixo de borracha EPR, temperatura 90°C em serviço contínuo, ref. PRYSMIAN ou similar, 95 mm²</v>
          </cell>
          <cell r="C8249" t="str">
            <v>m</v>
          </cell>
          <cell r="D8249">
            <v>0</v>
          </cell>
          <cell r="E8249">
            <v>110.17</v>
          </cell>
          <cell r="F8249">
            <v>110.17</v>
          </cell>
          <cell r="G8249">
            <v>875</v>
          </cell>
        </row>
        <row r="8250">
          <cell r="A8250" t="str">
            <v>420971</v>
          </cell>
          <cell r="B8250" t="str">
            <v>Cabo de cobre, tempera mole, encordoamento classe 2, isolamento 20/35kV, termofixo de borracha EPR, temperatura 90°C em serviço contínuo, ref. PRYSMIAN ou similar, 120 mm²</v>
          </cell>
          <cell r="C8250" t="str">
            <v>m</v>
          </cell>
          <cell r="D8250">
            <v>0</v>
          </cell>
          <cell r="E8250">
            <v>115.86</v>
          </cell>
          <cell r="F8250">
            <v>115.86</v>
          </cell>
          <cell r="G8250">
            <v>876</v>
          </cell>
        </row>
        <row r="8251">
          <cell r="A8251" t="str">
            <v>420972</v>
          </cell>
          <cell r="B8251" t="str">
            <v>Cabo de cobre, tempera mole, encordoamento classe 2, isolamento 20/35kV, termofixo de borracha EPR, temperatura 90°C em serviço contínuo, ref. PRYSMIAN ou similar, 150 mm²</v>
          </cell>
          <cell r="C8251" t="str">
            <v>m</v>
          </cell>
          <cell r="D8251">
            <v>0</v>
          </cell>
          <cell r="E8251">
            <v>136.19999999999999</v>
          </cell>
          <cell r="F8251">
            <v>136.19999999999999</v>
          </cell>
          <cell r="G8251">
            <v>877</v>
          </cell>
        </row>
        <row r="8252">
          <cell r="A8252" t="str">
            <v>420973</v>
          </cell>
          <cell r="B8252" t="str">
            <v>Cabo coaxial, 50 Ohms, ref. FLAMEX RG58, fab. FICAP ou similar (288067)</v>
          </cell>
          <cell r="C8252" t="str">
            <v>m</v>
          </cell>
          <cell r="D8252">
            <v>0</v>
          </cell>
          <cell r="E8252">
            <v>4.03</v>
          </cell>
          <cell r="F8252">
            <v>4.03</v>
          </cell>
        </row>
        <row r="8253">
          <cell r="A8253" t="str">
            <v>420974</v>
          </cell>
          <cell r="B8253" t="str">
            <v xml:space="preserve">Cabo par trançado, para rede ethernet, uso interno, U/UTP 23AWGX4P CAT.6 CM VM RoHS - 23400044 - FURUKAWA ou similar </v>
          </cell>
          <cell r="C8253" t="str">
            <v>m</v>
          </cell>
          <cell r="D8253">
            <v>0</v>
          </cell>
          <cell r="E8253">
            <v>3.06</v>
          </cell>
          <cell r="F8253">
            <v>3.06</v>
          </cell>
        </row>
        <row r="8254">
          <cell r="A8254" t="str">
            <v>420975</v>
          </cell>
          <cell r="B8254" t="str">
            <v>Cabo coaxial superflexível, 50 ohms, velocidade de propagação 82%, atenuação 10,6dB/100m à freq. 900MHz, raio de curvatura mínimo 32mm, tipo SCF12-50J. fab.  RFS ou similar</v>
          </cell>
          <cell r="C8254" t="str">
            <v>m</v>
          </cell>
          <cell r="D8254">
            <v>0</v>
          </cell>
          <cell r="E8254">
            <v>31.2</v>
          </cell>
          <cell r="F8254">
            <v>31.2</v>
          </cell>
        </row>
        <row r="8255">
          <cell r="A8255" t="str">
            <v>420976</v>
          </cell>
          <cell r="B8255" t="str">
            <v>Cabo coaxial, 50 ohms, veloc. Propag. 82%, 33,7dB/100m à freq. 900MHz, tipo RGC58, fab. RFS ou similar</v>
          </cell>
          <cell r="C8255" t="str">
            <v>m</v>
          </cell>
          <cell r="D8255">
            <v>0</v>
          </cell>
          <cell r="E8255">
            <v>6.71</v>
          </cell>
          <cell r="F8255">
            <v>6.71</v>
          </cell>
        </row>
        <row r="8256">
          <cell r="A8256" t="str">
            <v>420977</v>
          </cell>
          <cell r="B8256" t="str">
            <v>Cabo de controle numerado, de cobre, têmpera mole, encordoamento classe 5, 0,3/0,5kV, PVC 70°C, tipo Sintenax Flex Controle, fab. PIRELLI ou similar, seção 5x1,0mm²</v>
          </cell>
          <cell r="C8256" t="str">
            <v>m</v>
          </cell>
          <cell r="D8256">
            <v>0</v>
          </cell>
          <cell r="E8256">
            <v>3.25</v>
          </cell>
          <cell r="F8256">
            <v>3.25</v>
          </cell>
        </row>
        <row r="8257">
          <cell r="A8257" t="str">
            <v>420978</v>
          </cell>
          <cell r="B8257" t="str">
            <v>Cabo de controle numerado, de cobre, têmpera mole, encordoamento classe 5, 0,3/0,5kV, PVC 70°C, tipo Sintenax Flex Controle, fab. PIRELLI ou similar, seção 7x1,0mm²</v>
          </cell>
          <cell r="C8257" t="str">
            <v>m</v>
          </cell>
          <cell r="D8257">
            <v>0</v>
          </cell>
          <cell r="E8257">
            <v>4.37</v>
          </cell>
          <cell r="F8257">
            <v>4.37</v>
          </cell>
        </row>
        <row r="8258">
          <cell r="A8258" t="str">
            <v>420979</v>
          </cell>
          <cell r="B8258" t="str">
            <v>Cabo de controle numerado, de cobre, têmpera mole, encordoamento classe 5, 0,3/0,5kV, PVC 70°C, tipo Sintenax Flex Controle, fab. PIRELLI ou similar, seção 9x1,0mm²</v>
          </cell>
          <cell r="C8258" t="str">
            <v>m</v>
          </cell>
          <cell r="D8258">
            <v>0</v>
          </cell>
          <cell r="E8258">
            <v>5.64</v>
          </cell>
          <cell r="F8258">
            <v>5.64</v>
          </cell>
        </row>
        <row r="8259">
          <cell r="A8259" t="str">
            <v>420980</v>
          </cell>
          <cell r="B8259" t="str">
            <v>Cabo de controle numerado, de cobre, têmpera mole, encordoamento classe 5, 0,6/1,0kV, PVC 70ºC, tipo Sintenax Flex Controle, fab. PIRELLI ou similar, seção 5x1,5mm²</v>
          </cell>
          <cell r="C8259" t="str">
            <v>m</v>
          </cell>
          <cell r="D8259">
            <v>0</v>
          </cell>
          <cell r="E8259">
            <v>4.74</v>
          </cell>
          <cell r="F8259">
            <v>4.74</v>
          </cell>
        </row>
        <row r="8260">
          <cell r="A8260" t="str">
            <v>420981</v>
          </cell>
          <cell r="B8260" t="str">
            <v>Cabo de controle numerado, de cobre, têmpera mole, encordoamento classe 5, 0,6/1,0kV, PVC 70ºC, tipo Sintenax Flex Controle, fab. PIRELLI ou similar, seção 9x1,5mm²</v>
          </cell>
          <cell r="C8260" t="str">
            <v>m</v>
          </cell>
          <cell r="D8260">
            <v>0</v>
          </cell>
          <cell r="E8260">
            <v>10.48</v>
          </cell>
          <cell r="F8260">
            <v>10.48</v>
          </cell>
        </row>
        <row r="8261">
          <cell r="A8261" t="str">
            <v>420982</v>
          </cell>
          <cell r="B8261" t="str">
            <v>Cabo de controle numerado, de cobre, têmpera mole, encordoamento classe 5, 0,6/1,0kV, PVC 70ºC, tipo Sintenax Flex Controle, fab. PIRELLI ou similar, seção 12x1,5mm²</v>
          </cell>
          <cell r="C8261" t="str">
            <v>m</v>
          </cell>
          <cell r="D8261">
            <v>0</v>
          </cell>
          <cell r="E8261">
            <v>10.91</v>
          </cell>
          <cell r="F8261">
            <v>10.91</v>
          </cell>
        </row>
        <row r="8262">
          <cell r="A8262" t="str">
            <v>420983</v>
          </cell>
          <cell r="B8262" t="str">
            <v>Cabo de controle numerado, de cobre, têmpera mole, encordoamento classe 5, 0,6/1,0kV, PVC 70ºC, tipo Sintenax Flex Controle, fab. PIRELLI ou similar, seção 15x1,5mm²</v>
          </cell>
          <cell r="C8262" t="str">
            <v>m</v>
          </cell>
          <cell r="D8262">
            <v>0</v>
          </cell>
          <cell r="E8262">
            <v>17.55</v>
          </cell>
          <cell r="F8262">
            <v>17.55</v>
          </cell>
        </row>
        <row r="8263">
          <cell r="A8263" t="str">
            <v>420984</v>
          </cell>
          <cell r="B8263" t="str">
            <v>Cabo de controle numerado, de cobre, têmpera mole, encordoamento classe 5, 0,6/1,0kV, PVC 70ºC, tipo Sintenax Flex Controle, fab. PIRELLI ou similar, seção 20x1,5mm²</v>
          </cell>
          <cell r="C8263" t="str">
            <v>m</v>
          </cell>
          <cell r="D8263">
            <v>0</v>
          </cell>
          <cell r="E8263">
            <v>17.440000000000001</v>
          </cell>
          <cell r="F8263">
            <v>17.440000000000001</v>
          </cell>
        </row>
        <row r="8264">
          <cell r="A8264" t="str">
            <v>420985</v>
          </cell>
          <cell r="B8264" t="str">
            <v>Cabo de controle numerado, de cobre, têmpera mole, encordoamento classe 5, 0,6/1,0kV, PVC 70ºC, tipo Sintenax Flex Controle, fab. PIRELLI ou similar, seção 25x1,5mm²</v>
          </cell>
          <cell r="C8264" t="str">
            <v>m</v>
          </cell>
          <cell r="D8264">
            <v>0</v>
          </cell>
          <cell r="E8264">
            <v>21.95</v>
          </cell>
          <cell r="F8264">
            <v>21.95</v>
          </cell>
        </row>
        <row r="8265">
          <cell r="A8265" t="str">
            <v>420986</v>
          </cell>
          <cell r="B8265" t="str">
            <v>Cabo de cobre, tempera mole, encordoamento classe 2, isolamento 3,6/6kV, termofixo de borracha EPR, temperatura 90°C em serviço contínuo, ref. PRYSMIAN ou similar, 25 mm²</v>
          </cell>
          <cell r="C8265" t="str">
            <v>m</v>
          </cell>
          <cell r="D8265">
            <v>0</v>
          </cell>
          <cell r="E8265">
            <v>33.43</v>
          </cell>
          <cell r="F8265">
            <v>33.43</v>
          </cell>
          <cell r="G8265">
            <v>925</v>
          </cell>
        </row>
        <row r="8266">
          <cell r="A8266" t="str">
            <v>420987</v>
          </cell>
          <cell r="B8266" t="str">
            <v>Cabo de cobre, tempera mole, encordoamento classe 2, isolamento 3,6/6kV, termofixo de borracha EPR, temperatura 90°C em serviço contínuo, ref. PRYSMIAN ou similar, 35 mm²</v>
          </cell>
          <cell r="C8266" t="str">
            <v>m</v>
          </cell>
          <cell r="D8266">
            <v>0</v>
          </cell>
          <cell r="E8266">
            <v>41.77</v>
          </cell>
          <cell r="F8266">
            <v>41.77</v>
          </cell>
          <cell r="G8266">
            <v>926</v>
          </cell>
        </row>
        <row r="8267">
          <cell r="A8267" t="str">
            <v>420988</v>
          </cell>
          <cell r="B8267" t="str">
            <v>Cabo de cobre, tempera mole, encordoamento classe 2, isolamento 3,6/6kV, termofixo de borracha EPR, temperatura 90°C em serviço contínuo, ref. PRYSMIAN ou similar, 50 mm²</v>
          </cell>
          <cell r="C8267" t="str">
            <v>m</v>
          </cell>
          <cell r="D8267">
            <v>0</v>
          </cell>
          <cell r="E8267">
            <v>56.4</v>
          </cell>
          <cell r="F8267">
            <v>56.4</v>
          </cell>
          <cell r="G8267">
            <v>946</v>
          </cell>
        </row>
        <row r="8268">
          <cell r="A8268" t="str">
            <v>420989</v>
          </cell>
          <cell r="B8268" t="str">
            <v>Cabo de cobre, tempera mole, encordoamento classe 2, isolamento 3,6/6kV, termofixo de borracha EPR, temperatura 90°C em serviço contínuo, ref. PRYSMIAN ou similar, 70 mm²</v>
          </cell>
          <cell r="C8268" t="str">
            <v>m</v>
          </cell>
          <cell r="D8268">
            <v>0</v>
          </cell>
          <cell r="E8268">
            <v>60.48</v>
          </cell>
          <cell r="F8268">
            <v>60.48</v>
          </cell>
          <cell r="G8268">
            <v>927</v>
          </cell>
        </row>
        <row r="8269">
          <cell r="A8269" t="str">
            <v>420990</v>
          </cell>
          <cell r="B8269" t="str">
            <v>Cabo de cobre, tempera mole, encordoamento classe 2, isolamento 3,6/6kV, termofixo de borracha EPR, temperatura 90°C em serviço contínuo, ref. PRYSMIAN ou similar, 95 mm²</v>
          </cell>
          <cell r="C8269" t="str">
            <v>m</v>
          </cell>
          <cell r="D8269">
            <v>0</v>
          </cell>
          <cell r="E8269">
            <v>80.81</v>
          </cell>
          <cell r="F8269">
            <v>80.81</v>
          </cell>
          <cell r="G8269">
            <v>945</v>
          </cell>
        </row>
        <row r="8270">
          <cell r="A8270" t="str">
            <v>420991</v>
          </cell>
          <cell r="B8270" t="str">
            <v>Cabo de cobre, tempera mole, encordoamento classe 2, isolamento 3,6/6kV, termofixo de borracha EPR, temperatura 90°C em serviço contínuo, ref. PRYSMIAN ou similar, 120 mm²</v>
          </cell>
          <cell r="C8270" t="str">
            <v>m</v>
          </cell>
          <cell r="D8270">
            <v>0</v>
          </cell>
          <cell r="E8270">
            <v>49.89</v>
          </cell>
          <cell r="F8270">
            <v>49.89</v>
          </cell>
        </row>
        <row r="8271">
          <cell r="A8271" t="str">
            <v>420992</v>
          </cell>
          <cell r="B8271" t="str">
            <v>Cabo de cobre, tempera mole, encordoamento classe 2, isolamento 3,6/6kV, termofixo de borracha EPR, temperatura 90°C em serviço contínuo, ref. PRYSMIAN ou similar, 150 mm²</v>
          </cell>
          <cell r="C8271" t="str">
            <v>m</v>
          </cell>
          <cell r="D8271">
            <v>0</v>
          </cell>
          <cell r="E8271">
            <v>67.72</v>
          </cell>
          <cell r="F8271">
            <v>67.72</v>
          </cell>
        </row>
        <row r="8272">
          <cell r="A8272" t="str">
            <v>420993</v>
          </cell>
          <cell r="B8272" t="str">
            <v>Cabo de comunicação rede PROFIBUS DP 1x2#22 AWG classe 1 NM280. Isolação PE, cores vermelho e verde-escuro, 300V, blindagem fita poliéster + alum. invertido, capa em PVC, blindagem trança de cobre, cor preta, ref. POLIRON ou similar</v>
          </cell>
          <cell r="C8272" t="str">
            <v>m</v>
          </cell>
          <cell r="D8272">
            <v>0</v>
          </cell>
          <cell r="E8272">
            <v>7.77</v>
          </cell>
          <cell r="F8272">
            <v>7.77</v>
          </cell>
        </row>
        <row r="8273">
          <cell r="A8273" t="str">
            <v>420994</v>
          </cell>
          <cell r="B8273" t="str">
            <v>Cabo de comunicação rede PROFIBUS DP 1x2#22 AWG classe 1 NM280. Isolação PE EXP,  cores vermelho e verde-escuro, 300V, blindagem fita poliéster + alum.invertido, capa em PVC, blind. trança de cobre, ext. ST2 105°C, cor violeta, fab. POLIRON ou similar</v>
          </cell>
          <cell r="C8273" t="str">
            <v>m</v>
          </cell>
          <cell r="D8273">
            <v>0</v>
          </cell>
          <cell r="E8273">
            <v>7.77</v>
          </cell>
          <cell r="F8273">
            <v>7.77</v>
          </cell>
        </row>
        <row r="8274">
          <cell r="A8274" t="str">
            <v>420995</v>
          </cell>
          <cell r="B8274" t="str">
            <v xml:space="preserve">Cabo par trançado, para rede ethernet, uso interno, categoria 6, tipo Gigalan U/UTP 23AWGX4P, VM ROHS, ref. 23400044, fab. FURUKAWA ou similar </v>
          </cell>
          <cell r="C8274" t="str">
            <v>m</v>
          </cell>
          <cell r="D8274">
            <v>0</v>
          </cell>
          <cell r="E8274">
            <v>2.25</v>
          </cell>
          <cell r="F8274">
            <v>2.25</v>
          </cell>
        </row>
        <row r="8275">
          <cell r="A8275" t="str">
            <v>4211</v>
          </cell>
          <cell r="B8275" t="str">
            <v>CAIXAS DE PASSAGEM E LIGAÇÃO EM ALUMINIO</v>
          </cell>
        </row>
        <row r="8276">
          <cell r="A8276" t="str">
            <v>421101</v>
          </cell>
          <cell r="B8276" t="str">
            <v>Caixa de passagem e ligação em liga de alumínio injetado, tipo condulete, tamanho N, instalação abrigada (D-S-PA), ref. DN, fab. DAISA ou similar, bitola 3/4", tipo LL</v>
          </cell>
          <cell r="C8276" t="str">
            <v>ud</v>
          </cell>
          <cell r="D8276">
            <v>0</v>
          </cell>
          <cell r="E8276">
            <v>14.48</v>
          </cell>
          <cell r="F8276">
            <v>14.48</v>
          </cell>
        </row>
        <row r="8277">
          <cell r="A8277" t="str">
            <v>421102</v>
          </cell>
          <cell r="B8277" t="str">
            <v>Caixa de passagem e ligação em liga de alumínio injetado, tipo condulete, tamanho N, instalação abrigada (D-S-PA), ref. DN, fab. DAISA ou similar, bitola 3/4", tipo LR</v>
          </cell>
          <cell r="C8277" t="str">
            <v>ud</v>
          </cell>
          <cell r="D8277">
            <v>0</v>
          </cell>
          <cell r="E8277">
            <v>14.48</v>
          </cell>
          <cell r="F8277">
            <v>14.48</v>
          </cell>
        </row>
        <row r="8278">
          <cell r="A8278" t="str">
            <v>421103</v>
          </cell>
          <cell r="B8278" t="str">
            <v>Caixa de passagem e ligação em liga de alumínio injetado, tipo condulete, tamanho N, instalação abrigada (D-S-PA), ref. DN, fab. DAISA ou similar, bitola 3/4", tipo LB</v>
          </cell>
          <cell r="C8278" t="str">
            <v>ud</v>
          </cell>
          <cell r="D8278">
            <v>0</v>
          </cell>
          <cell r="E8278">
            <v>14.48</v>
          </cell>
          <cell r="F8278">
            <v>14.48</v>
          </cell>
        </row>
        <row r="8279">
          <cell r="A8279" t="str">
            <v>421104</v>
          </cell>
          <cell r="B8279" t="str">
            <v>Caixa de passagem e ligação em liga de alumínio injetado, tipo condulete, tamanho N, instalação abrigada (D-S-PA), ref. DN, fab. DAISA ou similar, bitola 3/4", tipo T</v>
          </cell>
          <cell r="C8279" t="str">
            <v>ud</v>
          </cell>
          <cell r="D8279">
            <v>0</v>
          </cell>
          <cell r="E8279">
            <v>16.09</v>
          </cell>
          <cell r="F8279">
            <v>16.09</v>
          </cell>
        </row>
        <row r="8280">
          <cell r="A8280" t="str">
            <v>421105</v>
          </cell>
          <cell r="B8280" t="str">
            <v>Caixa de passagem e ligação em liga de alumínio injetado, tipo condulete, tamanho N, instalação abrigada (D-S-PA), ref. DN, fab. DAISA ou similar, bitola 3/4", tipo X</v>
          </cell>
          <cell r="C8280" t="str">
            <v>ud</v>
          </cell>
          <cell r="D8280">
            <v>0</v>
          </cell>
          <cell r="E8280">
            <v>16.739999999999998</v>
          </cell>
          <cell r="F8280">
            <v>16.739999999999998</v>
          </cell>
        </row>
        <row r="8281">
          <cell r="A8281" t="str">
            <v>421106</v>
          </cell>
          <cell r="B8281" t="str">
            <v>Caixa de passagem e ligação em liga de alumínio injetado, tipo condulete, tamanho N, instalação abrigada (D-S-PA), ref. DN, fab. DAISA ou similar, bitola 3/4", tipo E</v>
          </cell>
          <cell r="C8281" t="str">
            <v>ud</v>
          </cell>
          <cell r="D8281">
            <v>0</v>
          </cell>
          <cell r="E8281">
            <v>12.68</v>
          </cell>
          <cell r="F8281">
            <v>12.68</v>
          </cell>
        </row>
        <row r="8282">
          <cell r="A8282" t="str">
            <v>421107</v>
          </cell>
          <cell r="B8282" t="str">
            <v>Caixa de passagem e ligação em liga de alumínio injetado, tipo condulete, tamanho N, instalação abrigada (D-S-PA), ref. DN, fab. DAISA ou similar, bitola 3/4", tipo C</v>
          </cell>
          <cell r="C8282" t="str">
            <v>ud</v>
          </cell>
          <cell r="D8282">
            <v>0</v>
          </cell>
          <cell r="E8282">
            <v>14.48</v>
          </cell>
          <cell r="F8282">
            <v>14.48</v>
          </cell>
        </row>
        <row r="8283">
          <cell r="A8283" t="str">
            <v>421108</v>
          </cell>
          <cell r="B8283" t="str">
            <v>Caixa de passagem e ligação em liga de alumínio injetado, tipo condulete, tamanho N, instalação abrigada (D-S-PA), ref. DN, fab. DAISA ou similar, bitola 3/4", tipo TB</v>
          </cell>
          <cell r="C8283" t="str">
            <v>ud</v>
          </cell>
          <cell r="D8283">
            <v>0</v>
          </cell>
          <cell r="E8283">
            <v>16.09</v>
          </cell>
          <cell r="F8283">
            <v>16.09</v>
          </cell>
        </row>
        <row r="8284">
          <cell r="A8284" t="str">
            <v>421109</v>
          </cell>
          <cell r="B8284" t="str">
            <v>Caixa de passagem e ligação em liga de alumínio injetado, tipo condulete, tamanho N, instalação abrigada (D-S-PA), ref. DN, fab. DAISA ou similar, bitola 1", tipo LL</v>
          </cell>
          <cell r="C8284" t="str">
            <v>ud</v>
          </cell>
          <cell r="D8284">
            <v>0</v>
          </cell>
          <cell r="E8284">
            <v>18.96</v>
          </cell>
          <cell r="F8284">
            <v>18.96</v>
          </cell>
        </row>
        <row r="8285">
          <cell r="A8285" t="str">
            <v>421110</v>
          </cell>
          <cell r="B8285" t="str">
            <v>Caixa de passagem e ligação em liga de alumínio injetado, tipo condulete, tamanho N, instalação abrigada (D-S-PA), ref. DN, fab. DAISA ou similar, bitola 1", tipo LR</v>
          </cell>
          <cell r="C8285" t="str">
            <v>ud</v>
          </cell>
          <cell r="D8285">
            <v>0</v>
          </cell>
          <cell r="E8285">
            <v>18.96</v>
          </cell>
          <cell r="F8285">
            <v>18.96</v>
          </cell>
        </row>
        <row r="8286">
          <cell r="A8286" t="str">
            <v>421111</v>
          </cell>
          <cell r="B8286" t="str">
            <v>Caixa de passagem e ligação em liga de alumínio injetado, tipo condulete, tamanho N, instalação abrigada (D-S-PA), ref. DN, fab. DAISA ou similar, bitola 1", tipo LB</v>
          </cell>
          <cell r="C8286" t="str">
            <v>ud</v>
          </cell>
          <cell r="D8286">
            <v>0</v>
          </cell>
          <cell r="E8286">
            <v>18.96</v>
          </cell>
          <cell r="F8286">
            <v>18.96</v>
          </cell>
        </row>
        <row r="8287">
          <cell r="A8287" t="str">
            <v>421112</v>
          </cell>
          <cell r="B8287" t="str">
            <v>Caixa de passagem e ligação em liga de alumínio injetado, tipo condulete, tamanho N, instalação abrigada (D-S-PA), ref. DN, fab. DAISA ou similar, bitola 1", tipo T</v>
          </cell>
          <cell r="C8287" t="str">
            <v>ud</v>
          </cell>
          <cell r="D8287">
            <v>0</v>
          </cell>
          <cell r="E8287">
            <v>20.97</v>
          </cell>
          <cell r="F8287">
            <v>20.97</v>
          </cell>
        </row>
        <row r="8288">
          <cell r="A8288" t="str">
            <v>421113</v>
          </cell>
          <cell r="B8288" t="str">
            <v>Caixa de passagem e ligação em liga de alumínio injetado, tipo condulete, tamanho N, instalação abrigada (D-S-PA), ref. DN, fab. DAISA ou similar, bitola 1", tipo X</v>
          </cell>
          <cell r="C8288" t="str">
            <v>ud</v>
          </cell>
          <cell r="D8288">
            <v>0</v>
          </cell>
          <cell r="E8288">
            <v>24.39</v>
          </cell>
          <cell r="F8288">
            <v>24.39</v>
          </cell>
        </row>
        <row r="8289">
          <cell r="A8289" t="str">
            <v>421114</v>
          </cell>
          <cell r="B8289" t="str">
            <v>Caixa de passagem e ligação em liga de alumínio injetado, tipo condulete, tamanho N, instalação abrigada (D-S-PA), ref. DN, fab. DAISA ou similar, bitola 1", tipo E</v>
          </cell>
          <cell r="C8289" t="str">
            <v>ud</v>
          </cell>
          <cell r="D8289">
            <v>0</v>
          </cell>
          <cell r="E8289">
            <v>15.95</v>
          </cell>
          <cell r="F8289">
            <v>15.95</v>
          </cell>
        </row>
        <row r="8290">
          <cell r="A8290" t="str">
            <v>421115</v>
          </cell>
          <cell r="B8290" t="str">
            <v>Caixa de passagem e ligação em liga de alumínio injetado, tipo condulete, tamanho N, instalação abrigada (D-S-PA), ref. DN, fab. DAISA ou similar, bitola 1", tipo C</v>
          </cell>
          <cell r="C8290" t="str">
            <v>ud</v>
          </cell>
          <cell r="D8290">
            <v>0</v>
          </cell>
          <cell r="E8290">
            <v>18.96</v>
          </cell>
          <cell r="F8290">
            <v>18.96</v>
          </cell>
        </row>
        <row r="8291">
          <cell r="A8291" t="str">
            <v>421116</v>
          </cell>
          <cell r="B8291" t="str">
            <v>Caixa de passagem e ligação em liga de alumínio injetado, tipo condulete, tamanho N, instalação abrigada (D-S-PA), ref. DN, fab. DAISA ou similar, bitola 1", tipo TB</v>
          </cell>
          <cell r="C8291" t="str">
            <v>ud</v>
          </cell>
          <cell r="D8291">
            <v>0</v>
          </cell>
          <cell r="E8291">
            <v>20.97</v>
          </cell>
          <cell r="F8291">
            <v>20.97</v>
          </cell>
        </row>
        <row r="8292">
          <cell r="A8292" t="str">
            <v>421117</v>
          </cell>
          <cell r="B8292" t="str">
            <v>Caixa de passagem e ligação em liga de alumínio injetado, tipo condulete, tamanho N, instalação abrigada (D-S-PA), ref. DN, fab. DAISA ou similar, bitola 1.1/4", tipo LL</v>
          </cell>
          <cell r="C8292" t="str">
            <v>ud</v>
          </cell>
          <cell r="D8292">
            <v>0</v>
          </cell>
          <cell r="E8292">
            <v>25.1</v>
          </cell>
          <cell r="F8292">
            <v>25.1</v>
          </cell>
        </row>
        <row r="8293">
          <cell r="A8293" t="str">
            <v>421118</v>
          </cell>
          <cell r="B8293" t="str">
            <v>Caixa de passagem e ligação em liga de alumínio injetado, tipo condulete, tamanho N, instalação abrigada (D-S-PA), ref. DN, fab. DAISA ou similar, bitola 1.1/4", tipo LR</v>
          </cell>
          <cell r="C8293" t="str">
            <v>ud</v>
          </cell>
          <cell r="D8293">
            <v>0</v>
          </cell>
          <cell r="E8293">
            <v>25.1</v>
          </cell>
          <cell r="F8293">
            <v>25.1</v>
          </cell>
        </row>
        <row r="8294">
          <cell r="A8294" t="str">
            <v>421119</v>
          </cell>
          <cell r="B8294" t="str">
            <v>Caixa de passagem e ligação em liga de alumínio injetado, tipo condulete, tamanho N, instalação abrigada (D-S-PA), ref. DN, fab. DAISA ou similar, bitola 1.1/4", tipo LB</v>
          </cell>
          <cell r="C8294" t="str">
            <v>ud</v>
          </cell>
          <cell r="D8294">
            <v>0</v>
          </cell>
          <cell r="E8294">
            <v>25.1</v>
          </cell>
          <cell r="F8294">
            <v>25.1</v>
          </cell>
        </row>
        <row r="8295">
          <cell r="A8295" t="str">
            <v>421120</v>
          </cell>
          <cell r="B8295" t="str">
            <v>Caixa de passagem e ligação em liga de alumínio injetado, tipo condulete, tamanho N, instalação abrigada (D-S-PA), ref. DN, fab. DAISA ou similar, bitola 1.1/4", tipo T</v>
          </cell>
          <cell r="C8295" t="str">
            <v>ud</v>
          </cell>
          <cell r="D8295">
            <v>0</v>
          </cell>
          <cell r="E8295">
            <v>28.55</v>
          </cell>
          <cell r="F8295">
            <v>28.55</v>
          </cell>
        </row>
        <row r="8296">
          <cell r="A8296" t="str">
            <v>421121</v>
          </cell>
          <cell r="B8296" t="str">
            <v>Caixa de passagem e ligação em liga de alumínio injetado, tipo condulete, tamanho N, instalação abrigada (D-S-PA), ref. DN, fab. DAISA ou similar, bitola 1.1/4", tipo X</v>
          </cell>
          <cell r="C8296" t="str">
            <v>ud</v>
          </cell>
          <cell r="D8296">
            <v>0</v>
          </cell>
          <cell r="E8296">
            <v>29.81</v>
          </cell>
          <cell r="F8296">
            <v>29.81</v>
          </cell>
        </row>
        <row r="8297">
          <cell r="A8297" t="str">
            <v>421122</v>
          </cell>
          <cell r="B8297" t="str">
            <v>Caixa de passagem e ligação em liga de alumínio injetado, tipo condulete, tamanho N, instalação abrigada (D-S-PA), ref. DN, fab. DAISA ou similar, bitola 1.1/4", tipo E</v>
          </cell>
          <cell r="C8297" t="str">
            <v>ud</v>
          </cell>
          <cell r="D8297">
            <v>0</v>
          </cell>
          <cell r="E8297">
            <v>24.63</v>
          </cell>
          <cell r="F8297">
            <v>24.63</v>
          </cell>
        </row>
        <row r="8298">
          <cell r="A8298" t="str">
            <v>421123</v>
          </cell>
          <cell r="B8298" t="str">
            <v>Caixa de passagem e ligação em liga de alumínio injetado, tipo condulete, tamanho N, instalação abrigada (D-S-PA), ref. DN, fab. DAISA ou similar, bitola 1.1/4", tipo C</v>
          </cell>
          <cell r="C8298" t="str">
            <v>ud</v>
          </cell>
          <cell r="D8298">
            <v>0</v>
          </cell>
          <cell r="E8298">
            <v>25.1</v>
          </cell>
          <cell r="F8298">
            <v>25.1</v>
          </cell>
        </row>
        <row r="8299">
          <cell r="A8299" t="str">
            <v>421124</v>
          </cell>
          <cell r="B8299" t="str">
            <v>Caixa de passagem e ligação em liga de alumínio injetado, tipo condulete, tamanho N, instalação abrigada (D-S-PA), ref. DN, fab. DAISA ou similar, bitola 1.1/4", tipo TB</v>
          </cell>
          <cell r="C8299" t="str">
            <v>ud</v>
          </cell>
          <cell r="D8299">
            <v>0</v>
          </cell>
          <cell r="E8299">
            <v>28.55</v>
          </cell>
          <cell r="F8299">
            <v>28.55</v>
          </cell>
        </row>
        <row r="8300">
          <cell r="A8300" t="str">
            <v>421125</v>
          </cell>
          <cell r="B8300" t="str">
            <v>Caixa de passagem e ligação em liga de alumínio injetado, tipo condulete, tamanho N, instalação abrigada (D-S-PA), ref. DN, fab. DAISA ou similar, bitola 1.1/2", tipo LL</v>
          </cell>
          <cell r="C8300" t="str">
            <v>ud</v>
          </cell>
          <cell r="D8300">
            <v>0</v>
          </cell>
          <cell r="E8300">
            <v>35.630000000000003</v>
          </cell>
          <cell r="F8300">
            <v>35.630000000000003</v>
          </cell>
        </row>
        <row r="8301">
          <cell r="A8301" t="str">
            <v>421126</v>
          </cell>
          <cell r="B8301" t="str">
            <v>Caixa de passagem e ligação em liga de alumínio injetado, tipo condulete, tamanho N, instalação abrigada (D-S-PA), ref. DN, fab. DAISA ou similar, bitola 1.1/2", tipo LR</v>
          </cell>
          <cell r="C8301" t="str">
            <v>ud</v>
          </cell>
          <cell r="D8301">
            <v>0</v>
          </cell>
          <cell r="E8301">
            <v>35.630000000000003</v>
          </cell>
          <cell r="F8301">
            <v>35.630000000000003</v>
          </cell>
        </row>
        <row r="8302">
          <cell r="A8302" t="str">
            <v>421127</v>
          </cell>
          <cell r="B8302" t="str">
            <v>Caixa de passagem e ligação em liga de alumínio injetado, tipo condulete, tamanho N, instalação abrigada (D-S-PA), ref. DN, fab. DAISA ou similar, bitola 1.1/2", tipo LB</v>
          </cell>
          <cell r="C8302" t="str">
            <v>ud</v>
          </cell>
          <cell r="D8302">
            <v>0</v>
          </cell>
          <cell r="E8302">
            <v>35.630000000000003</v>
          </cell>
          <cell r="F8302">
            <v>35.630000000000003</v>
          </cell>
        </row>
        <row r="8303">
          <cell r="A8303" t="str">
            <v>421128</v>
          </cell>
          <cell r="B8303" t="str">
            <v>Caixa de passagem e ligação em liga de alumínio injetado, tipo condulete, tamanho N, instalação abrigada (D-S-PA), ref. DN, fab. DAISA ou similar, bitola 1.1/2", tipo T</v>
          </cell>
          <cell r="C8303" t="str">
            <v>ud</v>
          </cell>
          <cell r="D8303">
            <v>0</v>
          </cell>
          <cell r="E8303">
            <v>39.43</v>
          </cell>
          <cell r="F8303">
            <v>39.43</v>
          </cell>
        </row>
        <row r="8304">
          <cell r="A8304" t="str">
            <v>421129</v>
          </cell>
          <cell r="B8304" t="str">
            <v>Caixa de passagem e ligação em liga de alumínio injetado, tipo condulete, tamanho N, instalação abrigada (D-S-PA), ref. DN, fab. DAISA ou similar, bitola 1.1/2", tipo X</v>
          </cell>
          <cell r="C8304" t="str">
            <v>ud</v>
          </cell>
          <cell r="D8304">
            <v>0</v>
          </cell>
          <cell r="E8304">
            <v>45.15</v>
          </cell>
          <cell r="F8304">
            <v>45.15</v>
          </cell>
        </row>
        <row r="8305">
          <cell r="A8305" t="str">
            <v>421130</v>
          </cell>
          <cell r="B8305" t="str">
            <v>Caixa de passagem e ligação em liga de alumínio injetado, tipo condulete, tamanho N, instalação abrigada (D-S-PA), ref. DN, fab. DAISA ou similar, bitola 1.1/2", tipo E</v>
          </cell>
          <cell r="C8305" t="str">
            <v>ud</v>
          </cell>
          <cell r="D8305">
            <v>0</v>
          </cell>
          <cell r="E8305">
            <v>29.63</v>
          </cell>
          <cell r="F8305">
            <v>29.63</v>
          </cell>
        </row>
        <row r="8306">
          <cell r="A8306" t="str">
            <v>421131</v>
          </cell>
          <cell r="B8306" t="str">
            <v>Caixa de passagem e ligação em liga de alumínio injetado, tipo condulete, tamanho N, instalação abrigada (D-S-PA), ref. DN, fab. DAISA ou similar, bitola 1.1/2", tipo C</v>
          </cell>
          <cell r="C8306" t="str">
            <v>ud</v>
          </cell>
          <cell r="D8306">
            <v>0</v>
          </cell>
          <cell r="E8306">
            <v>35.630000000000003</v>
          </cell>
          <cell r="F8306">
            <v>35.630000000000003</v>
          </cell>
        </row>
        <row r="8307">
          <cell r="A8307" t="str">
            <v>421132</v>
          </cell>
          <cell r="B8307" t="str">
            <v>Caixa de passagem e ligação em liga de alumínio injetado, tipo condulete, tamanho N, instalação abrigada (D-S-PA), ref. DN, fab. DAISA ou similar, bitola 1.1/2", tipo TB</v>
          </cell>
          <cell r="C8307" t="str">
            <v>ud</v>
          </cell>
          <cell r="D8307">
            <v>0</v>
          </cell>
          <cell r="E8307">
            <v>39.43</v>
          </cell>
          <cell r="F8307">
            <v>39.43</v>
          </cell>
        </row>
        <row r="8308">
          <cell r="A8308" t="str">
            <v>421133</v>
          </cell>
          <cell r="B8308" t="str">
            <v>Caixa de passagem e ligação em liga de alumínio injetado, tipo condulete, tamanho N, instalação abrigada (D-S-PA), ref. DN, fab. DAISA ou similar, bitola 2", tipo LL</v>
          </cell>
          <cell r="C8308" t="str">
            <v>ud</v>
          </cell>
          <cell r="D8308">
            <v>0</v>
          </cell>
          <cell r="E8308">
            <v>54.86</v>
          </cell>
          <cell r="F8308">
            <v>54.86</v>
          </cell>
        </row>
        <row r="8309">
          <cell r="A8309" t="str">
            <v>421134</v>
          </cell>
          <cell r="B8309" t="str">
            <v>Caixa de passagem e ligação em liga de alumínio injetado, tipo condulete, tamanho N, instalação abrigada (D-S-PA), ref. DN, fab. DAISA ou similar, bitola 2", tipo LR</v>
          </cell>
          <cell r="C8309" t="str">
            <v>ud</v>
          </cell>
          <cell r="D8309">
            <v>0</v>
          </cell>
          <cell r="E8309">
            <v>54.86</v>
          </cell>
          <cell r="F8309">
            <v>54.86</v>
          </cell>
        </row>
        <row r="8310">
          <cell r="A8310" t="str">
            <v>421135</v>
          </cell>
          <cell r="B8310" t="str">
            <v>Caixa de passagem e ligação em liga de alumínio injetado, tipo condulete, tamanho N, instalação abrigada (D-S-PA), ref. DN, fab. DAISA ou similar, bitola 2", tipo LB</v>
          </cell>
          <cell r="C8310" t="str">
            <v>ud</v>
          </cell>
          <cell r="D8310">
            <v>0</v>
          </cell>
          <cell r="E8310">
            <v>54.86</v>
          </cell>
          <cell r="F8310">
            <v>54.86</v>
          </cell>
        </row>
        <row r="8311">
          <cell r="A8311" t="str">
            <v>421136</v>
          </cell>
          <cell r="B8311" t="str">
            <v>Caixa de passagem e ligação em liga de alumínio injetado, tipo condulete, tamanho N, instalação abrigada (D-S-PA), ref. DN, fab. DAISA ou similar, bitola 2", tipo T</v>
          </cell>
          <cell r="C8311" t="str">
            <v>ud</v>
          </cell>
          <cell r="D8311">
            <v>0</v>
          </cell>
          <cell r="E8311">
            <v>64.42</v>
          </cell>
          <cell r="F8311">
            <v>64.42</v>
          </cell>
        </row>
        <row r="8312">
          <cell r="A8312" t="str">
            <v>421137</v>
          </cell>
          <cell r="B8312" t="str">
            <v>Caixa de passagem e ligação em liga de alumínio injetado, tipo condulete, tamanho N, instalação abrigada (D-S-PA), ref. DN, fab. DAISA ou similar, bitola 2", tipo X</v>
          </cell>
          <cell r="C8312" t="str">
            <v>ud</v>
          </cell>
          <cell r="D8312">
            <v>0</v>
          </cell>
          <cell r="E8312">
            <v>70.069999999999993</v>
          </cell>
          <cell r="F8312">
            <v>70.069999999999993</v>
          </cell>
        </row>
        <row r="8313">
          <cell r="A8313" t="str">
            <v>421138</v>
          </cell>
          <cell r="B8313" t="str">
            <v>Caixa de passagem e ligação em liga de alumínio injetado, tipo condulete, tamanho N, instalação abrigada (D-S-PA), ref. DN, fab. DAISA ou similar, bitola 2", tipo E</v>
          </cell>
          <cell r="C8313" t="str">
            <v>ud</v>
          </cell>
          <cell r="D8313">
            <v>0</v>
          </cell>
          <cell r="E8313">
            <v>48.87</v>
          </cell>
          <cell r="F8313">
            <v>48.87</v>
          </cell>
        </row>
        <row r="8314">
          <cell r="A8314" t="str">
            <v>421139</v>
          </cell>
          <cell r="B8314" t="str">
            <v>Caixa de passagem e ligação em liga de alumínio injetado, tipo condulete, tamanho N, instalação abrigada (D-S-PA), ref. DN, fab. DAISA ou similar, bitola 2", tipo C</v>
          </cell>
          <cell r="C8314" t="str">
            <v>ud</v>
          </cell>
          <cell r="D8314">
            <v>0</v>
          </cell>
          <cell r="E8314">
            <v>54.86</v>
          </cell>
          <cell r="F8314">
            <v>54.86</v>
          </cell>
        </row>
        <row r="8315">
          <cell r="A8315" t="str">
            <v>421140</v>
          </cell>
          <cell r="B8315" t="str">
            <v>Caixa de passagem e ligação em liga de alumínio injetado, tipo condulete, tamanho N, instalação abrigada (D-S-PA), ref. DN, fab. DAISA ou similar, bitola 2", tipo TB</v>
          </cell>
          <cell r="C8315" t="str">
            <v>ud</v>
          </cell>
          <cell r="D8315">
            <v>0</v>
          </cell>
          <cell r="E8315">
            <v>64.42</v>
          </cell>
          <cell r="F8315">
            <v>64.42</v>
          </cell>
        </row>
        <row r="8316">
          <cell r="A8316" t="str">
            <v>421141</v>
          </cell>
          <cell r="B8316" t="str">
            <v>Caixa de passagem e ligação em liga de alumínio injetado, tipo condulete, tamanho N, instalação abrigada (D-S-PA), ref. DN, fab. DAISA ou similar, bitola 2.1/2", tipo LL</v>
          </cell>
          <cell r="C8316" t="str">
            <v>ud</v>
          </cell>
          <cell r="D8316">
            <v>0</v>
          </cell>
          <cell r="E8316">
            <v>87.44</v>
          </cell>
          <cell r="F8316">
            <v>87.44</v>
          </cell>
        </row>
        <row r="8317">
          <cell r="A8317" t="str">
            <v>421142</v>
          </cell>
          <cell r="B8317" t="str">
            <v>Caixa de passagem e ligação em liga de alumínio injetado, tipo condulete, tamanho N, instalação abrigada (D-S-PA), ref. DN, fab. DAISA ou similar, bitola 2.1/2", tipo LR</v>
          </cell>
          <cell r="C8317" t="str">
            <v>ud</v>
          </cell>
          <cell r="D8317">
            <v>0</v>
          </cell>
          <cell r="E8317">
            <v>87.44</v>
          </cell>
          <cell r="F8317">
            <v>87.44</v>
          </cell>
        </row>
        <row r="8318">
          <cell r="A8318" t="str">
            <v>421143</v>
          </cell>
          <cell r="B8318" t="str">
            <v>Caixa de passagem e ligação em liga de alumínio injetado, tipo condulete, tamanho N, instalação abrigada (D-S-PA), ref. DN, fab. DAISA ou similar, bitola 2.1/2", tipo LB</v>
          </cell>
          <cell r="C8318" t="str">
            <v>ud</v>
          </cell>
          <cell r="D8318">
            <v>0</v>
          </cell>
          <cell r="E8318">
            <v>87.44</v>
          </cell>
          <cell r="F8318">
            <v>87.44</v>
          </cell>
        </row>
        <row r="8319">
          <cell r="A8319" t="str">
            <v>421144</v>
          </cell>
          <cell r="B8319" t="str">
            <v>Caixa de passagem e ligação em liga de alumínio injetado, tipo condulete, tamanho N, instalação abrigada (D-S-PA), ref. DN, fab. DAISA ou similar, bitola 2.1/2", tipo T</v>
          </cell>
          <cell r="C8319" t="str">
            <v>ud</v>
          </cell>
          <cell r="D8319">
            <v>0</v>
          </cell>
          <cell r="E8319">
            <v>103.17</v>
          </cell>
          <cell r="F8319">
            <v>103.17</v>
          </cell>
        </row>
        <row r="8320">
          <cell r="A8320" t="str">
            <v>421145</v>
          </cell>
          <cell r="B8320" t="str">
            <v>Caixa de passagem e ligação em liga de alumínio injetado, tipo condulete, tamanho N, instalação abrigada (D-S-PA), ref. DN, fab. DAISA ou similar, bitola 2.1/2", tipo X</v>
          </cell>
          <cell r="C8320" t="str">
            <v>ud</v>
          </cell>
          <cell r="D8320">
            <v>0</v>
          </cell>
          <cell r="E8320">
            <v>110.23</v>
          </cell>
          <cell r="F8320">
            <v>110.23</v>
          </cell>
        </row>
        <row r="8321">
          <cell r="A8321" t="str">
            <v>421146</v>
          </cell>
          <cell r="B8321" t="str">
            <v>Caixa de passagem e ligação em liga de alumínio injetado, tipo condulete, tamanho N, instalação abrigada (D-S-PA), ref. DN, fab. DAISA ou similar, bitola 2.1/2", tipo E</v>
          </cell>
          <cell r="C8321" t="str">
            <v>ud</v>
          </cell>
          <cell r="D8321">
            <v>0</v>
          </cell>
          <cell r="E8321">
            <v>78.63</v>
          </cell>
          <cell r="F8321">
            <v>78.63</v>
          </cell>
        </row>
        <row r="8322">
          <cell r="A8322" t="str">
            <v>421147</v>
          </cell>
          <cell r="B8322" t="str">
            <v>Caixa de passagem e ligação em liga de alumínio injetado, tipo condulete, tamanho N, instalação abrigada (D-S-PA), ref. DN, fab. DAISA ou similar, bitola 2.1/2", tipo C</v>
          </cell>
          <cell r="C8322" t="str">
            <v>ud</v>
          </cell>
          <cell r="D8322">
            <v>0</v>
          </cell>
          <cell r="E8322">
            <v>87.44</v>
          </cell>
          <cell r="F8322">
            <v>87.44</v>
          </cell>
        </row>
        <row r="8323">
          <cell r="A8323" t="str">
            <v>421148</v>
          </cell>
          <cell r="B8323" t="str">
            <v>Caixa de passagem e ligação em liga de alumínio injetado, tipo condulete, tamanho N, instalação abrigada (D-S-PA), ref. DN, fab. DAISA ou similar, bitola 2.1/2", tipo TB</v>
          </cell>
          <cell r="C8323" t="str">
            <v>ud</v>
          </cell>
          <cell r="D8323">
            <v>0</v>
          </cell>
          <cell r="E8323">
            <v>103.17</v>
          </cell>
          <cell r="F8323">
            <v>103.17</v>
          </cell>
        </row>
        <row r="8324">
          <cell r="A8324" t="str">
            <v>421149</v>
          </cell>
          <cell r="B8324" t="str">
            <v>Caixa de passagem e ligação em liga de alumínio injetado, tipo condulete, tamanho N, instalação abrigada (D-S-PA), ref. DN, fab. DAISA ou similar, bitola 3", tipo LL</v>
          </cell>
          <cell r="C8324" t="str">
            <v>ud</v>
          </cell>
          <cell r="D8324">
            <v>0</v>
          </cell>
          <cell r="E8324">
            <v>127.33</v>
          </cell>
          <cell r="F8324">
            <v>127.33</v>
          </cell>
        </row>
        <row r="8325">
          <cell r="A8325" t="str">
            <v>421150</v>
          </cell>
          <cell r="B8325" t="str">
            <v>Caixa de passagem e ligação em liga de alumínio injetado, tipo condulete, tamanho N, instalação abrigada (D-S-PA), ref. DN, fab. DAISA ou similar, bitola 3", tipo LR</v>
          </cell>
          <cell r="C8325" t="str">
            <v>ud</v>
          </cell>
          <cell r="D8325">
            <v>0</v>
          </cell>
          <cell r="E8325">
            <v>127.33</v>
          </cell>
          <cell r="F8325">
            <v>127.33</v>
          </cell>
        </row>
        <row r="8326">
          <cell r="A8326" t="str">
            <v>421151</v>
          </cell>
          <cell r="B8326" t="str">
            <v>Caixa de passagem e ligação em liga de alumínio injetado, tipo condulete, tamanho N, instalação abrigada (D-S-PA), ref. DN, fab. DAISA ou similar, bitola 3", tipo LB</v>
          </cell>
          <cell r="C8326" t="str">
            <v>ud</v>
          </cell>
          <cell r="D8326">
            <v>0</v>
          </cell>
          <cell r="E8326">
            <v>127.33</v>
          </cell>
          <cell r="F8326">
            <v>127.33</v>
          </cell>
        </row>
        <row r="8327">
          <cell r="A8327" t="str">
            <v>421152</v>
          </cell>
          <cell r="B8327" t="str">
            <v>Caixa de passagem e ligação em liga de alumínio injetado, tipo condulete, tamanho N, instalação abrigada (D-S-PA), ref. DN, fab. DAISA ou similar, bitola 3", tipo T</v>
          </cell>
          <cell r="C8327" t="str">
            <v>ud</v>
          </cell>
          <cell r="D8327">
            <v>0</v>
          </cell>
          <cell r="E8327">
            <v>145.79</v>
          </cell>
          <cell r="F8327">
            <v>145.79</v>
          </cell>
        </row>
        <row r="8328">
          <cell r="A8328" t="str">
            <v>421153</v>
          </cell>
          <cell r="B8328" t="str">
            <v>Caixa de passagem e ligação em liga de alumínio injetado, tipo condulete, tamanho N, instalação abrigada (D-S-PA), ref. DN, fab. DAISA ou similar, bitola 3", tipo X</v>
          </cell>
          <cell r="C8328" t="str">
            <v>ud</v>
          </cell>
          <cell r="D8328">
            <v>0</v>
          </cell>
          <cell r="E8328">
            <v>163.84</v>
          </cell>
          <cell r="F8328">
            <v>163.84</v>
          </cell>
        </row>
        <row r="8329">
          <cell r="A8329" t="str">
            <v>421154</v>
          </cell>
          <cell r="B8329" t="str">
            <v>Caixa de passagem e ligação em liga de alumínio injetado, tipo condulete, tamanho N, instalação abrigada (D-S-PA), ref. DN, fab. DAISA ou similar, bitola 3", tipo E</v>
          </cell>
          <cell r="C8329" t="str">
            <v>ud</v>
          </cell>
          <cell r="D8329">
            <v>0</v>
          </cell>
          <cell r="E8329">
            <v>110.44</v>
          </cell>
          <cell r="F8329">
            <v>110.44</v>
          </cell>
        </row>
        <row r="8330">
          <cell r="A8330" t="str">
            <v>421155</v>
          </cell>
          <cell r="B8330" t="str">
            <v>Caixa de passagem e ligação em liga de alumínio injetado, tipo condulete, tamanho N, instalação abrigada (D-S-PA), ref. DN, fab. DAISA ou similar, bitola 3", tipo C</v>
          </cell>
          <cell r="C8330" t="str">
            <v>ud</v>
          </cell>
          <cell r="D8330">
            <v>0</v>
          </cell>
          <cell r="E8330">
            <v>127.33</v>
          </cell>
          <cell r="F8330">
            <v>127.33</v>
          </cell>
        </row>
        <row r="8331">
          <cell r="A8331" t="str">
            <v>421156</v>
          </cell>
          <cell r="B8331" t="str">
            <v>Caixa de passagem e ligação em liga de alumínio injetado, tipo condulete, tamanho N, instalação abrigada (D-S-PA), ref. DN, fab. DAISA ou similar, bitola 3", tipo TB</v>
          </cell>
          <cell r="C8331" t="str">
            <v>ud</v>
          </cell>
          <cell r="D8331">
            <v>0</v>
          </cell>
          <cell r="E8331">
            <v>145.79</v>
          </cell>
          <cell r="F8331">
            <v>145.79</v>
          </cell>
        </row>
        <row r="8332">
          <cell r="A8332" t="str">
            <v>421157</v>
          </cell>
          <cell r="B8332" t="str">
            <v>Caixa de passagem e ligação em liga de alumínio injetado, tipo condulete, tamanho N, instalação abrigada (D-S-PA), ref. DN, fab. DAISA ou similar, bitola 4", tipo LL</v>
          </cell>
          <cell r="C8332" t="str">
            <v>ud</v>
          </cell>
          <cell r="D8332">
            <v>0</v>
          </cell>
          <cell r="E8332">
            <v>209.82</v>
          </cell>
          <cell r="F8332">
            <v>209.82</v>
          </cell>
        </row>
        <row r="8333">
          <cell r="A8333" t="str">
            <v>421158</v>
          </cell>
          <cell r="B8333" t="str">
            <v>Caixa de passagem e ligação em liga de alumínio injetado, tipo condulete, tamanho N, instalação abrigada (D-S-PA), ref. DN, fab. DAISA ou similar, bitola 4", tipo LR</v>
          </cell>
          <cell r="C8333" t="str">
            <v>ud</v>
          </cell>
          <cell r="D8333">
            <v>0</v>
          </cell>
          <cell r="E8333">
            <v>209.82</v>
          </cell>
          <cell r="F8333">
            <v>209.82</v>
          </cell>
        </row>
        <row r="8334">
          <cell r="A8334" t="str">
            <v>421159</v>
          </cell>
          <cell r="B8334" t="str">
            <v>Caixa de passagem e ligação em liga de alumínio injetado, tipo condulete, tamanho N, instalação abrigada (D-S-PA), ref. DN, fab. DAISA ou similar, bitola 4", tipo LB</v>
          </cell>
          <cell r="C8334" t="str">
            <v>ud</v>
          </cell>
          <cell r="D8334">
            <v>0</v>
          </cell>
          <cell r="E8334">
            <v>209.82</v>
          </cell>
          <cell r="F8334">
            <v>209.82</v>
          </cell>
        </row>
        <row r="8335">
          <cell r="A8335" t="str">
            <v>421160</v>
          </cell>
          <cell r="B8335" t="str">
            <v>Caixa de passagem e ligação em liga de alumínio injetado, tipo condulete, tamanho N, instalação abrigada (D-S-PA), ref. DN, fab. DAISA ou similar, bitola 4", tipo T</v>
          </cell>
          <cell r="C8335" t="str">
            <v>ud</v>
          </cell>
          <cell r="D8335">
            <v>0</v>
          </cell>
          <cell r="E8335">
            <v>235.69</v>
          </cell>
          <cell r="F8335">
            <v>235.69</v>
          </cell>
        </row>
        <row r="8336">
          <cell r="A8336" t="str">
            <v>421161</v>
          </cell>
          <cell r="B8336" t="str">
            <v>Caixa de passagem e ligação em liga de alumínio injetado, tipo condulete, tamanho N, instalação abrigada (D-S-PA), ref. DN, fab. DAISA ou similar, bitola 4", tipo X</v>
          </cell>
          <cell r="C8336" t="str">
            <v>ud</v>
          </cell>
          <cell r="D8336">
            <v>0</v>
          </cell>
          <cell r="E8336">
            <v>257.89</v>
          </cell>
          <cell r="F8336">
            <v>257.89</v>
          </cell>
        </row>
        <row r="8337">
          <cell r="A8337" t="str">
            <v>421162</v>
          </cell>
          <cell r="B8337" t="str">
            <v>Caixa de passagem e ligação em liga de alumínio injetado, tipo condulete, tamanho N, instalação abrigada (D-S-PA), ref. DN, fab. DAISA ou similar, bitola 4", tipo E</v>
          </cell>
          <cell r="C8337" t="str">
            <v>ud</v>
          </cell>
          <cell r="D8337">
            <v>0</v>
          </cell>
          <cell r="E8337">
            <v>202</v>
          </cell>
          <cell r="F8337">
            <v>202</v>
          </cell>
        </row>
        <row r="8338">
          <cell r="A8338" t="str">
            <v>421163</v>
          </cell>
          <cell r="B8338" t="str">
            <v>Caixa de passagem e ligação em liga de alumínio injetado, tipo condulete, tamanho N, instalação abrigada (D-S-PA), ref. DN, fab. DAISA ou similar, bitola 4", tipo C</v>
          </cell>
          <cell r="C8338" t="str">
            <v>ud</v>
          </cell>
          <cell r="D8338">
            <v>0</v>
          </cell>
          <cell r="E8338">
            <v>209.82</v>
          </cell>
          <cell r="F8338">
            <v>209.82</v>
          </cell>
        </row>
        <row r="8339">
          <cell r="A8339" t="str">
            <v>421164</v>
          </cell>
          <cell r="B8339" t="str">
            <v>Caixa de passagem e ligação em liga de alumínio injetado, tipo condulete, tamanho N, instalação abrigada (D-S-PA), ref. DN, fab. DAISA ou similar, bitola 4", tipo TB</v>
          </cell>
          <cell r="C8339" t="str">
            <v>ud</v>
          </cell>
          <cell r="D8339">
            <v>0</v>
          </cell>
          <cell r="E8339">
            <v>235.69</v>
          </cell>
          <cell r="F8339">
            <v>235.69</v>
          </cell>
        </row>
        <row r="8340">
          <cell r="A8340" t="str">
            <v>421165</v>
          </cell>
          <cell r="B8340" t="str">
            <v>Caixa de passagem e ligação em liga de alumínio injetado, tipo condulete, tamanho N, instalação ao tempo (D-S-PA), ref. DNT, fab. DAISA ou similar, bitola 3/4", tipo LL (70360)</v>
          </cell>
          <cell r="C8340" t="str">
            <v>ud</v>
          </cell>
          <cell r="D8340">
            <v>0</v>
          </cell>
          <cell r="E8340">
            <v>18.260000000000002</v>
          </cell>
          <cell r="F8340">
            <v>18.260000000000002</v>
          </cell>
        </row>
        <row r="8341">
          <cell r="A8341" t="str">
            <v>421166</v>
          </cell>
          <cell r="B8341" t="str">
            <v>Caixa de passagem e ligação em liga de alumínio injetado, tipo condulete, tamanho N, instalação ao tempo (D-S-PA), ref. DNT, fab. DAISA ou similar, bitola 3/4", tipo LR (70351)</v>
          </cell>
          <cell r="C8341" t="str">
            <v>ud</v>
          </cell>
          <cell r="D8341">
            <v>0</v>
          </cell>
          <cell r="E8341">
            <v>18.260000000000002</v>
          </cell>
          <cell r="F8341">
            <v>18.260000000000002</v>
          </cell>
        </row>
        <row r="8342">
          <cell r="A8342" t="str">
            <v>421167</v>
          </cell>
          <cell r="B8342" t="str">
            <v>Caixa de passagem e ligação em liga de alumínio injetado, tipo condulete, tamanho N, instalação ao tempo (D-S-PA), ref. DNT, fab. DAISA ou similar, bitola 3/4", tipo LB (98418)</v>
          </cell>
          <cell r="C8342" t="str">
            <v>ud</v>
          </cell>
          <cell r="D8342">
            <v>0</v>
          </cell>
          <cell r="E8342">
            <v>18.260000000000002</v>
          </cell>
          <cell r="F8342">
            <v>18.260000000000002</v>
          </cell>
        </row>
        <row r="8343">
          <cell r="A8343" t="str">
            <v>421168</v>
          </cell>
          <cell r="B8343" t="str">
            <v>Caixa de passagem e ligação em liga de alumínio injetado, tipo condulete, tamanho N, instalação ao tempo (D-S-PA), ref. DNT, fab. DAISA ou similar, bitola 3/4", tipo T (70297)</v>
          </cell>
          <cell r="C8343" t="str">
            <v>ud</v>
          </cell>
          <cell r="D8343">
            <v>0</v>
          </cell>
          <cell r="E8343">
            <v>20.2</v>
          </cell>
          <cell r="F8343">
            <v>20.2</v>
          </cell>
        </row>
        <row r="8344">
          <cell r="A8344" t="str">
            <v>421169</v>
          </cell>
          <cell r="B8344" t="str">
            <v>Caixa de passagem e ligação em liga de alumínio injetado, tipo condulete, tamanho N, instalação ao tempo (D-S-PA), ref. DNT, fab. DAISA ou similar, bitola 3/4", tipo X</v>
          </cell>
          <cell r="C8344" t="str">
            <v>ud</v>
          </cell>
          <cell r="D8344">
            <v>0</v>
          </cell>
          <cell r="E8344">
            <v>21.06</v>
          </cell>
          <cell r="F8344">
            <v>21.06</v>
          </cell>
        </row>
        <row r="8345">
          <cell r="A8345" t="str">
            <v>421170</v>
          </cell>
          <cell r="B8345" t="str">
            <v>Caixa de passagem e ligação em liga de alumínio injetado, tipo condulete, tamanho N, instalação ao tempo (D-S-PA), ref. DNT, fab. DAISA ou similar, bitola 3/4", tipo E (92630)</v>
          </cell>
          <cell r="C8345" t="str">
            <v>ud</v>
          </cell>
          <cell r="D8345">
            <v>0</v>
          </cell>
          <cell r="E8345">
            <v>15.99</v>
          </cell>
          <cell r="F8345">
            <v>15.99</v>
          </cell>
        </row>
        <row r="8346">
          <cell r="A8346" t="str">
            <v>421171</v>
          </cell>
          <cell r="B8346" t="str">
            <v>Caixa de passagem e ligação em liga de alumínio injetado, tipo condulete, tamanho N, instalação ao tempo (D-S-PA), ref. DNT, fab. DAISA ou similar, bitola 3/4", tipo C (70343)</v>
          </cell>
          <cell r="C8346" t="str">
            <v>ud</v>
          </cell>
          <cell r="D8346">
            <v>0</v>
          </cell>
          <cell r="E8346">
            <v>18.260000000000002</v>
          </cell>
          <cell r="F8346">
            <v>18.260000000000002</v>
          </cell>
        </row>
        <row r="8347">
          <cell r="A8347" t="str">
            <v>421172</v>
          </cell>
          <cell r="B8347" t="str">
            <v>Caixa de passagem e ligação em liga de alumínio injetado, tipo condulete, tamanho N, instalação ao tempo (D-S-PA), ref. DNT, fab. DAISA ou similar, bitola 3/4", tipo TB</v>
          </cell>
          <cell r="C8347" t="str">
            <v>ud</v>
          </cell>
          <cell r="D8347">
            <v>0</v>
          </cell>
          <cell r="E8347">
            <v>20.29</v>
          </cell>
          <cell r="F8347">
            <v>20.29</v>
          </cell>
        </row>
        <row r="8348">
          <cell r="A8348" t="str">
            <v>421173</v>
          </cell>
          <cell r="B8348" t="str">
            <v>Caixa de passagem e ligação em liga de alumínio injetado, tipo condulete, tamanho N, instalação ao tempo (D-S-PA), ref. DNT, fab. DAISA ou similar, bitola 1", tipo LL (70254)</v>
          </cell>
          <cell r="C8348" t="str">
            <v>ud</v>
          </cell>
          <cell r="D8348">
            <v>0</v>
          </cell>
          <cell r="E8348">
            <v>23.51</v>
          </cell>
          <cell r="F8348">
            <v>23.51</v>
          </cell>
        </row>
        <row r="8349">
          <cell r="A8349" t="str">
            <v>421174</v>
          </cell>
          <cell r="B8349" t="str">
            <v>Caixa de passagem e ligação em liga de alumínio injetado, tipo condulete, tamanho N, instalação ao tempo (D-S-PA), ref. DNT, fab. DAISA ou similar, bitola 1", tipo LR (186473)</v>
          </cell>
          <cell r="C8349" t="str">
            <v>ud</v>
          </cell>
          <cell r="D8349">
            <v>0</v>
          </cell>
          <cell r="E8349">
            <v>23.51</v>
          </cell>
          <cell r="F8349">
            <v>23.51</v>
          </cell>
        </row>
        <row r="8350">
          <cell r="A8350" t="str">
            <v>421175</v>
          </cell>
          <cell r="B8350" t="str">
            <v>Caixa de passagem e ligação em liga de alumínio injetado, tipo condulete, tamanho N, instalação ao tempo (D-S-PA), ref. DNT, fab. DAISA ou similar, bitola 1", tipo LB (289982)</v>
          </cell>
          <cell r="C8350" t="str">
            <v>ud</v>
          </cell>
          <cell r="D8350">
            <v>0</v>
          </cell>
          <cell r="E8350">
            <v>23.51</v>
          </cell>
          <cell r="F8350">
            <v>23.51</v>
          </cell>
        </row>
        <row r="8351">
          <cell r="A8351" t="str">
            <v>421176</v>
          </cell>
          <cell r="B8351" t="str">
            <v>Caixa de passagem e ligação em liga de alumínio injetado, tipo condulete, tamanho N, instalação ao tempo (D-S-PA), ref. DNT, fab. DAISA ou similar, bitola 1", tipo T (291450)</v>
          </cell>
          <cell r="C8351" t="str">
            <v>ud</v>
          </cell>
          <cell r="D8351">
            <v>0</v>
          </cell>
          <cell r="E8351">
            <v>26.03</v>
          </cell>
          <cell r="F8351">
            <v>26.03</v>
          </cell>
        </row>
        <row r="8352">
          <cell r="A8352" t="str">
            <v>421177</v>
          </cell>
          <cell r="B8352" t="str">
            <v>Caixa de passagem e ligação em liga de alumínio injetado, tipo condulete, tamanho N, instalação ao tempo (D-S-PA), ref. DNT, fab. DAISA ou similar, bitola 1", tipo X (288259)</v>
          </cell>
          <cell r="C8352" t="str">
            <v>ud</v>
          </cell>
          <cell r="D8352">
            <v>0</v>
          </cell>
          <cell r="E8352">
            <v>30.31</v>
          </cell>
          <cell r="F8352">
            <v>30.31</v>
          </cell>
        </row>
        <row r="8353">
          <cell r="A8353" t="str">
            <v>421178</v>
          </cell>
          <cell r="B8353" t="str">
            <v>Caixa de passagem e ligação em liga de alumínio injetado, tipo condulete, tamanho N, instalação ao tempo (D-S-PA), ref. DNT, fab. DAISA ou similar, bitola 1", tipo E (291766)</v>
          </cell>
          <cell r="C8353" t="str">
            <v>ud</v>
          </cell>
          <cell r="D8353">
            <v>0</v>
          </cell>
          <cell r="E8353">
            <v>19.78</v>
          </cell>
          <cell r="F8353">
            <v>19.78</v>
          </cell>
        </row>
        <row r="8354">
          <cell r="A8354" t="str">
            <v>421179</v>
          </cell>
          <cell r="B8354" t="str">
            <v>Caixa de passagem e ligação em liga de alumínio injetado, tipo condulete, tamanho N, instalação ao tempo (D-S-PA), ref. DNT, fab. DAISA ou similar, bitola 1", tipo C (289983)</v>
          </cell>
          <cell r="C8354" t="str">
            <v>ud</v>
          </cell>
          <cell r="D8354">
            <v>0</v>
          </cell>
          <cell r="E8354">
            <v>23.51</v>
          </cell>
          <cell r="F8354">
            <v>23.51</v>
          </cell>
        </row>
        <row r="8355">
          <cell r="A8355" t="str">
            <v>421180</v>
          </cell>
          <cell r="B8355" t="str">
            <v>Caixa de passagem e ligação em liga de alumínio injetado, tipo condulete, tamanho N, instalação ao tempo (D-S-PA), ref. DNT, fab. DAISA ou similar, bitola 1", tipo TB</v>
          </cell>
          <cell r="C8355" t="str">
            <v>ud</v>
          </cell>
          <cell r="D8355">
            <v>0</v>
          </cell>
          <cell r="E8355">
            <v>26.03</v>
          </cell>
          <cell r="F8355">
            <v>26.03</v>
          </cell>
        </row>
        <row r="8356">
          <cell r="A8356" t="str">
            <v>421181</v>
          </cell>
          <cell r="B8356" t="str">
            <v>Caixa de passagem e ligação em liga de alumínio injetado, tipo condulete, tamanho N, instalação ao tempo (D-S-PA), ref. DNT, fab. DAISA ou similar, bitola 1.1/4", tipo LL (291960)</v>
          </cell>
          <cell r="C8356" t="str">
            <v>ud</v>
          </cell>
          <cell r="D8356">
            <v>0</v>
          </cell>
          <cell r="E8356">
            <v>32.369999999999997</v>
          </cell>
          <cell r="F8356">
            <v>32.369999999999997</v>
          </cell>
        </row>
        <row r="8357">
          <cell r="A8357" t="str">
            <v>421182</v>
          </cell>
          <cell r="B8357" t="str">
            <v>Caixa de passagem e ligação em liga de alumínio injetado, tipo condulete, tamanho N, instalação ao tempo (D-S-PA), ref. DNT, fab. DAISA ou similar, bitola 1.1/4", tipo LR (153869)</v>
          </cell>
          <cell r="C8357" t="str">
            <v>ud</v>
          </cell>
          <cell r="D8357">
            <v>0</v>
          </cell>
          <cell r="E8357">
            <v>32.369999999999997</v>
          </cell>
          <cell r="F8357">
            <v>32.369999999999997</v>
          </cell>
        </row>
        <row r="8358">
          <cell r="A8358" t="str">
            <v>421183</v>
          </cell>
          <cell r="B8358" t="str">
            <v>Caixa de passagem e ligação em liga de alumínio injetado, tipo condulete, tamanho N, instalação ao tempo (D-S-PA), ref. DNT, fab. DAISA ou similar, bitola 1.1/4", tipo LB (291959)</v>
          </cell>
          <cell r="C8358" t="str">
            <v>ud</v>
          </cell>
          <cell r="D8358">
            <v>0</v>
          </cell>
          <cell r="E8358">
            <v>32.369999999999997</v>
          </cell>
          <cell r="F8358">
            <v>32.369999999999997</v>
          </cell>
        </row>
        <row r="8359">
          <cell r="A8359" t="str">
            <v>421184</v>
          </cell>
          <cell r="B8359" t="str">
            <v>Caixa de passagem e ligação em liga de alumínio injetado, tipo condulete, tamanho N, instalação ao tempo (D-S-PA), ref. DNT, fab. DAISA ou similar, bitola 1.1/4", tipo T</v>
          </cell>
          <cell r="C8359" t="str">
            <v>ud</v>
          </cell>
          <cell r="D8359">
            <v>0</v>
          </cell>
          <cell r="E8359">
            <v>35.67</v>
          </cell>
          <cell r="F8359">
            <v>35.67</v>
          </cell>
        </row>
        <row r="8360">
          <cell r="A8360" t="str">
            <v>421185</v>
          </cell>
          <cell r="B8360" t="str">
            <v>Caixa de passagem e ligação em liga de alumínio injetado, tipo condulete, tamanho N, instalação ao tempo (D-S-PA), ref. DNT, fab. DAISA ou similar, bitola 1.1/4", tipo X (294836)</v>
          </cell>
          <cell r="C8360" t="str">
            <v>ud</v>
          </cell>
          <cell r="D8360">
            <v>0</v>
          </cell>
          <cell r="E8360">
            <v>37.25</v>
          </cell>
          <cell r="F8360">
            <v>37.25</v>
          </cell>
        </row>
        <row r="8361">
          <cell r="A8361" t="str">
            <v>421186</v>
          </cell>
          <cell r="B8361" t="str">
            <v>Caixa de passagem e ligação em liga de alumínio injetado, tipo condulete, tamanho N, instalação ao tempo (D-S-PA), ref. DNT, fab. DAISA ou similar, bitola 1.1/4", tipo E (291961)</v>
          </cell>
          <cell r="C8361" t="str">
            <v>ud</v>
          </cell>
          <cell r="D8361">
            <v>0</v>
          </cell>
          <cell r="E8361">
            <v>31.37</v>
          </cell>
          <cell r="F8361">
            <v>31.37</v>
          </cell>
        </row>
        <row r="8362">
          <cell r="A8362" t="str">
            <v>421187</v>
          </cell>
          <cell r="B8362" t="str">
            <v>Caixa de passagem e ligação em liga de alumínio injetado, tipo condulete, tamanho N, instalação ao tempo (D-S-PA), ref. DNT, fab. DAISA ou similar, bitola 1.1/4", tipo C</v>
          </cell>
          <cell r="C8362" t="str">
            <v>ud</v>
          </cell>
          <cell r="D8362">
            <v>0</v>
          </cell>
          <cell r="E8362">
            <v>32.369999999999997</v>
          </cell>
          <cell r="F8362">
            <v>32.369999999999997</v>
          </cell>
        </row>
        <row r="8363">
          <cell r="A8363" t="str">
            <v>421188</v>
          </cell>
          <cell r="B8363" t="str">
            <v>Caixa de passagem e ligação em liga de alumínio injetado, tipo condulete, tamanho N, instalação ao tempo (D-S-PA), ref. DNT, fab. DAISA ou similar, bitola 1.1/4", tipo TB</v>
          </cell>
          <cell r="C8363" t="str">
            <v>ud</v>
          </cell>
          <cell r="D8363">
            <v>0</v>
          </cell>
          <cell r="E8363">
            <v>35.67</v>
          </cell>
          <cell r="F8363">
            <v>35.67</v>
          </cell>
        </row>
        <row r="8364">
          <cell r="A8364" t="str">
            <v>421189</v>
          </cell>
          <cell r="B8364" t="str">
            <v>Caixa de passagem e ligação em liga de alumínio injetado, tipo condulete, tamanho N, instalação ao tempo (D-S-PA), ref. DNT, fab. DAISA ou similar, bitola 1.1/2", tipo LL (291420)</v>
          </cell>
          <cell r="C8364" t="str">
            <v>ud</v>
          </cell>
          <cell r="D8364">
            <v>0</v>
          </cell>
          <cell r="E8364">
            <v>44.53</v>
          </cell>
          <cell r="F8364">
            <v>44.53</v>
          </cell>
        </row>
        <row r="8365">
          <cell r="A8365" t="str">
            <v>421190</v>
          </cell>
          <cell r="B8365" t="str">
            <v>Caixa de passagem e ligação em liga de alumínio injetado, tipo condulete, tamanho N, instalação ao tempo (D-S-PA), ref. DNT, fab. DAISA ou similar, bitola 1.1/2", tipo LR</v>
          </cell>
          <cell r="C8365" t="str">
            <v>ud</v>
          </cell>
          <cell r="D8365">
            <v>0</v>
          </cell>
          <cell r="E8365">
            <v>44.53</v>
          </cell>
          <cell r="F8365">
            <v>44.53</v>
          </cell>
        </row>
        <row r="8366">
          <cell r="A8366" t="str">
            <v>421191</v>
          </cell>
          <cell r="B8366" t="str">
            <v>Caixa de passagem e ligação em liga de alumínio injetado, tipo condulete, tamanho N, instalação ao tempo (D-S-PA), ref. DNT, fab. DAISA ou similar, bitola 1.1/2", tipo LB (298623)</v>
          </cell>
          <cell r="C8366" t="str">
            <v>ud</v>
          </cell>
          <cell r="D8366">
            <v>0</v>
          </cell>
          <cell r="E8366">
            <v>44.53</v>
          </cell>
          <cell r="F8366">
            <v>44.53</v>
          </cell>
        </row>
        <row r="8367">
          <cell r="A8367" t="str">
            <v>421192</v>
          </cell>
          <cell r="B8367" t="str">
            <v>Caixa de passagem e ligação em liga de alumínio injetado, tipo condulete, tamanho N, instalação ao tempo (D-S-PA), ref. DNT, fab. DAISA ou similar, bitola 1.1/2", tipo T</v>
          </cell>
          <cell r="C8367" t="str">
            <v>ud</v>
          </cell>
          <cell r="D8367">
            <v>0</v>
          </cell>
          <cell r="E8367">
            <v>49.27</v>
          </cell>
          <cell r="F8367">
            <v>49.27</v>
          </cell>
        </row>
        <row r="8368">
          <cell r="A8368" t="str">
            <v>421193</v>
          </cell>
          <cell r="B8368" t="str">
            <v>Caixa de passagem e ligação em liga de alumínio injetado, tipo condulete, tamanho N, instalação ao tempo (D-S-PA), ref. DNT, fab. DAISA ou similar, bitola 1.1/2", tipo X (288260)</v>
          </cell>
          <cell r="C8368" t="str">
            <v>ud</v>
          </cell>
          <cell r="D8368">
            <v>0</v>
          </cell>
          <cell r="E8368">
            <v>56.43</v>
          </cell>
          <cell r="F8368">
            <v>56.43</v>
          </cell>
        </row>
        <row r="8369">
          <cell r="A8369" t="str">
            <v>421194</v>
          </cell>
          <cell r="B8369" t="str">
            <v>Caixa de passagem e ligação em liga de alumínio injetado, tipo condulete, tamanho N, instalação ao tempo (D-S-PA), ref. DNT, fab. DAISA ou similar, bitola 1.1/2", tipo E</v>
          </cell>
          <cell r="C8369" t="str">
            <v>ud</v>
          </cell>
          <cell r="D8369">
            <v>0</v>
          </cell>
          <cell r="E8369">
            <v>37</v>
          </cell>
          <cell r="F8369">
            <v>37</v>
          </cell>
        </row>
        <row r="8370">
          <cell r="A8370" t="str">
            <v>421195</v>
          </cell>
          <cell r="B8370" t="str">
            <v>Caixa de passagem e ligação em liga de alumínio injetado, tipo condulete, tamanho N, instalação ao tempo (D-S-PA), ref. DNT, fab. DAISA ou similar, bitola 1.1/2", tipo C (291421)</v>
          </cell>
          <cell r="C8370" t="str">
            <v>ud</v>
          </cell>
          <cell r="D8370">
            <v>0</v>
          </cell>
          <cell r="E8370">
            <v>44.53</v>
          </cell>
          <cell r="F8370">
            <v>44.53</v>
          </cell>
        </row>
        <row r="8371">
          <cell r="A8371" t="str">
            <v>421196</v>
          </cell>
          <cell r="B8371" t="str">
            <v>Caixa de passagem e ligação em liga de alumínio injetado, tipo condulete, tamanho N, instalação ao tempo (D-S-PA), ref. DNT, fab. DAISA ou similar, bitola 1.1/2", tipo TB</v>
          </cell>
          <cell r="C8371" t="str">
            <v>ud</v>
          </cell>
          <cell r="D8371">
            <v>0</v>
          </cell>
          <cell r="E8371">
            <v>49.27</v>
          </cell>
          <cell r="F8371">
            <v>49.27</v>
          </cell>
        </row>
        <row r="8372">
          <cell r="A8372" t="str">
            <v>421197</v>
          </cell>
          <cell r="B8372" t="str">
            <v>Caixa de passagem e ligação em liga de alumínio injetado, tipo condulete, tamanho N, instalação abrigada (D-S-PA), ref. DN, fab. DAISA ou similar, bitola 3/4", tipo C DUPLO</v>
          </cell>
          <cell r="C8372" t="str">
            <v>ud</v>
          </cell>
          <cell r="D8372">
            <v>0</v>
          </cell>
          <cell r="E8372">
            <v>32.32</v>
          </cell>
          <cell r="F8372">
            <v>32.32</v>
          </cell>
        </row>
        <row r="8373">
          <cell r="A8373" t="str">
            <v>421198</v>
          </cell>
          <cell r="B8373" t="str">
            <v>Caixa de passagem e ligação em liga de alumínio injetado, tipo condulete, tamanho N, instalação abrigada (D-S-PA), ref. DN, fab. DAISA ou similar, bitola 1", tipo C DUPLO</v>
          </cell>
          <cell r="C8373" t="str">
            <v>ud</v>
          </cell>
          <cell r="D8373">
            <v>0</v>
          </cell>
          <cell r="E8373">
            <v>35.56</v>
          </cell>
          <cell r="F8373">
            <v>35.56</v>
          </cell>
        </row>
        <row r="8374">
          <cell r="A8374" t="str">
            <v>4212</v>
          </cell>
          <cell r="B8374" t="str">
            <v>CAIXAS DE PASSAGEM E LIGAÇÃO EM ALUMINIO</v>
          </cell>
        </row>
        <row r="8375">
          <cell r="A8375" t="str">
            <v>421201</v>
          </cell>
          <cell r="B8375" t="str">
            <v>Caixa de passagem e ligação em liga de alumínio injetado, tipo condulete, tamanho N, instalação ao tempo (D-S-PA), ref. DNT, fab. DAISA ou similar, bitola 2", tipo LL (291448)</v>
          </cell>
          <cell r="C8375" t="str">
            <v>ud</v>
          </cell>
          <cell r="D8375">
            <v>0</v>
          </cell>
          <cell r="E8375">
            <v>68.569999999999993</v>
          </cell>
          <cell r="F8375">
            <v>68.569999999999993</v>
          </cell>
        </row>
        <row r="8376">
          <cell r="A8376" t="str">
            <v>421202</v>
          </cell>
          <cell r="B8376" t="str">
            <v>Caixa de passagem e ligação em liga de alumínio injetado, tipo condulete, tamanho N, instalação ao tempo (D-S-PA), ref. DNT, fab. DAISA ou similar, bitola 2", tipo LR (291456)</v>
          </cell>
          <cell r="C8376" t="str">
            <v>ud</v>
          </cell>
          <cell r="D8376">
            <v>0</v>
          </cell>
          <cell r="E8376">
            <v>68.58</v>
          </cell>
          <cell r="F8376">
            <v>68.58</v>
          </cell>
        </row>
        <row r="8377">
          <cell r="A8377" t="str">
            <v>421203</v>
          </cell>
          <cell r="B8377" t="str">
            <v>Caixa de passagem e ligação em liga de alumínio injetado, tipo condulete, tamanho N, instalação ao tempo (D-S-PA), ref. DNT, fab. DAISA ou similar, bitola 2", tipo LB (291453)</v>
          </cell>
          <cell r="C8377" t="str">
            <v>ud</v>
          </cell>
          <cell r="D8377">
            <v>0</v>
          </cell>
          <cell r="E8377">
            <v>68.58</v>
          </cell>
          <cell r="F8377">
            <v>68.58</v>
          </cell>
        </row>
        <row r="8378">
          <cell r="A8378" t="str">
            <v>421204</v>
          </cell>
          <cell r="B8378" t="str">
            <v>Caixa de passagem e ligação em liga de alumínio injetado, tipo condulete, tamanho N, instalação ao tempo (D-S-PA), ref. DNT, fab. DAISA ou similar, bitola 2", tipo T</v>
          </cell>
          <cell r="C8378" t="str">
            <v>ud</v>
          </cell>
          <cell r="D8378">
            <v>0</v>
          </cell>
          <cell r="E8378">
            <v>80.540000000000006</v>
          </cell>
          <cell r="F8378">
            <v>80.540000000000006</v>
          </cell>
        </row>
        <row r="8379">
          <cell r="A8379" t="str">
            <v>421205</v>
          </cell>
          <cell r="B8379" t="str">
            <v>Caixa de passagem e ligação em liga de alumínio injetado, tipo condulete, tamanho N, instalação ao tempo (D-S-PA), ref. DNT, fab. DAISA ou similar, bitola 2", tipo X (293704)</v>
          </cell>
          <cell r="C8379" t="str">
            <v>ud</v>
          </cell>
          <cell r="D8379">
            <v>0</v>
          </cell>
          <cell r="E8379">
            <v>87.61</v>
          </cell>
          <cell r="F8379">
            <v>87.61</v>
          </cell>
        </row>
        <row r="8380">
          <cell r="A8380" t="str">
            <v>421206</v>
          </cell>
          <cell r="B8380" t="str">
            <v>Caixa de passagem e ligação em liga de alumínio injetado, tipo condulete, tamanho N, instalação ao tempo (D-S-PA), ref. DNT, fab. DAISA ou similar, bitola 2", tipo E (292580)</v>
          </cell>
          <cell r="C8380" t="str">
            <v>ud</v>
          </cell>
          <cell r="D8380">
            <v>0</v>
          </cell>
          <cell r="E8380">
            <v>61.12</v>
          </cell>
          <cell r="F8380">
            <v>61.12</v>
          </cell>
        </row>
        <row r="8381">
          <cell r="A8381" t="str">
            <v>421207</v>
          </cell>
          <cell r="B8381" t="str">
            <v>Caixa de passagem e ligação em liga de alumínio injetado, tipo condulete, tamanho N, instalação ao tempo (D-S-PA), ref. DNT, fab. DAISA ou similar, bitola 2", tipo C</v>
          </cell>
          <cell r="C8381" t="str">
            <v>ud</v>
          </cell>
          <cell r="D8381">
            <v>0</v>
          </cell>
          <cell r="E8381">
            <v>68.58</v>
          </cell>
          <cell r="F8381">
            <v>68.58</v>
          </cell>
        </row>
        <row r="8382">
          <cell r="A8382" t="str">
            <v>421208</v>
          </cell>
          <cell r="B8382" t="str">
            <v>Caixa de passagem e ligação em liga de alumínio injetado, tipo condulete, tamanho N, instalação ao tempo (D-S-PA), ref. DNT, fab. DAISA ou similar, bitola 2", tipo TB</v>
          </cell>
          <cell r="C8382" t="str">
            <v>ud</v>
          </cell>
          <cell r="D8382">
            <v>0</v>
          </cell>
          <cell r="E8382">
            <v>80.540000000000006</v>
          </cell>
          <cell r="F8382">
            <v>80.540000000000006</v>
          </cell>
        </row>
        <row r="8383">
          <cell r="A8383" t="str">
            <v>421209</v>
          </cell>
          <cell r="B8383" t="str">
            <v>Caixa de passagem e ligação em liga de alumínio injetado, tipo condulete, tamanho N, instalação ao tempo (D-S-PA), ref. DNT, fab. DAISA ou similar, bitola 2.1/2", tipo LL (203238)</v>
          </cell>
          <cell r="C8383" t="str">
            <v>ud</v>
          </cell>
          <cell r="D8383">
            <v>0</v>
          </cell>
          <cell r="E8383">
            <v>109.78</v>
          </cell>
          <cell r="F8383">
            <v>109.78</v>
          </cell>
        </row>
        <row r="8384">
          <cell r="A8384" t="str">
            <v>421210</v>
          </cell>
          <cell r="B8384" t="str">
            <v>Caixa de passagem e ligação em liga de alumínio injetado, tipo condulete, tamanho N, instalação ao tempo (D-S-PA), ref. DNT, fab. DAISA ou similar, bitola 2.1/2", tipo LR (291504)</v>
          </cell>
          <cell r="C8384" t="str">
            <v>ud</v>
          </cell>
          <cell r="D8384">
            <v>0</v>
          </cell>
          <cell r="E8384">
            <v>109.79</v>
          </cell>
          <cell r="F8384">
            <v>109.79</v>
          </cell>
        </row>
        <row r="8385">
          <cell r="A8385" t="str">
            <v>421211</v>
          </cell>
          <cell r="B8385" t="str">
            <v>Caixa de passagem e ligação em liga de alumínio injetado, tipo condulete, tamanho N, instalação ao tempo (D-S-PA), ref. DNT, fab. DAISA ou similar, bitola 2.1/2", tipo LB (203165)</v>
          </cell>
          <cell r="C8385" t="str">
            <v>ud</v>
          </cell>
          <cell r="D8385">
            <v>0</v>
          </cell>
          <cell r="E8385">
            <v>109.78</v>
          </cell>
          <cell r="F8385">
            <v>109.78</v>
          </cell>
        </row>
        <row r="8386">
          <cell r="A8386" t="str">
            <v>421212</v>
          </cell>
          <cell r="B8386" t="str">
            <v>Caixa de passagem e ligação em liga de alumínio injetado, tipo condulete, tamanho N, instalação ao tempo (D-S-PA), ref. DNT, fab. DAISA ou similar, bitola 2.1/2", tipo T (291505)</v>
          </cell>
          <cell r="C8386" t="str">
            <v>ud</v>
          </cell>
          <cell r="D8386">
            <v>0</v>
          </cell>
          <cell r="E8386">
            <v>128.97999999999999</v>
          </cell>
          <cell r="F8386">
            <v>128.97999999999999</v>
          </cell>
        </row>
        <row r="8387">
          <cell r="A8387" t="str">
            <v>421213</v>
          </cell>
          <cell r="B8387" t="str">
            <v>Caixa de passagem e ligação em liga de alumínio injetado, tipo condulete, tamanho N, instalação ao tempo (D-S-PA), ref. DNT, fab. DAISA ou similar, bitola 2.1/2", tipo X</v>
          </cell>
          <cell r="C8387" t="str">
            <v>ud</v>
          </cell>
          <cell r="D8387">
            <v>0</v>
          </cell>
          <cell r="E8387">
            <v>137.84</v>
          </cell>
          <cell r="F8387">
            <v>137.84</v>
          </cell>
        </row>
        <row r="8388">
          <cell r="A8388" t="str">
            <v>421214</v>
          </cell>
          <cell r="B8388" t="str">
            <v>Caixa de passagem e ligação em liga de alumínio injetado, tipo condulete, tamanho N, instalação ao tempo (D-S-PA), ref. DNT, fab. DAISA ou similar, bitola 2.1/2", tipo E</v>
          </cell>
          <cell r="C8388" t="str">
            <v>ud</v>
          </cell>
          <cell r="D8388">
            <v>0</v>
          </cell>
          <cell r="E8388">
            <v>98.28</v>
          </cell>
          <cell r="F8388">
            <v>98.28</v>
          </cell>
        </row>
        <row r="8389">
          <cell r="A8389" t="str">
            <v>421215</v>
          </cell>
          <cell r="B8389" t="str">
            <v>Caixa de passagem e ligação em liga de alumínio injetado, tipo condulete, tamanho N, instalação ao tempo (D-S-PA), ref. DNT, fab. DAISA ou similar, bitola 2.1/2", tipo C</v>
          </cell>
          <cell r="C8389" t="str">
            <v>ud</v>
          </cell>
          <cell r="D8389">
            <v>0</v>
          </cell>
          <cell r="E8389">
            <v>109.79</v>
          </cell>
          <cell r="F8389">
            <v>109.79</v>
          </cell>
        </row>
        <row r="8390">
          <cell r="A8390" t="str">
            <v>421216</v>
          </cell>
          <cell r="B8390" t="str">
            <v>Caixa de passagem e ligação em liga de alumínio injetado, tipo condulete, tamanho N, instalação ao tempo (D-S-PA), ref. DNT, fab. DAISA ou similar, bitola 2.1/2", tipo TB</v>
          </cell>
          <cell r="C8390" t="str">
            <v>ud</v>
          </cell>
          <cell r="D8390">
            <v>0</v>
          </cell>
          <cell r="E8390">
            <v>128.97</v>
          </cell>
          <cell r="F8390">
            <v>128.97</v>
          </cell>
        </row>
        <row r="8391">
          <cell r="A8391" t="str">
            <v>421217</v>
          </cell>
          <cell r="B8391" t="str">
            <v>Caixa de passagem e ligação em liga de alumínio injetado, tipo condulete, tamanho N, instalação ao tempo (D-S-PA), ref. DNT, fab. DAISA ou similar, bitola 3", tipo LL</v>
          </cell>
          <cell r="C8391" t="str">
            <v>ud</v>
          </cell>
          <cell r="D8391">
            <v>0</v>
          </cell>
          <cell r="E8391">
            <v>159.16999999999999</v>
          </cell>
          <cell r="F8391">
            <v>159.16999999999999</v>
          </cell>
        </row>
        <row r="8392">
          <cell r="A8392" t="str">
            <v>421218</v>
          </cell>
          <cell r="B8392" t="str">
            <v>Caixa de passagem e ligação em liga de alumínio injetado, tipo condulete, tamanho N, instalação ao tempo (D-S-PA), ref. DNT, fab. DAISA ou similar, bitola 3", tipo LR (289988)</v>
          </cell>
          <cell r="C8392" t="str">
            <v>ud</v>
          </cell>
          <cell r="D8392">
            <v>0</v>
          </cell>
          <cell r="E8392">
            <v>159.16</v>
          </cell>
          <cell r="F8392">
            <v>159.16</v>
          </cell>
        </row>
        <row r="8393">
          <cell r="A8393" t="str">
            <v>421219</v>
          </cell>
          <cell r="B8393" t="str">
            <v>Caixa de passagem e ligação em liga de alumínio injetado, tipo condulete, tamanho N, instalação ao tempo (D-S-PA), ref. DNT, fab. DAISA ou similar, bitola 3", tipo LB (289986)</v>
          </cell>
          <cell r="C8393" t="str">
            <v>ud</v>
          </cell>
          <cell r="D8393">
            <v>0</v>
          </cell>
          <cell r="E8393">
            <v>159.16</v>
          </cell>
          <cell r="F8393">
            <v>159.16</v>
          </cell>
        </row>
        <row r="8394">
          <cell r="A8394" t="str">
            <v>421220</v>
          </cell>
          <cell r="B8394" t="str">
            <v>Caixa de passagem e ligação em liga de alumínio injetado, tipo condulete, tamanho N, instalação ao tempo (D-S-PA), ref. DNT, fab. DAISA ou similar, bitola 3", tipo T (291451)</v>
          </cell>
          <cell r="C8394" t="str">
            <v>ud</v>
          </cell>
          <cell r="D8394">
            <v>0</v>
          </cell>
          <cell r="E8394">
            <v>182.29</v>
          </cell>
          <cell r="F8394">
            <v>182.29</v>
          </cell>
        </row>
        <row r="8395">
          <cell r="A8395" t="str">
            <v>421221</v>
          </cell>
          <cell r="B8395" t="str">
            <v>Caixa de passagem e ligação em liga de alumínio injetado, tipo condulete, tamanho N, instalação ao tempo (D-S-PA), ref. DNT, fab. DAISA ou similar, bitola 3", tipo X</v>
          </cell>
          <cell r="C8395" t="str">
            <v>ud</v>
          </cell>
          <cell r="D8395">
            <v>0</v>
          </cell>
          <cell r="E8395">
            <v>204.87</v>
          </cell>
          <cell r="F8395">
            <v>204.87</v>
          </cell>
        </row>
        <row r="8396">
          <cell r="A8396" t="str">
            <v>421222</v>
          </cell>
          <cell r="B8396" t="str">
            <v>Caixa de passagem e ligação em liga de alumínio injetado, tipo condulete, tamanho N, instalação ao tempo (D-S-PA), ref. DNT, fab. DAISA ou similar, bitola 3", tipo E</v>
          </cell>
          <cell r="C8396" t="str">
            <v>ud</v>
          </cell>
          <cell r="D8396">
            <v>0</v>
          </cell>
          <cell r="E8396">
            <v>138.08000000000001</v>
          </cell>
          <cell r="F8396">
            <v>138.08000000000001</v>
          </cell>
        </row>
        <row r="8397">
          <cell r="A8397" t="str">
            <v>421223</v>
          </cell>
          <cell r="B8397" t="str">
            <v>Caixa de passagem e ligação em liga de alumínio injetado, tipo condulete, tamanho N, instalação ao tempo (D-S-PA), ref. DNT, fab. DAISA ou similar, bitola 3", tipo C (289989)</v>
          </cell>
          <cell r="C8397" t="str">
            <v>ud</v>
          </cell>
          <cell r="D8397">
            <v>0</v>
          </cell>
          <cell r="E8397">
            <v>159.16</v>
          </cell>
          <cell r="F8397">
            <v>159.16</v>
          </cell>
        </row>
        <row r="8398">
          <cell r="A8398" t="str">
            <v>421224</v>
          </cell>
          <cell r="B8398" t="str">
            <v>Caixa de passagem e ligação em liga de alumínio injetado, tipo condulete, tamanho N, instalação ao tempo (D-S-PA), ref. DNT, fab. DAISA ou similar, bitola 3", tipo TB</v>
          </cell>
          <cell r="C8398" t="str">
            <v>ud</v>
          </cell>
          <cell r="D8398">
            <v>0</v>
          </cell>
          <cell r="E8398">
            <v>182.28</v>
          </cell>
          <cell r="F8398">
            <v>182.28</v>
          </cell>
        </row>
        <row r="8399">
          <cell r="A8399" t="str">
            <v>421225</v>
          </cell>
          <cell r="B8399" t="str">
            <v>Caixa de passagem e ligação em liga de alumínio injetado, tipo condulete, tamanho N, instalação ao tempo (D-S-PA), ref. DNT, fab. DAISA ou similar, bitola 4", tipo LL (291449)</v>
          </cell>
          <cell r="C8399" t="str">
            <v>ud</v>
          </cell>
          <cell r="D8399">
            <v>0</v>
          </cell>
          <cell r="E8399">
            <v>262.38</v>
          </cell>
          <cell r="F8399">
            <v>262.38</v>
          </cell>
        </row>
        <row r="8400">
          <cell r="A8400" t="str">
            <v>421226</v>
          </cell>
          <cell r="B8400" t="str">
            <v>Caixa de passagem e ligação em liga de alumínio injetado, tipo condulete, tamanho N, instalação ao tempo (D-S-PA), ref. DNT, fab. DAISA ou similar, bitola 4", tipo LR (291457)</v>
          </cell>
          <cell r="C8400" t="str">
            <v>ud</v>
          </cell>
          <cell r="D8400">
            <v>0</v>
          </cell>
          <cell r="E8400">
            <v>262.36</v>
          </cell>
          <cell r="F8400">
            <v>262.36</v>
          </cell>
        </row>
        <row r="8401">
          <cell r="A8401" t="str">
            <v>421227</v>
          </cell>
          <cell r="B8401" t="str">
            <v>Caixa de passagem e ligação em liga de alumínio injetado, tipo condulete, tamanho N, instalação ao tempo (D-S-PA), ref. DNT, fab. DAISA ou similar, bitola 4", tipo LB (291454)</v>
          </cell>
          <cell r="C8401" t="str">
            <v>ud</v>
          </cell>
          <cell r="D8401">
            <v>0</v>
          </cell>
          <cell r="E8401">
            <v>262.38</v>
          </cell>
          <cell r="F8401">
            <v>262.38</v>
          </cell>
        </row>
        <row r="8402">
          <cell r="A8402" t="str">
            <v>421228</v>
          </cell>
          <cell r="B8402" t="str">
            <v>Caixa de passagem e ligação em liga de alumínio injetado, tipo condulete, tamanho N, instalação ao tempo (D-S-PA), ref. DNT, fab. DAISA ou similar, bitola 4", tipo T (291452)</v>
          </cell>
          <cell r="C8402" t="str">
            <v>ud</v>
          </cell>
          <cell r="D8402">
            <v>0</v>
          </cell>
          <cell r="E8402">
            <v>294.70999999999998</v>
          </cell>
          <cell r="F8402">
            <v>294.70999999999998</v>
          </cell>
        </row>
        <row r="8403">
          <cell r="A8403" t="str">
            <v>421229</v>
          </cell>
          <cell r="B8403" t="str">
            <v>Caixa de passagem e ligação em liga de alumínio injetado, tipo condulete, tamanho N, instalação ao tempo (D-S-PA), ref. DNT, fab. DAISA ou similar, bitola 4", tipo X</v>
          </cell>
          <cell r="C8403" t="str">
            <v>ud</v>
          </cell>
          <cell r="D8403">
            <v>0</v>
          </cell>
          <cell r="E8403">
            <v>322.45999999999998</v>
          </cell>
          <cell r="F8403">
            <v>322.45999999999998</v>
          </cell>
        </row>
        <row r="8404">
          <cell r="A8404" t="str">
            <v>421230</v>
          </cell>
          <cell r="B8404" t="str">
            <v>Caixa de passagem e ligação em liga de alumínio injetado, tipo condulete, tamanho N, instalação ao tempo (D-S-PA), ref. DNT, fab. DAISA ou similar, bitola 4", tipo E</v>
          </cell>
          <cell r="C8404" t="str">
            <v>ud</v>
          </cell>
          <cell r="D8404">
            <v>0</v>
          </cell>
          <cell r="E8404">
            <v>213.1</v>
          </cell>
          <cell r="F8404">
            <v>213.1</v>
          </cell>
        </row>
        <row r="8405">
          <cell r="A8405" t="str">
            <v>421231</v>
          </cell>
          <cell r="B8405" t="str">
            <v>Caixa de passagem e ligação em liga de alumínio injetado, tipo condulete, tamanho N, instalação ao tempo (D-S-PA), ref. DNT, fab. DAISA ou similar, bitola 4", tipo C</v>
          </cell>
          <cell r="C8405" t="str">
            <v>ud</v>
          </cell>
          <cell r="D8405">
            <v>0</v>
          </cell>
          <cell r="E8405">
            <v>262.36</v>
          </cell>
          <cell r="F8405">
            <v>262.36</v>
          </cell>
        </row>
        <row r="8406">
          <cell r="A8406" t="str">
            <v>421232</v>
          </cell>
          <cell r="B8406" t="str">
            <v>Caixa de passagem e ligação em liga de alumínio injetado, tipo condulete, tamanho N, instalação ao tempo (D-S-PA), ref. DNT, fab. DAISA ou similar, bitola 4", tipo TB</v>
          </cell>
          <cell r="C8406" t="str">
            <v>ud</v>
          </cell>
          <cell r="D8406">
            <v>0</v>
          </cell>
          <cell r="E8406">
            <v>294.72000000000003</v>
          </cell>
          <cell r="F8406">
            <v>294.72000000000003</v>
          </cell>
        </row>
        <row r="8407">
          <cell r="A8407" t="str">
            <v>421233</v>
          </cell>
          <cell r="B8407" t="str">
            <v>Caixa de passagem e ligação em liga de alumínio injetado, tipo Dailet Multiplo X, com encaixe para tampa, ref. DM, fab. DAISA ou similar, bitola 3/4"</v>
          </cell>
          <cell r="C8407" t="str">
            <v>ud</v>
          </cell>
          <cell r="D8407">
            <v>0</v>
          </cell>
          <cell r="E8407">
            <v>2.38</v>
          </cell>
          <cell r="F8407">
            <v>2.38</v>
          </cell>
        </row>
        <row r="8408">
          <cell r="A8408" t="str">
            <v>421234</v>
          </cell>
          <cell r="B8408" t="str">
            <v>Caixa de passagem e ligação em liga de alumínio injetado, tipo Dailet Multiplo X, com encaixe para tampa, ref. DM, fab. DAISA ou similar, bitola 1"</v>
          </cell>
          <cell r="C8408" t="str">
            <v>ud</v>
          </cell>
          <cell r="D8408">
            <v>0</v>
          </cell>
          <cell r="E8408">
            <v>4.75</v>
          </cell>
          <cell r="F8408">
            <v>4.75</v>
          </cell>
        </row>
        <row r="8409">
          <cell r="A8409" t="str">
            <v>421235</v>
          </cell>
          <cell r="B8409" t="str">
            <v>Caixa de passagem e ligação em liga de alumínio injetado, tipo Dailet Multiplo X, com encaixe para tampa, ref. DM, fab. DAISA ou similar, bitola 1.1/4"</v>
          </cell>
          <cell r="C8409" t="str">
            <v>ud</v>
          </cell>
          <cell r="D8409">
            <v>0</v>
          </cell>
          <cell r="E8409">
            <v>5.86</v>
          </cell>
          <cell r="F8409">
            <v>5.86</v>
          </cell>
        </row>
        <row r="8410">
          <cell r="A8410" t="str">
            <v>421236</v>
          </cell>
          <cell r="B8410" t="str">
            <v>Caixa de passagem e ligação em liga de alumínio injetado, tipo Dailet Multiplo X, com encaixe para tampa, ref. DM, fab. DAISA ou similar, bitola 1.1/2"</v>
          </cell>
          <cell r="C8410" t="str">
            <v>ud</v>
          </cell>
          <cell r="D8410">
            <v>0</v>
          </cell>
          <cell r="E8410">
            <v>7.23</v>
          </cell>
          <cell r="F8410">
            <v>7.23</v>
          </cell>
        </row>
        <row r="8411">
          <cell r="A8411" t="str">
            <v>421237</v>
          </cell>
          <cell r="B8411" t="str">
            <v>Caixa de passagem e ligação em liga de alumínio injetado, tipo Dailet Multiplo X, com encaixe para tampa, ref. DM, fab. DAISA ou similar, bitola 2"</v>
          </cell>
          <cell r="C8411" t="str">
            <v>ud</v>
          </cell>
          <cell r="D8411">
            <v>0</v>
          </cell>
          <cell r="E8411">
            <v>10.36</v>
          </cell>
          <cell r="F8411">
            <v>10.36</v>
          </cell>
        </row>
        <row r="8412">
          <cell r="A8412" t="str">
            <v>421238</v>
          </cell>
          <cell r="B8412" t="str">
            <v>Caixa de passagem e ligação em liga de alumínio injetado, tipo Dailet Multiplo L, com encaixe para tampa, ref. DM, fab. DAISA ou similar, bitola 3/4"</v>
          </cell>
          <cell r="C8412" t="str">
            <v>ud</v>
          </cell>
          <cell r="D8412">
            <v>0</v>
          </cell>
          <cell r="E8412">
            <v>2.38</v>
          </cell>
          <cell r="F8412">
            <v>2.38</v>
          </cell>
        </row>
        <row r="8413">
          <cell r="A8413" t="str">
            <v>421239</v>
          </cell>
          <cell r="B8413" t="str">
            <v>Caixa de passagem e ligação em liga de alumínio injetado, tipo Dailet Multiplo L, com encaixe para tampa, ref. DM, fab. DAISA ou similar, bitola 1"</v>
          </cell>
          <cell r="C8413" t="str">
            <v>ud</v>
          </cell>
          <cell r="D8413">
            <v>0</v>
          </cell>
          <cell r="E8413">
            <v>4.75</v>
          </cell>
          <cell r="F8413">
            <v>4.75</v>
          </cell>
        </row>
        <row r="8414">
          <cell r="A8414" t="str">
            <v>421240</v>
          </cell>
          <cell r="B8414" t="str">
            <v>Caixa de passagem e ligação em liga de alumínio injetado, tipo Dailet Multiplo L, com encaixe para tampa, ref. DM, fab. DAISA ou similar, bitola 1.1/4"</v>
          </cell>
          <cell r="C8414" t="str">
            <v>ud</v>
          </cell>
          <cell r="D8414">
            <v>0</v>
          </cell>
          <cell r="E8414">
            <v>5.86</v>
          </cell>
          <cell r="F8414">
            <v>5.86</v>
          </cell>
        </row>
        <row r="8415">
          <cell r="A8415" t="str">
            <v>421241</v>
          </cell>
          <cell r="B8415" t="str">
            <v>Caixa de passagem e ligação em liga de alumínio injetado, tipo Dailet Multiplo L, com encaixe para tampa, ref. DM, fab. DAISA ou similar, bitola 1.1/2"</v>
          </cell>
          <cell r="C8415" t="str">
            <v>ud</v>
          </cell>
          <cell r="D8415">
            <v>0</v>
          </cell>
          <cell r="E8415">
            <v>7.23</v>
          </cell>
          <cell r="F8415">
            <v>7.23</v>
          </cell>
        </row>
        <row r="8416">
          <cell r="A8416" t="str">
            <v>421242</v>
          </cell>
          <cell r="B8416" t="str">
            <v>Caixa de passagem e ligação em liga de alumínio injetado, tipo Dailet Multiplo L, com encaixe para tampa, ref. DM, fab. DAISA ou similar, bitola 2"</v>
          </cell>
          <cell r="C8416" t="str">
            <v>ud</v>
          </cell>
          <cell r="D8416">
            <v>0</v>
          </cell>
          <cell r="E8416">
            <v>10.36</v>
          </cell>
          <cell r="F8416">
            <v>10.36</v>
          </cell>
        </row>
        <row r="8417">
          <cell r="A8417" t="str">
            <v>421243</v>
          </cell>
          <cell r="B8417" t="str">
            <v>Adaptador, para Dailet Multiplo, em alumínio injetado, rosca BSP, ref. AM, fab. DAISA ou similar, bitola 3/4"</v>
          </cell>
          <cell r="C8417" t="str">
            <v>ud</v>
          </cell>
          <cell r="D8417">
            <v>0</v>
          </cell>
          <cell r="E8417">
            <v>0.81</v>
          </cell>
          <cell r="F8417">
            <v>0.81</v>
          </cell>
        </row>
        <row r="8418">
          <cell r="A8418" t="str">
            <v>421244</v>
          </cell>
          <cell r="B8418" t="str">
            <v>Adaptador, para Dailet Multiplo, em alumínio injetado, rosca BSP, ref. AM, fab. DAISA ou similar, bitola 1"</v>
          </cell>
          <cell r="C8418" t="str">
            <v>ud</v>
          </cell>
          <cell r="D8418">
            <v>0</v>
          </cell>
          <cell r="E8418">
            <v>1.27</v>
          </cell>
          <cell r="F8418">
            <v>1.27</v>
          </cell>
        </row>
        <row r="8419">
          <cell r="A8419" t="str">
            <v>421245</v>
          </cell>
          <cell r="B8419" t="str">
            <v>Adaptador, para Dailet Multiplo, em alumínio injetado, rosca BSP, ref. AM, fab. DAISA ou similar, bitola 1.1/2"</v>
          </cell>
          <cell r="C8419" t="str">
            <v>ud</v>
          </cell>
          <cell r="D8419">
            <v>0</v>
          </cell>
          <cell r="E8419">
            <v>2.42</v>
          </cell>
          <cell r="F8419">
            <v>2.42</v>
          </cell>
        </row>
        <row r="8420">
          <cell r="A8420" t="str">
            <v>421246</v>
          </cell>
          <cell r="B8420" t="str">
            <v>Adaptador, para Dailet Multiplo, em alumínio injetado, rosca BSP, ref. AM, fab. DAISA ou similar, bitola 2"</v>
          </cell>
          <cell r="C8420" t="str">
            <v>ud</v>
          </cell>
          <cell r="D8420">
            <v>0</v>
          </cell>
          <cell r="E8420">
            <v>3.49</v>
          </cell>
          <cell r="F8420">
            <v>3.49</v>
          </cell>
        </row>
        <row r="8421">
          <cell r="A8421" t="str">
            <v>4213</v>
          </cell>
          <cell r="B8421" t="str">
            <v>CAIXAS DE PASSAGEM E LIGAÇÃO EM PVC</v>
          </cell>
        </row>
        <row r="8422">
          <cell r="A8422" t="str">
            <v>421301</v>
          </cell>
          <cell r="B8422" t="str">
            <v>Caixa de passagem e ligação em PVC na cor cinza, tipo condulete, tamanho N, com encaixe para tampa, 6 entradas ref. CPN6 (C), fab. DAISA ou similar</v>
          </cell>
          <cell r="C8422" t="str">
            <v>ud</v>
          </cell>
          <cell r="D8422">
            <v>0</v>
          </cell>
          <cell r="E8422">
            <v>3.9</v>
          </cell>
          <cell r="F8422">
            <v>3.9</v>
          </cell>
        </row>
        <row r="8423">
          <cell r="A8423" t="str">
            <v>421302</v>
          </cell>
          <cell r="B8423" t="str">
            <v>Adaptador, para caixa de PVC na cor cinza em tamanho N e com 6 entradas CPN6, ref. ADP034, fab. DAISA ou similar, bitola 3/4"</v>
          </cell>
          <cell r="C8423" t="str">
            <v>ud</v>
          </cell>
          <cell r="D8423">
            <v>0</v>
          </cell>
          <cell r="E8423">
            <v>0.94</v>
          </cell>
          <cell r="F8423">
            <v>0.94</v>
          </cell>
        </row>
        <row r="8424">
          <cell r="A8424" t="str">
            <v>421303</v>
          </cell>
          <cell r="B8424" t="str">
            <v>Adaptador, para caixa de PVC na cor cinza em tamanho N e com 6 entradas CPN6, ref. ADP100, fab. DAISA ou similar, bitola 1"</v>
          </cell>
          <cell r="C8424" t="str">
            <v>ud</v>
          </cell>
          <cell r="D8424">
            <v>0</v>
          </cell>
          <cell r="E8424">
            <v>1.03</v>
          </cell>
          <cell r="F8424">
            <v>1.03</v>
          </cell>
        </row>
        <row r="8425">
          <cell r="A8425" t="str">
            <v>4214</v>
          </cell>
          <cell r="B8425" t="str">
            <v>UNIDUT RETO EM ALUMINIO</v>
          </cell>
        </row>
        <row r="8426">
          <cell r="A8426" t="str">
            <v>421401</v>
          </cell>
          <cell r="B8426" t="str">
            <v>Unidut reto, instalação ao tempo, em liga de alumínio, tipo de instalação (D-S-PA), ref. URT, fab. DAISA ou similar, nas bitola 3/4"</v>
          </cell>
          <cell r="C8426" t="str">
            <v>ud</v>
          </cell>
          <cell r="D8426">
            <v>0</v>
          </cell>
          <cell r="E8426">
            <v>4.7</v>
          </cell>
          <cell r="F8426">
            <v>4.7</v>
          </cell>
        </row>
        <row r="8427">
          <cell r="A8427" t="str">
            <v>421402</v>
          </cell>
          <cell r="B8427" t="str">
            <v>Unidut reto, instalação ao tempo, em liga de alumínio, tipo de instalação (D-S-PA), ref. URT, fab. DAISA ou similar, nas bitola 1" (295608)</v>
          </cell>
          <cell r="C8427" t="str">
            <v>ud</v>
          </cell>
          <cell r="D8427">
            <v>0</v>
          </cell>
          <cell r="E8427">
            <v>6.35</v>
          </cell>
          <cell r="F8427">
            <v>6.35</v>
          </cell>
        </row>
        <row r="8428">
          <cell r="A8428" t="str">
            <v>421403</v>
          </cell>
          <cell r="B8428" t="str">
            <v>Unidut reto, instalação ao tempo, em liga de alumínio, tipo de instalação (D-S-PA), ref. URT, fab. DAISA ou similar, nas bitola 1.1/4"</v>
          </cell>
          <cell r="C8428" t="str">
            <v>ud</v>
          </cell>
          <cell r="D8428">
            <v>0</v>
          </cell>
          <cell r="E8428">
            <v>11.61</v>
          </cell>
          <cell r="F8428">
            <v>11.61</v>
          </cell>
        </row>
        <row r="8429">
          <cell r="A8429" t="str">
            <v>421404</v>
          </cell>
          <cell r="B8429" t="str">
            <v>Unidut reto, instalação ao tempo, em liga de alumínio, tipo de instalação (D-S-PA), ref. URT, fab. DAISA ou similar, nas bitola 1.1/2"</v>
          </cell>
          <cell r="C8429" t="str">
            <v>ud</v>
          </cell>
          <cell r="D8429">
            <v>0</v>
          </cell>
          <cell r="E8429">
            <v>14.16</v>
          </cell>
          <cell r="F8429">
            <v>14.16</v>
          </cell>
        </row>
        <row r="8430">
          <cell r="A8430" t="str">
            <v>421405</v>
          </cell>
          <cell r="B8430" t="str">
            <v>Unidut reto, instalação ao tempo, em liga de alumínio, tipo de instalação (D-S-PA), ref. URT, fab. DAISA ou similar, nas bitola 2" (295609)</v>
          </cell>
          <cell r="C8430" t="str">
            <v>ud</v>
          </cell>
          <cell r="D8430">
            <v>0</v>
          </cell>
          <cell r="E8430">
            <v>20.64</v>
          </cell>
          <cell r="F8430">
            <v>20.64</v>
          </cell>
        </row>
        <row r="8431">
          <cell r="A8431" t="str">
            <v>421406</v>
          </cell>
          <cell r="B8431" t="str">
            <v>Unidut reto, instalação ao tempo, em liga de alumínio, tipo de instalação (D-S-PA), ref. URT, fab. DAISA ou similar, nas bitola 2.1/2"</v>
          </cell>
          <cell r="C8431" t="str">
            <v>ud</v>
          </cell>
          <cell r="D8431">
            <v>0</v>
          </cell>
          <cell r="E8431">
            <v>32.020000000000003</v>
          </cell>
          <cell r="F8431">
            <v>32.020000000000003</v>
          </cell>
        </row>
        <row r="8432">
          <cell r="A8432" t="str">
            <v>421407</v>
          </cell>
          <cell r="B8432" t="str">
            <v>Unidut reto, instalação ao tempo, em liga de alumínio, tipo de instalação (D-S-PA), ref. URT, fab. DAISA ou similar, nas bitola 3"</v>
          </cell>
          <cell r="C8432" t="str">
            <v>ud</v>
          </cell>
          <cell r="D8432">
            <v>0</v>
          </cell>
          <cell r="E8432">
            <v>52.02</v>
          </cell>
          <cell r="F8432">
            <v>52.02</v>
          </cell>
        </row>
        <row r="8433">
          <cell r="A8433" t="str">
            <v>421408</v>
          </cell>
          <cell r="B8433" t="str">
            <v>Unidut reto, instalação ao tempo, em liga de alumínio, tipo de instalação (D-S-PA), ref. URT, fab. DAISA ou similar, nas bitola 4"</v>
          </cell>
          <cell r="C8433" t="str">
            <v>ud</v>
          </cell>
          <cell r="D8433">
            <v>0</v>
          </cell>
          <cell r="E8433">
            <v>90.93</v>
          </cell>
          <cell r="F8433">
            <v>90.93</v>
          </cell>
        </row>
        <row r="8434">
          <cell r="A8434" t="str">
            <v>4215</v>
          </cell>
          <cell r="B8434" t="str">
            <v>CONECTORES E CHUMBADORES</v>
          </cell>
        </row>
        <row r="8435">
          <cell r="A8435" t="str">
            <v>421504</v>
          </cell>
          <cell r="B8435" t="str">
            <v xml:space="preserve">Conector de derivação perfurante CDP-70, para condutores de 10-95mm² e derivação 1,5 - 10mm², ref. INTELLI ou similar </v>
          </cell>
          <cell r="C8435" t="str">
            <v>ud</v>
          </cell>
          <cell r="D8435">
            <v>0</v>
          </cell>
          <cell r="E8435">
            <v>5.13</v>
          </cell>
          <cell r="F8435">
            <v>5.13</v>
          </cell>
        </row>
        <row r="8436">
          <cell r="A8436" t="str">
            <v>421505</v>
          </cell>
          <cell r="B8436" t="str">
            <v xml:space="preserve">Conector de derivação perfurante CDP-95, para condutores de 16-95mm² e derivação 4 - 35mm², ref. INTELLI ou similar </v>
          </cell>
          <cell r="C8436" t="str">
            <v>ud</v>
          </cell>
          <cell r="D8436">
            <v>0</v>
          </cell>
          <cell r="E8436">
            <v>10.38</v>
          </cell>
          <cell r="F8436">
            <v>10.38</v>
          </cell>
        </row>
        <row r="8437">
          <cell r="A8437" t="str">
            <v>421506</v>
          </cell>
          <cell r="B8437" t="str">
            <v xml:space="preserve">Conector de derivação perfurante CDP-120-120, para condutores de 25-150mm² e derivação 25 - 150mm², ref. INTELLI ou similar </v>
          </cell>
          <cell r="C8437" t="str">
            <v>ud</v>
          </cell>
          <cell r="D8437">
            <v>0</v>
          </cell>
          <cell r="E8437">
            <v>14.77</v>
          </cell>
          <cell r="F8437">
            <v>14.77</v>
          </cell>
        </row>
        <row r="8438">
          <cell r="A8438" t="str">
            <v>421507</v>
          </cell>
          <cell r="B8438" t="str">
            <v>Conector paralelo em alumínio com parafuso, porca e arruela de aço zincado, ref. 55954/22 fab. FORJASUL ou similar para cabo de alumínio bitola 10mm² - 6 AWG</v>
          </cell>
          <cell r="C8438" t="str">
            <v>ud</v>
          </cell>
          <cell r="D8438">
            <v>0</v>
          </cell>
          <cell r="E8438">
            <v>18.02</v>
          </cell>
          <cell r="F8438">
            <v>18.02</v>
          </cell>
        </row>
        <row r="8439">
          <cell r="A8439" t="str">
            <v>421508</v>
          </cell>
          <cell r="B8439" t="str">
            <v>Conector paralelo em alumínio com parafuso, porca e arruela de aço zincado, ref. 55954/22 fab. FORJASUL ou similar para cabo de alumínio bitola 25mm² - 2 AWG</v>
          </cell>
          <cell r="C8439" t="str">
            <v>ud</v>
          </cell>
          <cell r="D8439">
            <v>0</v>
          </cell>
          <cell r="E8439">
            <v>18.02</v>
          </cell>
          <cell r="F8439">
            <v>18.02</v>
          </cell>
        </row>
        <row r="8440">
          <cell r="A8440" t="str">
            <v>421509</v>
          </cell>
          <cell r="B8440" t="str">
            <v>Conector paralelo em alumínio com parafuso, porca e arruela de aço zincado, ref. 55954/22 fab. FORJASUL ou similar para cabo de alumínio bitola 35mm² - 1 AWG</v>
          </cell>
          <cell r="C8440" t="str">
            <v>ud</v>
          </cell>
          <cell r="D8440">
            <v>0</v>
          </cell>
          <cell r="E8440">
            <v>18.02</v>
          </cell>
          <cell r="F8440">
            <v>18.02</v>
          </cell>
        </row>
        <row r="8441">
          <cell r="A8441" t="str">
            <v>421510</v>
          </cell>
          <cell r="B8441" t="str">
            <v>Conector paralelo em alumínio com parafuso, porca e arruela de aço zincado, ref. 55904/003 fab. FORJASUL ou similar para cabo de alumínio bitola 50mm² - 1/0 AWG</v>
          </cell>
          <cell r="C8441" t="str">
            <v>ud</v>
          </cell>
          <cell r="D8441">
            <v>0</v>
          </cell>
          <cell r="E8441">
            <v>18.02</v>
          </cell>
          <cell r="F8441">
            <v>18.02</v>
          </cell>
        </row>
        <row r="8442">
          <cell r="A8442" t="str">
            <v>421511</v>
          </cell>
          <cell r="B8442" t="str">
            <v>Conector paralelo em alumínio com parafuso, porca e arruela de aço zincado, ref. 55904/003 fab. FORJASUL ou similar para cabo de alumínio bitola 70mm² - 3/0 AWG</v>
          </cell>
          <cell r="C8442" t="str">
            <v>ud</v>
          </cell>
          <cell r="D8442">
            <v>0</v>
          </cell>
          <cell r="E8442">
            <v>36.630000000000003</v>
          </cell>
          <cell r="F8442">
            <v>36.630000000000003</v>
          </cell>
        </row>
        <row r="8443">
          <cell r="A8443" t="str">
            <v>421512</v>
          </cell>
          <cell r="B8443" t="str">
            <v>Conector paralelo em alumínio com parafuso, porca e arruela de aço zincado, ref. 55904/006 fab. FORJASUL ou similar para cabo de alumínio bitola 95mm² - 4/0 AWG</v>
          </cell>
          <cell r="C8443" t="str">
            <v>ud</v>
          </cell>
          <cell r="D8443">
            <v>0</v>
          </cell>
          <cell r="E8443">
            <v>36.630000000000003</v>
          </cell>
          <cell r="F8443">
            <v>36.630000000000003</v>
          </cell>
        </row>
        <row r="8444">
          <cell r="A8444" t="str">
            <v>421513</v>
          </cell>
          <cell r="B8444" t="str">
            <v>Conector para chuveiro elétrico, 3x4,0mm², fab. SINDAL ou similar</v>
          </cell>
          <cell r="C8444" t="str">
            <v>ud</v>
          </cell>
          <cell r="D8444">
            <v>0</v>
          </cell>
          <cell r="E8444">
            <v>5.09</v>
          </cell>
          <cell r="F8444">
            <v>5.09</v>
          </cell>
        </row>
        <row r="8445">
          <cell r="A8445" t="str">
            <v>421514</v>
          </cell>
          <cell r="B8445" t="str">
            <v>Conector macho 6mm, rosca BSP 1/4", ref. F3PB6-1/4", ref. PARKER ou similar (283818)</v>
          </cell>
          <cell r="C8445" t="str">
            <v>ud</v>
          </cell>
          <cell r="D8445">
            <v>0</v>
          </cell>
          <cell r="E8445">
            <v>8.1199999999999992</v>
          </cell>
          <cell r="F8445">
            <v>8.1199999999999992</v>
          </cell>
        </row>
        <row r="8446">
          <cell r="A8446" t="str">
            <v>421515</v>
          </cell>
          <cell r="B8446" t="str">
            <v>Conector tipo cunha para cabo 35mm², conforme NTC 813121-1, ref. ENCESA ou similar</v>
          </cell>
          <cell r="C8446" t="str">
            <v>ud</v>
          </cell>
          <cell r="D8446">
            <v>0</v>
          </cell>
          <cell r="E8446">
            <v>9.75</v>
          </cell>
          <cell r="F8446">
            <v>9.75</v>
          </cell>
        </row>
        <row r="8447">
          <cell r="A8447" t="str">
            <v>421516</v>
          </cell>
          <cell r="B8447" t="str">
            <v>Conector cunha 9,5mm x 9,5mm, conforme NTC 813130, código 738192-1</v>
          </cell>
          <cell r="C8447" t="str">
            <v>ud</v>
          </cell>
          <cell r="D8447">
            <v>0</v>
          </cell>
          <cell r="E8447">
            <v>10.84</v>
          </cell>
          <cell r="F8447">
            <v>10.84</v>
          </cell>
        </row>
        <row r="8448">
          <cell r="A8448" t="str">
            <v>421517</v>
          </cell>
          <cell r="B8448" t="str">
            <v>Conector terminal de compressão, 35mm², conforme NTC 812914</v>
          </cell>
          <cell r="C8448" t="str">
            <v>ud</v>
          </cell>
          <cell r="D8448">
            <v>0</v>
          </cell>
          <cell r="E8448">
            <v>3.26</v>
          </cell>
          <cell r="F8448">
            <v>3.26</v>
          </cell>
        </row>
        <row r="8449">
          <cell r="A8449" t="str">
            <v>421519</v>
          </cell>
          <cell r="B8449" t="str">
            <v>Chumbador em aço inox, completo com parafuso e arruela lisa em aço inox, ref.CBPL-14300, fab. WALSYWA ou similar, bitola 1/4" x 3"</v>
          </cell>
          <cell r="C8449" t="str">
            <v>ud</v>
          </cell>
          <cell r="D8449">
            <v>0</v>
          </cell>
          <cell r="E8449">
            <v>5.37</v>
          </cell>
          <cell r="F8449">
            <v>5.37</v>
          </cell>
        </row>
        <row r="8450">
          <cell r="A8450" t="str">
            <v>421520</v>
          </cell>
          <cell r="B8450" t="str">
            <v>Chumbador em aço inox,  completo com parafuso e arruela lisa em aço inox, ref.CBPL-38312, fab. WALSYWA ou similar, bitola 3/8" x 3.1/2" (294570)</v>
          </cell>
          <cell r="C8450" t="str">
            <v>ud</v>
          </cell>
          <cell r="D8450">
            <v>0</v>
          </cell>
          <cell r="E8450">
            <v>9.93</v>
          </cell>
          <cell r="F8450">
            <v>9.93</v>
          </cell>
        </row>
        <row r="8451">
          <cell r="A8451" t="str">
            <v>421521</v>
          </cell>
          <cell r="B8451" t="str">
            <v>Chumbador em aço inox,  completo com parafuso e arruela lisa em aço inox, ref.CBPL-12412, fab. WALSYWA ou similar, bitola 1/2" x 4.1/2" (99350)</v>
          </cell>
          <cell r="C8451" t="str">
            <v>ud</v>
          </cell>
          <cell r="D8451">
            <v>0</v>
          </cell>
          <cell r="E8451">
            <v>29.08</v>
          </cell>
          <cell r="F8451">
            <v>29.08</v>
          </cell>
        </row>
        <row r="8452">
          <cell r="A8452" t="str">
            <v>421522</v>
          </cell>
          <cell r="B8452" t="str">
            <v>Chumbador em aço inox, completo com parafuso e arruela lisa em aço inox, ref.CBPL-56314, fab. WALSYWA ou similar, bitola 5/16" x 3.1/4" (294571)</v>
          </cell>
          <cell r="C8452" t="str">
            <v>ud</v>
          </cell>
          <cell r="D8452">
            <v>0</v>
          </cell>
          <cell r="E8452">
            <v>8.01</v>
          </cell>
          <cell r="F8452">
            <v>8.01</v>
          </cell>
        </row>
        <row r="8453">
          <cell r="A8453" t="str">
            <v>421523</v>
          </cell>
          <cell r="B8453" t="str">
            <v>Conector  parafuso  fendido  simples  (split-bolt), para  condutor  de  cobre, fab.  INTELLI ou similar, bitola 10mm² (45730)</v>
          </cell>
          <cell r="C8453" t="str">
            <v>ud</v>
          </cell>
          <cell r="D8453">
            <v>0</v>
          </cell>
          <cell r="E8453">
            <v>3.26</v>
          </cell>
          <cell r="F8453">
            <v>3.26</v>
          </cell>
        </row>
        <row r="8454">
          <cell r="A8454" t="str">
            <v>421524</v>
          </cell>
          <cell r="B8454" t="str">
            <v>Conector  parafuso  fendido  simples  (split-bolt), para  condutor  de  cobre, fab.  INTELLI ou similar, bitola 16mm² (152986)</v>
          </cell>
          <cell r="C8454" t="str">
            <v>ud</v>
          </cell>
          <cell r="D8454">
            <v>0</v>
          </cell>
          <cell r="E8454">
            <v>3.84</v>
          </cell>
          <cell r="F8454">
            <v>3.84</v>
          </cell>
          <cell r="G8454">
            <v>1539</v>
          </cell>
        </row>
        <row r="8455">
          <cell r="A8455" t="str">
            <v>421525</v>
          </cell>
          <cell r="B8455" t="str">
            <v>Conector  parafuso  fendido  simples  (split-bolt), para  condutor  de  cobre, fab.  INTELLI ou similar, bitola 25mm² (45756)</v>
          </cell>
          <cell r="C8455" t="str">
            <v>ud</v>
          </cell>
          <cell r="D8455">
            <v>0</v>
          </cell>
          <cell r="E8455">
            <v>4.05</v>
          </cell>
          <cell r="F8455">
            <v>4.05</v>
          </cell>
          <cell r="G8455">
            <v>1550</v>
          </cell>
        </row>
        <row r="8456">
          <cell r="A8456" t="str">
            <v>421526</v>
          </cell>
          <cell r="B8456" t="str">
            <v>Conector  parafuso  fendido  simples  (split-bolt), para  condutor  de  cobre, fab.  INTELLI ou similar, bitola 35mm² (78409)</v>
          </cell>
          <cell r="C8456" t="str">
            <v>ud</v>
          </cell>
          <cell r="D8456">
            <v>0</v>
          </cell>
          <cell r="E8456">
            <v>5.0599999999999996</v>
          </cell>
          <cell r="F8456">
            <v>5.0599999999999996</v>
          </cell>
          <cell r="G8456">
            <v>11854</v>
          </cell>
        </row>
        <row r="8457">
          <cell r="A8457" t="str">
            <v>421527</v>
          </cell>
          <cell r="B8457" t="str">
            <v>Conector  parafuso  fendido  simples  (split-bolt), para  condutor  de  cobre, fab.  INTELLI ou similar, bitola 50mm² (45764)</v>
          </cell>
          <cell r="C8457" t="str">
            <v>ud</v>
          </cell>
          <cell r="D8457">
            <v>0</v>
          </cell>
          <cell r="E8457">
            <v>7.1</v>
          </cell>
          <cell r="F8457">
            <v>7.1</v>
          </cell>
          <cell r="G8457">
            <v>11862</v>
          </cell>
        </row>
        <row r="8458">
          <cell r="A8458" t="str">
            <v>421528</v>
          </cell>
          <cell r="B8458" t="str">
            <v>Conector  parafuso  fendido  simples  (split-bolt), para  condutor  de  cobre, fab.  INTELLI ou similar, bitola 70mm² (45772)</v>
          </cell>
          <cell r="C8458" t="str">
            <v>ud</v>
          </cell>
          <cell r="D8458">
            <v>0</v>
          </cell>
          <cell r="E8458">
            <v>9.3800000000000008</v>
          </cell>
          <cell r="F8458">
            <v>9.3800000000000008</v>
          </cell>
        </row>
        <row r="8459">
          <cell r="A8459" t="str">
            <v>421529</v>
          </cell>
          <cell r="B8459" t="str">
            <v>Conector  parafuso  fendido  simples  (split-bolt), para  condutor  de  cobre, fab.  INTELLI ou similar, bitola 95mm² (45799)</v>
          </cell>
          <cell r="C8459" t="str">
            <v>ud</v>
          </cell>
          <cell r="D8459">
            <v>0</v>
          </cell>
          <cell r="E8459">
            <v>16.03</v>
          </cell>
          <cell r="F8459">
            <v>16.03</v>
          </cell>
          <cell r="G8459">
            <v>11864</v>
          </cell>
        </row>
        <row r="8460">
          <cell r="A8460" t="str">
            <v>421530</v>
          </cell>
          <cell r="B8460" t="str">
            <v>Conector  parafuso  fendido  simples  (split-bolt), para  condutor  de  cobre, fab.  INTELLI ou similar, bitola 120mm² (45802)</v>
          </cell>
          <cell r="C8460" t="str">
            <v>ud</v>
          </cell>
          <cell r="D8460">
            <v>0</v>
          </cell>
          <cell r="E8460">
            <v>14.83</v>
          </cell>
          <cell r="F8460">
            <v>14.83</v>
          </cell>
        </row>
        <row r="8461">
          <cell r="A8461" t="str">
            <v>421531</v>
          </cell>
          <cell r="B8461" t="str">
            <v>Conector SMA macho, para cabo RGC 58, fab. MC CONECTORES ou similar</v>
          </cell>
          <cell r="C8461" t="str">
            <v>ud</v>
          </cell>
          <cell r="D8461">
            <v>0</v>
          </cell>
          <cell r="E8461">
            <v>13.19</v>
          </cell>
          <cell r="F8461">
            <v>13.19</v>
          </cell>
        </row>
        <row r="8462">
          <cell r="A8462" t="str">
            <v>421532</v>
          </cell>
          <cell r="B8462" t="str">
            <v>Conector SMA femea, para cabo RGC 58, fab. MC CONECTORES ou similar</v>
          </cell>
          <cell r="C8462" t="str">
            <v>ud</v>
          </cell>
          <cell r="D8462">
            <v>0</v>
          </cell>
          <cell r="E8462">
            <v>14.78</v>
          </cell>
          <cell r="F8462">
            <v>14.78</v>
          </cell>
        </row>
        <row r="8463">
          <cell r="A8463" t="str">
            <v>421533</v>
          </cell>
          <cell r="B8463" t="str">
            <v>Conector UHF macho, para cabo RGC 58, fab. MC CONECTORES ou similar</v>
          </cell>
          <cell r="C8463" t="str">
            <v>ud</v>
          </cell>
          <cell r="D8463">
            <v>0</v>
          </cell>
          <cell r="E8463">
            <v>13.97</v>
          </cell>
          <cell r="F8463">
            <v>13.97</v>
          </cell>
        </row>
        <row r="8464">
          <cell r="A8464" t="str">
            <v>421534</v>
          </cell>
          <cell r="B8464" t="str">
            <v>Conector UHF femea, para cabo RGC 58, fab. MC CONECTORES ou similar</v>
          </cell>
          <cell r="C8464" t="str">
            <v>ud</v>
          </cell>
          <cell r="D8464">
            <v>0</v>
          </cell>
          <cell r="E8464">
            <v>21.24</v>
          </cell>
          <cell r="F8464">
            <v>21.24</v>
          </cell>
        </row>
        <row r="8465">
          <cell r="A8465" t="str">
            <v>421535</v>
          </cell>
          <cell r="B8465" t="str">
            <v>Conector N femea, para cabo RGC 58, fab. MC CONECTORES ou similar</v>
          </cell>
          <cell r="C8465" t="str">
            <v>ud</v>
          </cell>
          <cell r="D8465">
            <v>0</v>
          </cell>
          <cell r="E8465">
            <v>13.86</v>
          </cell>
          <cell r="F8465">
            <v>13.86</v>
          </cell>
        </row>
        <row r="8466">
          <cell r="A8466" t="str">
            <v>421536</v>
          </cell>
          <cell r="B8466" t="str">
            <v>Conector N macho, para cabo RGC 58, fab. MC CONECTORES ou similar</v>
          </cell>
          <cell r="C8466" t="str">
            <v>ud</v>
          </cell>
          <cell r="D8466">
            <v>0</v>
          </cell>
          <cell r="E8466">
            <v>15.46</v>
          </cell>
          <cell r="F8466">
            <v>15.46</v>
          </cell>
        </row>
        <row r="8467">
          <cell r="A8467" t="str">
            <v>421537</v>
          </cell>
          <cell r="B8467" t="str">
            <v>Conector SMA macho, para cabo RGC 213, fab. MC CONECTORES ou similar</v>
          </cell>
          <cell r="C8467" t="str">
            <v>ud</v>
          </cell>
          <cell r="D8467">
            <v>0</v>
          </cell>
          <cell r="E8467">
            <v>18.420000000000002</v>
          </cell>
          <cell r="F8467">
            <v>18.420000000000002</v>
          </cell>
        </row>
        <row r="8468">
          <cell r="A8468" t="str">
            <v>421538</v>
          </cell>
          <cell r="B8468" t="str">
            <v>Conector SMA femea, para cabo RGC 213, fab. MC CONECTORES ou similar</v>
          </cell>
          <cell r="C8468" t="str">
            <v>ud</v>
          </cell>
          <cell r="D8468">
            <v>0</v>
          </cell>
          <cell r="E8468">
            <v>12.73</v>
          </cell>
          <cell r="F8468">
            <v>12.73</v>
          </cell>
        </row>
        <row r="8469">
          <cell r="A8469" t="str">
            <v>421539</v>
          </cell>
          <cell r="B8469" t="str">
            <v>Conector UHF macho, para cabo RGC 213, fab. MC CONECTORES ou similar</v>
          </cell>
          <cell r="C8469" t="str">
            <v>ud</v>
          </cell>
          <cell r="D8469">
            <v>0</v>
          </cell>
          <cell r="E8469">
            <v>13.61</v>
          </cell>
          <cell r="F8469">
            <v>13.61</v>
          </cell>
        </row>
        <row r="8470">
          <cell r="A8470" t="str">
            <v>421540</v>
          </cell>
          <cell r="B8470" t="str">
            <v>Conector UHF femea, para cabo RGC 213, fab. MC CONECTORES ou similar</v>
          </cell>
          <cell r="C8470" t="str">
            <v>ud</v>
          </cell>
          <cell r="D8470">
            <v>0</v>
          </cell>
          <cell r="E8470">
            <v>20.48</v>
          </cell>
          <cell r="F8470">
            <v>20.48</v>
          </cell>
        </row>
        <row r="8471">
          <cell r="A8471" t="str">
            <v>421541</v>
          </cell>
          <cell r="B8471" t="str">
            <v>Conector N femea, para cabo RGC 213, fab. MC CONECTORES ou similar (291153)</v>
          </cell>
          <cell r="C8471" t="str">
            <v>ud</v>
          </cell>
          <cell r="D8471">
            <v>0</v>
          </cell>
          <cell r="E8471">
            <v>14.62</v>
          </cell>
          <cell r="F8471">
            <v>14.62</v>
          </cell>
        </row>
        <row r="8472">
          <cell r="A8472" t="str">
            <v>421542</v>
          </cell>
          <cell r="B8472" t="str">
            <v>Conector N macho, para cabo RGC 213, fab. MC CONECTORES ou similar</v>
          </cell>
          <cell r="C8472" t="str">
            <v>ud</v>
          </cell>
          <cell r="D8472">
            <v>0</v>
          </cell>
          <cell r="E8472">
            <v>16.329999999999998</v>
          </cell>
          <cell r="F8472">
            <v>16.329999999999998</v>
          </cell>
        </row>
        <row r="8473">
          <cell r="A8473" t="str">
            <v>421543</v>
          </cell>
          <cell r="B8473" t="str">
            <v>Conector N macho, para cabo coaxial CELLFLEX SCF 12-50 1/2", conexão solda, fab. RFS ou similar</v>
          </cell>
          <cell r="C8473" t="str">
            <v>ud</v>
          </cell>
          <cell r="D8473">
            <v>0</v>
          </cell>
          <cell r="E8473">
            <v>65</v>
          </cell>
          <cell r="F8473">
            <v>65</v>
          </cell>
        </row>
        <row r="8474">
          <cell r="A8474" t="str">
            <v>421544</v>
          </cell>
          <cell r="B8474" t="str">
            <v>Cabo para antena CELLFLEX 1/2"</v>
          </cell>
          <cell r="C8474" t="str">
            <v>m</v>
          </cell>
          <cell r="D8474">
            <v>0</v>
          </cell>
          <cell r="E8474">
            <v>21.5</v>
          </cell>
          <cell r="F8474">
            <v>21.5</v>
          </cell>
        </row>
        <row r="8475">
          <cell r="A8475" t="str">
            <v>4216</v>
          </cell>
          <cell r="B8475" t="str">
            <v>CAIXAS DE ENERGIA, DE TELEFONE E DE PASSAGEM</v>
          </cell>
        </row>
        <row r="8476">
          <cell r="A8476" t="str">
            <v>421601</v>
          </cell>
          <cell r="B8476" t="str">
            <v xml:space="preserve">Caixa de passagem em chapa de aço de embutir e sobrepor, pintura a pó e tratamento anticorrosivo, com furação para entrada e saída de eletrodutos, parafusos de fixação na tampa, dimensões (AxLxP) 102x102x82mm, cód. 90.10.01, ref. CPS-10-PP, fab. CEMAR ou </v>
          </cell>
          <cell r="C8476" t="str">
            <v>ud</v>
          </cell>
          <cell r="D8476">
            <v>0</v>
          </cell>
          <cell r="E8476">
            <v>15.23</v>
          </cell>
          <cell r="F8476">
            <v>15.23</v>
          </cell>
        </row>
        <row r="8477">
          <cell r="A8477" t="str">
            <v>421602</v>
          </cell>
          <cell r="B8477" t="str">
            <v xml:space="preserve">Caixa de passagem em chapa de aço de embutir e sobrepor, pintura a pó e tratamento anticorrosivo, com furação para entrada e saída de eletrodutos, parafusos de fixação na tampa, dimensões (AxLxP) 125x125x82mm, cód. 90.10.10, ref. CPS-12-PP, fab. CEMAR ou </v>
          </cell>
          <cell r="C8477" t="str">
            <v>ud</v>
          </cell>
          <cell r="D8477">
            <v>0</v>
          </cell>
          <cell r="E8477">
            <v>16.73</v>
          </cell>
          <cell r="F8477">
            <v>16.73</v>
          </cell>
        </row>
        <row r="8478">
          <cell r="A8478" t="str">
            <v>421603</v>
          </cell>
          <cell r="B8478" t="str">
            <v xml:space="preserve">Caixa de passagem em chapa de aço de embutir e sobrepor, pintura a pó e tratamento anticorrosivo, com furação para entrada e saída de eletrodutos, parafusos de fixação na tampa, dimensões (AxLxP) 152x152x82mm, cód. 90.10.02, ref. CPS-15-PP, fab. CEMAR ou </v>
          </cell>
          <cell r="C8478" t="str">
            <v>ud</v>
          </cell>
          <cell r="D8478">
            <v>0</v>
          </cell>
          <cell r="E8478">
            <v>20.329999999999998</v>
          </cell>
          <cell r="F8478">
            <v>20.329999999999998</v>
          </cell>
        </row>
        <row r="8479">
          <cell r="A8479" t="str">
            <v>421604</v>
          </cell>
          <cell r="B8479" t="str">
            <v>Caixa de passagem em chapa de aço de embutir e sobrepor, pintura a pó e tratamento anticorrosivo, com furação para entrada e saída de eletrodutos, parafusos de fixação na tampa, dimensões (AxLxP) 202x202x102mm, cód. 90.10.03, ref. CPS-20-PP, fab. CEMAR ou</v>
          </cell>
          <cell r="C8479" t="str">
            <v>ud</v>
          </cell>
          <cell r="D8479">
            <v>0</v>
          </cell>
          <cell r="E8479">
            <v>32.94</v>
          </cell>
          <cell r="F8479">
            <v>32.94</v>
          </cell>
        </row>
        <row r="8480">
          <cell r="A8480" t="str">
            <v>421605</v>
          </cell>
          <cell r="B8480" t="str">
            <v>Caixa de passagem em chapa de aço de embutir e sobrepor, pintura a pó e tratamento anticorrosivo, com furação para entrada e saída de eletrodutos, parafusos de fixação na tampa, dimensões (AxLxP) 252x252x102mm, cód. 90.10.04, ref. CPS-25-PP, fab. CEMAR ou</v>
          </cell>
          <cell r="C8480" t="str">
            <v>ud</v>
          </cell>
          <cell r="D8480">
            <v>0</v>
          </cell>
          <cell r="E8480">
            <v>45.21</v>
          </cell>
          <cell r="F8480">
            <v>45.21</v>
          </cell>
        </row>
        <row r="8481">
          <cell r="A8481" t="str">
            <v>421606</v>
          </cell>
          <cell r="B8481" t="str">
            <v>Caixa de passagem em chapa de aço de embutir e sobrepor, pintura a pó e tratamento anticorrosivo, com furação para entrada e saída de eletrodutos, parafusos de fixação na tampa, dimensões (AxLxP) 302x302x122mm, cód. 90.10.05, ref. CPS-30-PP, fab. CEMAR ou</v>
          </cell>
          <cell r="C8481" t="str">
            <v>ud</v>
          </cell>
          <cell r="D8481">
            <v>0</v>
          </cell>
          <cell r="E8481">
            <v>72.040000000000006</v>
          </cell>
          <cell r="F8481">
            <v>72.040000000000006</v>
          </cell>
        </row>
        <row r="8482">
          <cell r="A8482" t="str">
            <v>421607</v>
          </cell>
          <cell r="B8482" t="str">
            <v>Caixa de passagem em chapa de aço de embutir e sobrepor, pintura a pó e tratamento anticorrosivo, com furação para entrada e saída de eletrodutos, parafusos de fixação na tampa, dimensões (AxLxP) 402x402x152mm, cód. 90.10.07, ref. CPS-40-PP, fab. CEMAR ou</v>
          </cell>
          <cell r="C8482" t="str">
            <v>ud</v>
          </cell>
          <cell r="D8482">
            <v>0</v>
          </cell>
          <cell r="E8482">
            <v>113.2</v>
          </cell>
          <cell r="F8482">
            <v>113.2</v>
          </cell>
        </row>
        <row r="8483">
          <cell r="A8483" t="str">
            <v>421608</v>
          </cell>
          <cell r="B8483" t="str">
            <v>Caixa de passagem em chapa de aço de embutir e sobrepor, pintura a pó e tratamento anticorrosivo, com furação para entrada e saída de eletrodutos, parafusos de fixação na tampa, dimensões (AxLxP) 502x502x152mm, cód. 90.10.09, ref. CPS-50-PP, fab. CEMAR ou</v>
          </cell>
          <cell r="C8483" t="str">
            <v>ud</v>
          </cell>
          <cell r="D8483">
            <v>0</v>
          </cell>
          <cell r="E8483">
            <v>156.78</v>
          </cell>
          <cell r="F8483">
            <v>156.78</v>
          </cell>
        </row>
        <row r="8484">
          <cell r="A8484" t="str">
            <v>421609</v>
          </cell>
          <cell r="B8484" t="str">
            <v>Caixa de passagem, estanque, linha PLEXO, cor branca, em material auto extinguível, tampa opaca, sem embutes, dimensões 180x140x86mm, ref. 359 60, fab. PIAL ou similar</v>
          </cell>
          <cell r="C8484" t="str">
            <v>ud</v>
          </cell>
          <cell r="D8484">
            <v>0</v>
          </cell>
          <cell r="E8484">
            <v>144.96</v>
          </cell>
          <cell r="F8484">
            <v>144.96</v>
          </cell>
        </row>
        <row r="8485">
          <cell r="A8485" t="str">
            <v>421610</v>
          </cell>
          <cell r="B8485" t="str">
            <v xml:space="preserve">Caixa para equipamentos de medição, padrão Copel, em chapa de aço 18 USG, pintura eletrostática cinza munsell N 6.5, para uso ao tempo, tipo "CN", Código 101004-2, dimensões 350 x 450 x 200 mm, fab. Bruzamolin ou similar </v>
          </cell>
          <cell r="C8485" t="str">
            <v>ud</v>
          </cell>
          <cell r="D8485">
            <v>0</v>
          </cell>
          <cell r="E8485">
            <v>65.41</v>
          </cell>
          <cell r="F8485">
            <v>65.41</v>
          </cell>
        </row>
        <row r="8486">
          <cell r="A8486" t="str">
            <v>421611</v>
          </cell>
          <cell r="B8486" t="str">
            <v xml:space="preserve">Caixa para equipamentos de medição, padrão Copel, em chapa de aço 16 USG, pintura eletrostática cinza munsell N 6.5, para uso ao tempo, tipo "EN", código 101008-5, dimensões 490 x 570 x 260 mm, fab. Bruzamolin ou similar </v>
          </cell>
          <cell r="C8486" t="str">
            <v>ud</v>
          </cell>
          <cell r="D8486">
            <v>0</v>
          </cell>
          <cell r="E8486">
            <v>207.43</v>
          </cell>
          <cell r="F8486">
            <v>207.43</v>
          </cell>
        </row>
        <row r="8487">
          <cell r="A8487" t="str">
            <v>421612</v>
          </cell>
          <cell r="B8487" t="str">
            <v xml:space="preserve">Caixa para equipamentos de medição, padrão Copel, em chapa de aço 16 USG, pintura eletrostática cinza munsell N 6.5, para uso ao tempo, tipo "DN", código 101007-7, dimensões 490 x 570 x 260 mm, fab. Bruzamolin ou similar </v>
          </cell>
          <cell r="C8487" t="str">
            <v>ud</v>
          </cell>
          <cell r="D8487">
            <v>0</v>
          </cell>
          <cell r="E8487">
            <v>187.56</v>
          </cell>
          <cell r="F8487">
            <v>187.56</v>
          </cell>
        </row>
        <row r="8488">
          <cell r="A8488" t="str">
            <v>421613</v>
          </cell>
          <cell r="B8488" t="str">
            <v>Caixa para equipamentos de medição, padrão Copel, em chapa de aço 16 USG, pintura eletrostática cinza munsell N 6.5, para uso ao tempo, tipo "GN", código 101010-7, dimensões 490 x 570 x 260 mm, fab. Bruzamolin ou similar</v>
          </cell>
          <cell r="C8488" t="str">
            <v>ud</v>
          </cell>
          <cell r="D8488">
            <v>0</v>
          </cell>
          <cell r="E8488">
            <v>217.12</v>
          </cell>
          <cell r="F8488">
            <v>217.12</v>
          </cell>
        </row>
        <row r="8489">
          <cell r="A8489" t="str">
            <v>421614</v>
          </cell>
          <cell r="B8489" t="str">
            <v xml:space="preserve">Caixa para equipamentos de medição, padrão Copel, em chapa de aço 16 USG, pintura eletrostática cinza munsell N 6.5, para uso ao tempo, tipo "FN", código 101009-3, dimensões 750 x 570 x 260 mm, fab. Bruzamolin ou similar </v>
          </cell>
          <cell r="C8489" t="str">
            <v>ud</v>
          </cell>
          <cell r="D8489">
            <v>0</v>
          </cell>
          <cell r="E8489">
            <v>259.93</v>
          </cell>
          <cell r="F8489">
            <v>259.93</v>
          </cell>
        </row>
        <row r="8490">
          <cell r="A8490" t="str">
            <v>421615</v>
          </cell>
          <cell r="B8490" t="str">
            <v xml:space="preserve">Caixa para transformadores de corrente, padrão Copel, em chapa de aço 16 MSG, pintura eletrostática cinza munsell N 6.5, para uso ao tempo, tipo "M", dimensões 1000 x 1000 x 300 mm, fab. BRUZAMOLIN ou similar </v>
          </cell>
          <cell r="C8490" t="str">
            <v>ud</v>
          </cell>
          <cell r="D8490">
            <v>0</v>
          </cell>
          <cell r="E8490">
            <v>1462.02</v>
          </cell>
          <cell r="F8490">
            <v>1462.02</v>
          </cell>
        </row>
        <row r="8491">
          <cell r="A8491" t="str">
            <v>421616</v>
          </cell>
          <cell r="B8491" t="str">
            <v xml:space="preserve">Caixa para equipamentos de medição, padrão Copel, em chapa de alumínio 1,5 mm, pintura cinza N 6.5, para uso ao tempo, tipo "CN", dimensões 350 x 450 x 200 mm, fab. BRUZAMOLIN ou similar </v>
          </cell>
          <cell r="C8491" t="str">
            <v>ud</v>
          </cell>
          <cell r="D8491">
            <v>0</v>
          </cell>
          <cell r="E8491">
            <v>131.79</v>
          </cell>
          <cell r="F8491">
            <v>131.79</v>
          </cell>
        </row>
        <row r="8492">
          <cell r="A8492" t="str">
            <v>421617</v>
          </cell>
          <cell r="B8492" t="str">
            <v xml:space="preserve">Caixa para equipamentos de medição, padrão Copel, em chapa de alumínio 1,5 mm, pintura cinza N 6.5, para uso ao tempo, tipo "EN", dimensões 490 x 570 x 260 mm, fab. BRUZAMOLIN ou similar </v>
          </cell>
          <cell r="C8492" t="str">
            <v>ud</v>
          </cell>
          <cell r="D8492">
            <v>0</v>
          </cell>
          <cell r="E8492">
            <v>527.20000000000005</v>
          </cell>
          <cell r="F8492">
            <v>527.20000000000005</v>
          </cell>
        </row>
        <row r="8493">
          <cell r="A8493" t="str">
            <v>421618</v>
          </cell>
          <cell r="B8493" t="str">
            <v xml:space="preserve">Caixa para equipamentos de proteção, padrão Copel, em chapa de alumínio 1,5 mm, pintura cinza N 6.5, para uso ao tempo, tipo "GN ESPECIAL", dimensões 600 x 800 x 260 mm, fab. BRUZAMOLIN ou similar </v>
          </cell>
          <cell r="C8493" t="str">
            <v>ud</v>
          </cell>
          <cell r="D8493">
            <v>0</v>
          </cell>
          <cell r="E8493">
            <v>868.54</v>
          </cell>
          <cell r="F8493">
            <v>868.54</v>
          </cell>
        </row>
        <row r="8494">
          <cell r="A8494" t="str">
            <v>421619</v>
          </cell>
          <cell r="B8494" t="str">
            <v xml:space="preserve">Caixa para equipamentos de proteção, padrão Copel, em chapa de alumínio 1,5 mm, pintura cinza N 6.5, para uso ao tempo, tipo "GN", dimensões 490 x 570 x 260 mm, fab. BRUZAMOLIN ou similar </v>
          </cell>
          <cell r="C8494" t="str">
            <v>ud</v>
          </cell>
          <cell r="D8494">
            <v>0</v>
          </cell>
          <cell r="E8494">
            <v>446.33</v>
          </cell>
          <cell r="F8494">
            <v>446.33</v>
          </cell>
        </row>
        <row r="8495">
          <cell r="A8495" t="str">
            <v>421620</v>
          </cell>
          <cell r="B8495" t="str">
            <v xml:space="preserve">Caixa para transformadores de corrente, padrão Copel, em chapa de alumínio 1,5 mm, pintura cinza N 6.5, para uso ao tempo, tipo "DN", dimensões 490 x 570 x 260 mm, fab. BRUZAMOLIN ou similar </v>
          </cell>
          <cell r="C8495" t="str">
            <v>ud</v>
          </cell>
          <cell r="D8495">
            <v>0</v>
          </cell>
          <cell r="E8495">
            <v>322.60000000000002</v>
          </cell>
          <cell r="F8495">
            <v>322.60000000000002</v>
          </cell>
        </row>
        <row r="8496">
          <cell r="A8496" t="str">
            <v>421621</v>
          </cell>
          <cell r="B8496" t="str">
            <v xml:space="preserve">Caixa para transformadores de corrente, padrão Copel, em chapa de alumínio 1,5 mm, pintura cinza N 6.5, para uso ao tempo, tipo "FN", dimensões 750 x 570 x 260 mm, fab. BRUZAMOLIN ou similar </v>
          </cell>
          <cell r="C8496" t="str">
            <v>ud</v>
          </cell>
          <cell r="D8496">
            <v>0</v>
          </cell>
          <cell r="E8496">
            <v>470.11</v>
          </cell>
          <cell r="F8496">
            <v>470.11</v>
          </cell>
        </row>
        <row r="8497">
          <cell r="A8497" t="str">
            <v>421622</v>
          </cell>
          <cell r="B8497" t="str">
            <v xml:space="preserve">Caixa para transformadores de corrente, padrão Copel, em chapa de alumínio 1,5 mm, pintura cinza N 6.5, para uso ao tempo, tipo "M", dimensões 1000 x 1000 x 300 mm, fab. BRUZAMOLIN ou similar </v>
          </cell>
          <cell r="C8497" t="str">
            <v>ud</v>
          </cell>
          <cell r="D8497">
            <v>0</v>
          </cell>
          <cell r="E8497">
            <v>2268</v>
          </cell>
          <cell r="F8497">
            <v>2268</v>
          </cell>
        </row>
        <row r="8498">
          <cell r="A8498" t="str">
            <v>421623</v>
          </cell>
          <cell r="B8498" t="str">
            <v>Caixa de ligações para cabo telefônico 20 pares, uso externo, tipo BLT-20 pares, ref. COOK ELECTRIC ou similar</v>
          </cell>
          <cell r="C8498" t="str">
            <v>ud</v>
          </cell>
          <cell r="D8498">
            <v>0</v>
          </cell>
          <cell r="E8498">
            <v>88</v>
          </cell>
          <cell r="F8498">
            <v>88</v>
          </cell>
        </row>
        <row r="8499">
          <cell r="A8499" t="str">
            <v>421624</v>
          </cell>
          <cell r="B8499" t="str">
            <v>Caixa de alumínio fundido, tipo CDW/P-14 (A=141xB=100xH1=100mm), fab. BLINDA ou similar</v>
          </cell>
          <cell r="C8499" t="str">
            <v>ud</v>
          </cell>
          <cell r="D8499">
            <v>0</v>
          </cell>
          <cell r="E8499">
            <v>214.33</v>
          </cell>
          <cell r="F8499">
            <v>214.33</v>
          </cell>
        </row>
        <row r="8500">
          <cell r="A8500" t="str">
            <v>421625</v>
          </cell>
          <cell r="B8500" t="str">
            <v>Caixa de passagem em alumínio fundido TGVP, dimensões 150X150x150mm, ref. NTCM4P12, fab. NUT-STEEL ou similar</v>
          </cell>
          <cell r="C8500" t="str">
            <v>ud</v>
          </cell>
          <cell r="D8500">
            <v>0</v>
          </cell>
          <cell r="E8500">
            <v>224.26</v>
          </cell>
          <cell r="F8500">
            <v>224.26</v>
          </cell>
        </row>
        <row r="8501">
          <cell r="A8501" t="str">
            <v>421626</v>
          </cell>
          <cell r="B8501" t="str">
            <v>Caixa de passagem em alumínio fundido TGVP,  dimensões 245x245x150mm, ref. NTCM4P20, fab. NUT-STEEL ou similar</v>
          </cell>
          <cell r="C8501" t="str">
            <v>ud</v>
          </cell>
          <cell r="D8501">
            <v>0</v>
          </cell>
          <cell r="E8501">
            <v>361.07</v>
          </cell>
          <cell r="F8501">
            <v>361.07</v>
          </cell>
        </row>
        <row r="8502">
          <cell r="A8502" t="str">
            <v>421627</v>
          </cell>
          <cell r="B8502" t="str">
            <v>Caixa de passagem em alumínio fundido TGVP, dimensões 605x455x150mm,  ref. NTCM4G13, fab. NUT-STEEL ou similar</v>
          </cell>
          <cell r="C8502" t="str">
            <v>ud</v>
          </cell>
          <cell r="D8502">
            <v>0</v>
          </cell>
          <cell r="E8502">
            <v>1602.45</v>
          </cell>
          <cell r="F8502">
            <v>1602.45</v>
          </cell>
        </row>
        <row r="8503">
          <cell r="A8503" t="str">
            <v>421628</v>
          </cell>
          <cell r="B8503" t="str">
            <v>Caixa de passagem em liga de aluminio silicio, tampa antiderrapante, reversivel, dimensões 300x300x120mm, ref. CDT30, fab. DAISA ou similar</v>
          </cell>
          <cell r="C8503" t="str">
            <v>ud</v>
          </cell>
          <cell r="D8503">
            <v>0</v>
          </cell>
          <cell r="E8503">
            <v>104.92</v>
          </cell>
          <cell r="F8503">
            <v>104.92</v>
          </cell>
        </row>
        <row r="8504">
          <cell r="A8504" t="str">
            <v>421629</v>
          </cell>
          <cell r="B8504" t="str">
            <v xml:space="preserve">Caixa de ligações em AL 3mm, c/parafuso cabeça sextavada aço inox, chassi, barra aterramento 5/8"x1/8", orelhas de fixação, régua com 3 bornes UKH-50, 50mm² e acessórios, dimensões 400x400x250mm (LxAxP) fab. BRUZAMOLIN ou similar </v>
          </cell>
          <cell r="C8504" t="str">
            <v>ud</v>
          </cell>
          <cell r="D8504">
            <v>0</v>
          </cell>
          <cell r="E8504">
            <v>643.89</v>
          </cell>
          <cell r="F8504">
            <v>643.89</v>
          </cell>
        </row>
        <row r="8505">
          <cell r="A8505" t="str">
            <v>421631</v>
          </cell>
          <cell r="B8505" t="str">
            <v>Caixa para telefone padrão telebrás com pintura epóxi a pó, embutir, fecho de plástico c/ fundo de madeira s/ fundo de chapa, dimensões 200 x 200 x 135mm, cód. 90.04.02, ref. TLBE-2 FP*, fabricante: CEMAR ou similar</v>
          </cell>
          <cell r="C8505" t="str">
            <v>ud</v>
          </cell>
          <cell r="D8505">
            <v>0</v>
          </cell>
          <cell r="E8505">
            <v>53.88</v>
          </cell>
          <cell r="F8505">
            <v>53.88</v>
          </cell>
        </row>
        <row r="8506">
          <cell r="A8506" t="str">
            <v>421632</v>
          </cell>
          <cell r="B8506" t="str">
            <v>Caixa para telefone padrão telebrás com pintura epóxi a pó, embutir, fecho de plástico c/ fundo de madeira s/ fundo de chapa, dimensões 400 x 400 x 135mm, cód. 90.04.04, ref. TLBE-3 FP*, fabricante: CEMAR ou similar</v>
          </cell>
          <cell r="C8506" t="str">
            <v>ud</v>
          </cell>
          <cell r="D8506">
            <v>0</v>
          </cell>
          <cell r="E8506">
            <v>124.57</v>
          </cell>
          <cell r="F8506">
            <v>124.57</v>
          </cell>
        </row>
        <row r="8507">
          <cell r="A8507" t="str">
            <v>421633</v>
          </cell>
          <cell r="B8507" t="str">
            <v>Caixa para telefone padrão telebrás com pintura epóxi a pó, embutir, fecho de plástico c/ fundo de madeira s/ fundo de chapa, dimensões 600 x 600 x 135mm, cód. 90.04.06, ref. TLBE-4 FP*, fabricante: CEMAR ou similar</v>
          </cell>
          <cell r="C8507" t="str">
            <v>ud</v>
          </cell>
          <cell r="D8507">
            <v>0</v>
          </cell>
          <cell r="E8507">
            <v>219.23</v>
          </cell>
          <cell r="F8507">
            <v>219.23</v>
          </cell>
        </row>
        <row r="8508">
          <cell r="A8508" t="str">
            <v>421634</v>
          </cell>
          <cell r="B8508" t="str">
            <v>Caixa para telefone padrão telebrás com pintura epóxi a pó, embutir, fecho de plástico c/ fundo de madeira s/ fundo de chapa, dimensões 800 x 800 x 135mm, cód. 90.04.08, ref. TLBE-5 FP*, fabricante: CEMAR ou similar</v>
          </cell>
          <cell r="C8508" t="str">
            <v>ud</v>
          </cell>
          <cell r="D8508">
            <v>0</v>
          </cell>
          <cell r="E8508">
            <v>385.47</v>
          </cell>
          <cell r="F8508">
            <v>385.47</v>
          </cell>
        </row>
        <row r="8509">
          <cell r="A8509" t="str">
            <v>421635</v>
          </cell>
          <cell r="B8509" t="str">
            <v>Caixa para telefone padrão telebrás com pintura epóxi a pó, embutir, fecho de plástico c/ fundo de madeira s/ fundo de chapa, dimensões 1200 x 1200 x 135mm, cód. 90.04.11, ref. TLBE-6 FP*, fabricante: CEMAR ou similar</v>
          </cell>
          <cell r="C8509" t="str">
            <v>ud</v>
          </cell>
          <cell r="D8509">
            <v>0</v>
          </cell>
          <cell r="E8509">
            <v>921.94</v>
          </cell>
          <cell r="F8509">
            <v>921.94</v>
          </cell>
        </row>
        <row r="8510">
          <cell r="A8510" t="str">
            <v>421636</v>
          </cell>
          <cell r="B8510" t="str">
            <v>Caixa para telefone padrão telebrás com pintura epóxi a pó, sobrepor, fecho de plástico c/ fundo de madeira s/ fundo de chapa, dimensões 200 x 200 x 150mm, cód. 90.05.01, ref. TLBS-2 FPCH*, fabricante: CEMAR ou similar</v>
          </cell>
          <cell r="C8510" t="str">
            <v>ud</v>
          </cell>
          <cell r="D8510">
            <v>0</v>
          </cell>
          <cell r="E8510">
            <v>69.62</v>
          </cell>
          <cell r="F8510">
            <v>69.62</v>
          </cell>
        </row>
        <row r="8511">
          <cell r="A8511" t="str">
            <v>421637</v>
          </cell>
          <cell r="B8511" t="str">
            <v>Caixa para telefone padrão telebrás com pintura epóxi a pó, sobrepor, fecho de plástico c/ fundo de madeira s/ fundo de chapa, dimensões 400 x 400 x 150mm, cód. 90.05.03, ref. TLBS-3 FPCH*, fabricante: CEMAR ou similar</v>
          </cell>
          <cell r="C8511" t="str">
            <v>ud</v>
          </cell>
          <cell r="D8511">
            <v>0</v>
          </cell>
          <cell r="E8511">
            <v>157.63</v>
          </cell>
          <cell r="F8511">
            <v>157.63</v>
          </cell>
        </row>
        <row r="8512">
          <cell r="A8512" t="str">
            <v>421638</v>
          </cell>
          <cell r="B8512" t="str">
            <v>Caixa para telefone padrão telebrás com pintura epóxi a pó, sobrepor, fecho de plástico c/ fundo de madeira s/ fundo de chapa, dimensões 600 x 600 x 150mm, cód. 90.05.05, ref. TLBS-4 FPCH*, fabricante: CEMAR ou similar</v>
          </cell>
          <cell r="C8512" t="str">
            <v>ud</v>
          </cell>
          <cell r="D8512">
            <v>0</v>
          </cell>
          <cell r="E8512">
            <v>291.72000000000003</v>
          </cell>
          <cell r="F8512">
            <v>291.72000000000003</v>
          </cell>
        </row>
        <row r="8513">
          <cell r="A8513" t="str">
            <v>421639</v>
          </cell>
          <cell r="B8513" t="str">
            <v>Caixa para telefone padrão telebrás com pintura epóxi a pó, sobrepor, fecho de plástico c/ fundo de madeira s/ fundo de chapa, dimensões 800 x 800 x 150mm, cód. 90.05.07, ref. TLBS-5 FPCH*, fabricante: CEMAR ou similar</v>
          </cell>
          <cell r="C8513" t="str">
            <v>ud</v>
          </cell>
          <cell r="D8513">
            <v>0</v>
          </cell>
          <cell r="E8513">
            <v>479.38</v>
          </cell>
          <cell r="F8513">
            <v>479.38</v>
          </cell>
        </row>
        <row r="8514">
          <cell r="A8514" t="str">
            <v>421640</v>
          </cell>
          <cell r="B8514" t="str">
            <v>Caixa para telefone padrão telebrás com pintura epóxi a pó, sobrepor, fecho de plástico c/ fundo de madeira s/ fundo de chapa, dimensões 1200X1200X150mm, cód. 90.05.10, ref. TLBS-6 FPCH*, fabricante: CEMAR ou similar</v>
          </cell>
          <cell r="C8514" t="str">
            <v>ud</v>
          </cell>
          <cell r="D8514">
            <v>0</v>
          </cell>
          <cell r="E8514">
            <v>1328.45</v>
          </cell>
          <cell r="F8514">
            <v>1328.45</v>
          </cell>
        </row>
        <row r="8515">
          <cell r="A8515" t="str">
            <v>421641</v>
          </cell>
          <cell r="B8515" t="str">
            <v>Caixa de passagem em chapa de aço, pintura a pó e tratamento anticorrosivo, com furação para entrada e saida de eletrodutos, parafusos de fixação, tampa, de embutir e sobrepor, dimensões (AxLxP) 400 x 400 x 200mm, fab. Bruzamolin ou similar</v>
          </cell>
          <cell r="C8515" t="str">
            <v>ud</v>
          </cell>
          <cell r="D8515">
            <v>0</v>
          </cell>
          <cell r="E8515">
            <v>133.37</v>
          </cell>
          <cell r="F8515">
            <v>133.37</v>
          </cell>
        </row>
        <row r="8516">
          <cell r="A8516" t="str">
            <v>421642</v>
          </cell>
          <cell r="B8516" t="str">
            <v>Caixa de passagem em chapa de aço, pintura a pó e tratamento anticorrosivo, com furação para entrada e saida de eletrodutos, parafusos de fixação, tampa, de embutir e sobrepor,  dimensões (AxLxP) 500 x 500 x 200mm, fab. Bruzamolin ou similar</v>
          </cell>
          <cell r="C8516" t="str">
            <v>ud</v>
          </cell>
          <cell r="D8516">
            <v>0</v>
          </cell>
          <cell r="E8516">
            <v>171.58</v>
          </cell>
          <cell r="F8516">
            <v>171.58</v>
          </cell>
        </row>
        <row r="8517">
          <cell r="A8517" t="str">
            <v>421643</v>
          </cell>
          <cell r="B8517" t="str">
            <v>Caixa para equipamentos de medição, padrão Copel, em chapa de aço 16 USG, pintura eletrostática cinza munsell N 6.5, para uso ao tempo, tipo "GNE", dimensões 700 x 570 x 260 mm, fab. Bruzamolin ou similar</v>
          </cell>
          <cell r="C8517" t="str">
            <v>ud</v>
          </cell>
          <cell r="D8517">
            <v>0</v>
          </cell>
          <cell r="E8517">
            <v>362.89</v>
          </cell>
          <cell r="F8517">
            <v>362.89</v>
          </cell>
        </row>
        <row r="8518">
          <cell r="A8518" t="str">
            <v>421644</v>
          </cell>
          <cell r="B8518" t="str">
            <v xml:space="preserve">Caixa para equipamentos de proteção, padrão Copel, em chapa de alumínio 1,5 mm, pintura cinza N 6.5, para uso ao tempo, tipo "GNE", dimensões 700 x 570 x 260 mm, fab. BRUZAMOLIN ou similar </v>
          </cell>
          <cell r="C8518" t="str">
            <v>ud</v>
          </cell>
          <cell r="D8518">
            <v>0</v>
          </cell>
          <cell r="E8518">
            <v>868.54</v>
          </cell>
          <cell r="F8518">
            <v>868.54</v>
          </cell>
        </row>
        <row r="8519">
          <cell r="A8519" t="str">
            <v>421645</v>
          </cell>
          <cell r="B8519" t="str">
            <v>Caixa de alumínio fundido, tipo CDW/P-17 (A=172xB=143xH1=120mm), fab. BLINDA ou similar</v>
          </cell>
          <cell r="C8519" t="str">
            <v>ud</v>
          </cell>
          <cell r="D8519">
            <v>0</v>
          </cell>
          <cell r="E8519">
            <v>304.77999999999997</v>
          </cell>
          <cell r="F8519">
            <v>304.77999999999997</v>
          </cell>
        </row>
        <row r="8520">
          <cell r="A8520" t="str">
            <v>421646</v>
          </cell>
          <cell r="B8520" t="str">
            <v>Caixa de alumínio fundido, tipo CDW/P-22 (A=216xB=142xH1=120mm), fab. BLINDA ou similar</v>
          </cell>
          <cell r="C8520" t="str">
            <v>ud</v>
          </cell>
          <cell r="D8520">
            <v>0</v>
          </cell>
          <cell r="E8520">
            <v>336.47</v>
          </cell>
          <cell r="F8520">
            <v>336.47</v>
          </cell>
        </row>
        <row r="8521">
          <cell r="A8521" t="str">
            <v>421647</v>
          </cell>
          <cell r="B8521" t="str">
            <v>Caixa de alumínio fundido, tipo CDW/P-27 (A=275xB=142xH1=120mm), fab. BLINDA ou similar</v>
          </cell>
          <cell r="C8521" t="str">
            <v>ud</v>
          </cell>
          <cell r="D8521">
            <v>0</v>
          </cell>
          <cell r="E8521">
            <v>572.28</v>
          </cell>
          <cell r="F8521">
            <v>572.28</v>
          </cell>
        </row>
        <row r="8522">
          <cell r="A8522" t="str">
            <v>421648</v>
          </cell>
          <cell r="B8522" t="str">
            <v>Caixa de alumínio fundido, tipo CDW/P-35 (A=341xB=141xH1=120mm), fab. BLINDA ou similar</v>
          </cell>
          <cell r="C8522" t="str">
            <v>ud</v>
          </cell>
          <cell r="D8522">
            <v>0</v>
          </cell>
          <cell r="E8522">
            <v>767.33</v>
          </cell>
          <cell r="F8522">
            <v>767.33</v>
          </cell>
        </row>
        <row r="8523">
          <cell r="A8523" t="str">
            <v>421649</v>
          </cell>
          <cell r="B8523" t="str">
            <v>Caixa de alumínio fundido, tipo CDW/P-45 (A=440xB=140xH1=120mm), fab. BLINDA ou similar</v>
          </cell>
          <cell r="C8523" t="str">
            <v>ud</v>
          </cell>
          <cell r="D8523">
            <v>0</v>
          </cell>
          <cell r="E8523">
            <v>546.72</v>
          </cell>
          <cell r="F8523">
            <v>546.72</v>
          </cell>
        </row>
        <row r="8524">
          <cell r="A8524" t="str">
            <v>4217</v>
          </cell>
          <cell r="B8524" t="str">
            <v>ATERRAMENTO / SPDA</v>
          </cell>
        </row>
        <row r="8525">
          <cell r="A8525" t="str">
            <v>421701</v>
          </cell>
          <cell r="B8525" t="str">
            <v xml:space="preserve">Barra chata de cobre eletrolítico, 3/4"x3/16", 3m, ref. TEL-780 fab. TERMOTÉCNICA ou similar </v>
          </cell>
          <cell r="C8525" t="str">
            <v>ud</v>
          </cell>
          <cell r="D8525">
            <v>0</v>
          </cell>
          <cell r="E8525">
            <v>420</v>
          </cell>
          <cell r="F8525">
            <v>420</v>
          </cell>
        </row>
        <row r="8526">
          <cell r="A8526" t="str">
            <v>421702</v>
          </cell>
          <cell r="B8526" t="str">
            <v xml:space="preserve">Barra chata de alumínio com furos 3/4"x1/4", 3m, ref. TEL-770, fab. TERMOTÉCNICA ou similar </v>
          </cell>
          <cell r="C8526" t="str">
            <v>ud</v>
          </cell>
          <cell r="D8526">
            <v>0</v>
          </cell>
          <cell r="E8526">
            <v>45.7</v>
          </cell>
          <cell r="F8526">
            <v>45.7</v>
          </cell>
        </row>
        <row r="8527">
          <cell r="A8527" t="str">
            <v>421703</v>
          </cell>
          <cell r="B8527" t="str">
            <v>Base para mastro, em aço galvanizado à fogo, diâmetro 1.1/2", tipo PRT-510, fab. PARATEC ou similar ou similar</v>
          </cell>
          <cell r="C8527" t="str">
            <v>ud</v>
          </cell>
          <cell r="D8527">
            <v>0</v>
          </cell>
          <cell r="E8527">
            <v>38</v>
          </cell>
          <cell r="F8527">
            <v>38</v>
          </cell>
        </row>
        <row r="8528">
          <cell r="A8528" t="str">
            <v>421704</v>
          </cell>
          <cell r="B8528" t="str">
            <v>Base para mastro, em aço galvanizado à fogo, diâmetro 2", PRT-513, fab. PARATEC ou similar ou similar</v>
          </cell>
          <cell r="C8528" t="str">
            <v>ud</v>
          </cell>
          <cell r="D8528">
            <v>0</v>
          </cell>
          <cell r="E8528">
            <v>40</v>
          </cell>
          <cell r="F8528">
            <v>40</v>
          </cell>
        </row>
        <row r="8529">
          <cell r="A8529" t="str">
            <v>421705</v>
          </cell>
          <cell r="B8529" t="str">
            <v>Caixa de medição de terra em aluminio fundido, para eletroduto 1", com tampa aparafusada, com conector para cabo 50mm², tipo TEL-540, fab. TERMOTÉCNICA ou similar</v>
          </cell>
          <cell r="C8529" t="str">
            <v>ud</v>
          </cell>
          <cell r="D8529">
            <v>0</v>
          </cell>
          <cell r="E8529">
            <v>220.25</v>
          </cell>
          <cell r="F8529">
            <v>220.25</v>
          </cell>
        </row>
        <row r="8530">
          <cell r="A8530" t="str">
            <v>421706</v>
          </cell>
          <cell r="B8530" t="str">
            <v>Caixa de medição de terra em PVC, para eletroduto 1", com tampa aparafusada, com conector para cabo 50mm², POLIAMIDA 15x11cm, tipo TEL-541, fab. TERMOTÉCNICA ou similar</v>
          </cell>
          <cell r="C8530" t="str">
            <v>ud</v>
          </cell>
          <cell r="D8530">
            <v>0</v>
          </cell>
          <cell r="E8530">
            <v>91.1</v>
          </cell>
          <cell r="F8530">
            <v>91.1</v>
          </cell>
        </row>
        <row r="8531">
          <cell r="A8531" t="str">
            <v>421707</v>
          </cell>
          <cell r="B8531" t="str">
            <v>Conector cabo/haste com corpo em bronze, ferragens, galvanizado a fogo, para haste 5/8", tipo grampo, ref. PRT-905, fab. PARATEC ou similar</v>
          </cell>
          <cell r="C8531" t="str">
            <v>ud</v>
          </cell>
          <cell r="D8531">
            <v>0</v>
          </cell>
          <cell r="E8531">
            <v>14</v>
          </cell>
          <cell r="F8531">
            <v>14</v>
          </cell>
        </row>
        <row r="8532">
          <cell r="A8532" t="str">
            <v>421708</v>
          </cell>
          <cell r="B8532" t="str">
            <v>Conector cabo/haste com corpo em bronze, parafuso de AG, para haste 5/8", tipo olhal, ref. PRT-908, fab. PARATEC ou similar (287444)</v>
          </cell>
          <cell r="C8532" t="str">
            <v>ud</v>
          </cell>
          <cell r="D8532">
            <v>0</v>
          </cell>
          <cell r="E8532">
            <v>5.6</v>
          </cell>
          <cell r="F8532">
            <v>5.6</v>
          </cell>
        </row>
        <row r="8533">
          <cell r="A8533" t="str">
            <v>421709</v>
          </cell>
          <cell r="B8533" t="str">
            <v>Conector derivação tipo cunha, para condutor de cobre bitola 70mm² e condutor de alumínio 16mm², NTC 813213, fab. BURNDY ou similar</v>
          </cell>
          <cell r="C8533" t="str">
            <v>ud</v>
          </cell>
          <cell r="D8533">
            <v>0</v>
          </cell>
          <cell r="E8533">
            <v>12.04</v>
          </cell>
          <cell r="F8533">
            <v>12.04</v>
          </cell>
        </row>
        <row r="8534">
          <cell r="A8534" t="str">
            <v>421710</v>
          </cell>
          <cell r="B8534" t="str">
            <v>Conexão exotérmica  cabo passante 16 mm² na lateral da haste 5/8", composta por molde tipo MGY2-1616, fab. MAXXWELD ou similar</v>
          </cell>
          <cell r="C8534" t="str">
            <v>cj</v>
          </cell>
          <cell r="D8534">
            <v>0</v>
          </cell>
          <cell r="E8534">
            <v>126.56</v>
          </cell>
          <cell r="F8534">
            <v>126.56</v>
          </cell>
        </row>
        <row r="8535">
          <cell r="A8535" t="str">
            <v>421711</v>
          </cell>
          <cell r="B8535" t="str">
            <v>Conexão exotérmica  cabo passante 25 mm² na lateral da haste 5/8", composta por molde tipo MGY2-1625, fab. MAXXWELD ou similar</v>
          </cell>
          <cell r="C8535" t="str">
            <v>cj</v>
          </cell>
          <cell r="D8535">
            <v>0</v>
          </cell>
          <cell r="E8535">
            <v>126.56</v>
          </cell>
          <cell r="F8535">
            <v>126.56</v>
          </cell>
        </row>
        <row r="8536">
          <cell r="A8536" t="str">
            <v>421712</v>
          </cell>
          <cell r="B8536" t="str">
            <v>Conexão exotérmica  cabo passante 35 mm² na lateral da haste 5/8", composta por molde tipo MGY2-1635, fab. MAXXWELD ou similar</v>
          </cell>
          <cell r="C8536" t="str">
            <v>cj</v>
          </cell>
          <cell r="D8536">
            <v>0</v>
          </cell>
          <cell r="E8536">
            <v>126.56</v>
          </cell>
          <cell r="F8536">
            <v>126.56</v>
          </cell>
        </row>
        <row r="8537">
          <cell r="A8537" t="str">
            <v>421713</v>
          </cell>
          <cell r="B8537" t="str">
            <v>Conexão exotérmica  cabo passante 50 mm² na lateral da haste 5/8", composta por molde tipo MGY2-1650, fab. MAXXWELD ou similar (292018)</v>
          </cell>
          <cell r="C8537" t="str">
            <v>cj</v>
          </cell>
          <cell r="D8537">
            <v>0</v>
          </cell>
          <cell r="E8537">
            <v>126.56</v>
          </cell>
          <cell r="F8537">
            <v>126.56</v>
          </cell>
        </row>
        <row r="8538">
          <cell r="A8538" t="str">
            <v>421714</v>
          </cell>
          <cell r="B8538" t="str">
            <v>Conexão exotérmica  cabo passante 70 mm² na lateral da haste 5/8", composta por molde tipo MGY2-1670, fab. MAXXWELD ou similar</v>
          </cell>
          <cell r="C8538" t="str">
            <v>cj</v>
          </cell>
          <cell r="D8538">
            <v>0</v>
          </cell>
          <cell r="E8538">
            <v>126.56</v>
          </cell>
          <cell r="F8538">
            <v>126.56</v>
          </cell>
        </row>
        <row r="8539">
          <cell r="A8539" t="str">
            <v>421715</v>
          </cell>
          <cell r="B8539" t="str">
            <v>Conexão exotérmica  cabo passante 95 mm² na lateral da haste 5/8", composta por molde tipo MGY2-1695, fab. MAXXWELD ou similar</v>
          </cell>
          <cell r="C8539" t="str">
            <v>cj</v>
          </cell>
          <cell r="D8539">
            <v>0</v>
          </cell>
          <cell r="E8539">
            <v>126.56</v>
          </cell>
          <cell r="F8539">
            <v>126.56</v>
          </cell>
        </row>
        <row r="8540">
          <cell r="A8540" t="str">
            <v>421716</v>
          </cell>
          <cell r="B8540" t="str">
            <v>Conexão exotérmica extremidade de cabo 16 mm² no topo da haste 5/8", composta por molde tipo MGR1-1616, fab. MAXXWELD ou similar</v>
          </cell>
          <cell r="C8540" t="str">
            <v>cj</v>
          </cell>
          <cell r="D8540">
            <v>0</v>
          </cell>
          <cell r="E8540">
            <v>68.489999999999995</v>
          </cell>
          <cell r="F8540">
            <v>68.489999999999995</v>
          </cell>
        </row>
        <row r="8541">
          <cell r="A8541" t="str">
            <v>421717</v>
          </cell>
          <cell r="B8541" t="str">
            <v>Conexão exotérmica extremidade de cabo 25 mm² no topo da haste 5/8", composta por molde tipo MGR1-1625, fab. MAXXWELD ou similar</v>
          </cell>
          <cell r="C8541" t="str">
            <v>cj</v>
          </cell>
          <cell r="D8541">
            <v>0</v>
          </cell>
          <cell r="E8541">
            <v>68.489999999999995</v>
          </cell>
          <cell r="F8541">
            <v>68.489999999999995</v>
          </cell>
        </row>
        <row r="8542">
          <cell r="A8542" t="str">
            <v>421718</v>
          </cell>
          <cell r="B8542" t="str">
            <v>Conexão exotérmica extremidade de cabo 35 mm² no topo da haste 5/8", composta por molde tipo MGR1-1635, fab. MAXXWELD ou similar</v>
          </cell>
          <cell r="C8542" t="str">
            <v>cj</v>
          </cell>
          <cell r="D8542">
            <v>0</v>
          </cell>
          <cell r="E8542">
            <v>68.489999999999995</v>
          </cell>
          <cell r="F8542">
            <v>68.489999999999995</v>
          </cell>
        </row>
        <row r="8543">
          <cell r="A8543" t="str">
            <v>421719</v>
          </cell>
          <cell r="B8543" t="str">
            <v>Conexão exotérmica extremidade de cabo 50 mm² no topo da haste 5/8", composta por molde tipo MGR2-1650, fab. MAXXWELD ou similar</v>
          </cell>
          <cell r="C8543" t="str">
            <v>cj</v>
          </cell>
          <cell r="D8543">
            <v>0</v>
          </cell>
          <cell r="E8543">
            <v>76.17</v>
          </cell>
          <cell r="F8543">
            <v>76.17</v>
          </cell>
        </row>
        <row r="8544">
          <cell r="A8544" t="str">
            <v>421720</v>
          </cell>
          <cell r="B8544" t="str">
            <v>Conexão exotérmica extremidade de cabo 70 mm² no topo da haste 5/8", composta por molde tipo MGR2-1670, fab. MAXXWELD ou similar</v>
          </cell>
          <cell r="C8544" t="str">
            <v>cj</v>
          </cell>
          <cell r="D8544">
            <v>0</v>
          </cell>
          <cell r="E8544">
            <v>76.17</v>
          </cell>
          <cell r="F8544">
            <v>76.17</v>
          </cell>
        </row>
        <row r="8545">
          <cell r="A8545" t="str">
            <v>421721</v>
          </cell>
          <cell r="B8545" t="str">
            <v>Conexão exotérmica extremidade de cabo 95 mm² no topo da haste 5/8", composta por molde tipo MGR2-1695, fab. MAXXWELD ou similar</v>
          </cell>
          <cell r="C8545" t="str">
            <v>cj</v>
          </cell>
          <cell r="D8545">
            <v>0</v>
          </cell>
          <cell r="E8545">
            <v>76.17</v>
          </cell>
          <cell r="F8545">
            <v>76.17</v>
          </cell>
        </row>
        <row r="8546">
          <cell r="A8546" t="str">
            <v>421722</v>
          </cell>
          <cell r="B8546" t="str">
            <v>Conexão exotérmica de cabo passante 16 mm² no topo da haste 5/8", composta por molde tipo MGT1-1616, fab. MAXXWELD ou similar</v>
          </cell>
          <cell r="C8546" t="str">
            <v>cj</v>
          </cell>
          <cell r="D8546">
            <v>0</v>
          </cell>
          <cell r="E8546">
            <v>68.489999999999995</v>
          </cell>
          <cell r="F8546">
            <v>68.489999999999995</v>
          </cell>
        </row>
        <row r="8547">
          <cell r="A8547" t="str">
            <v>421723</v>
          </cell>
          <cell r="B8547" t="str">
            <v>Conexão exotérmica de cabo passante 25 mm² no topo da haste 5/8", composta por molde tipo MGT1-1625, fab. MAXXWELD ou similar</v>
          </cell>
          <cell r="C8547" t="str">
            <v>cj</v>
          </cell>
          <cell r="D8547">
            <v>0</v>
          </cell>
          <cell r="E8547">
            <v>68.489999999999995</v>
          </cell>
          <cell r="F8547">
            <v>68.489999999999995</v>
          </cell>
        </row>
        <row r="8548">
          <cell r="A8548" t="str">
            <v>421724</v>
          </cell>
          <cell r="B8548" t="str">
            <v>Conexão exotérmica de cabo passante 35 mm² no topo da haste 5/8", composta por molde tipo MGT1-1635, fab. MAXXWELD ou similar</v>
          </cell>
          <cell r="C8548" t="str">
            <v>cj</v>
          </cell>
          <cell r="D8548">
            <v>0</v>
          </cell>
          <cell r="E8548">
            <v>68.489999999999995</v>
          </cell>
          <cell r="F8548">
            <v>68.489999999999995</v>
          </cell>
        </row>
        <row r="8549">
          <cell r="A8549" t="str">
            <v>421725</v>
          </cell>
          <cell r="B8549" t="str">
            <v>Conexão exotérmica de cabo passante 50 mm² no topo da haste 5/8", composta por molde tipo MGT2-1650,  fab. MAXXWELD ou similar</v>
          </cell>
          <cell r="C8549" t="str">
            <v>cj</v>
          </cell>
          <cell r="D8549">
            <v>0</v>
          </cell>
          <cell r="E8549">
            <v>76.17</v>
          </cell>
          <cell r="F8549">
            <v>76.17</v>
          </cell>
        </row>
        <row r="8550">
          <cell r="A8550" t="str">
            <v>421726</v>
          </cell>
          <cell r="B8550" t="str">
            <v>Conexão exotérmica de cabo passante 70 mm² no topo da haste 5/8", composta por molde tipo MGT2-1670, fab. MAXXWELD ou similar</v>
          </cell>
          <cell r="C8550" t="str">
            <v>cj</v>
          </cell>
          <cell r="D8550">
            <v>0</v>
          </cell>
          <cell r="E8550">
            <v>76.17</v>
          </cell>
          <cell r="F8550">
            <v>76.17</v>
          </cell>
        </row>
        <row r="8551">
          <cell r="A8551" t="str">
            <v>421727</v>
          </cell>
          <cell r="B8551" t="str">
            <v>Conexão exotérmica de cabo passante 95 mm² no topo da haste 5/8", composta por molde tipo MGT2-1695,  fab. MAXXWELD ou similar</v>
          </cell>
          <cell r="C8551" t="str">
            <v>cj</v>
          </cell>
          <cell r="D8551">
            <v>0</v>
          </cell>
          <cell r="E8551">
            <v>76.17</v>
          </cell>
          <cell r="F8551">
            <v>76.17</v>
          </cell>
        </row>
        <row r="8552">
          <cell r="A8552" t="str">
            <v>421728</v>
          </cell>
          <cell r="B8552" t="str">
            <v>Conexão exotérmica em "T", cabo passante 25 mm², cabo derivação 25 mm², composta por molde tipo MTA1-2525, fab. MAXXWELD ou similar</v>
          </cell>
          <cell r="C8552" t="str">
            <v>cj</v>
          </cell>
          <cell r="D8552">
            <v>0</v>
          </cell>
          <cell r="E8552">
            <v>68.489999999999995</v>
          </cell>
          <cell r="F8552">
            <v>68.489999999999995</v>
          </cell>
        </row>
        <row r="8553">
          <cell r="A8553" t="str">
            <v>421729</v>
          </cell>
          <cell r="B8553" t="str">
            <v>Conexão exotérmica em "T", cabo passante 35 mm², cabo derivação 25 mm², composta por molde tipo MTA1-3525, fab. MAXXWELD ou similar</v>
          </cell>
          <cell r="C8553" t="str">
            <v>cj</v>
          </cell>
          <cell r="D8553">
            <v>0</v>
          </cell>
          <cell r="E8553">
            <v>68.489999999999995</v>
          </cell>
          <cell r="F8553">
            <v>68.489999999999995</v>
          </cell>
        </row>
        <row r="8554">
          <cell r="A8554" t="str">
            <v>421730</v>
          </cell>
          <cell r="B8554" t="str">
            <v>Conexão exotérmica em "T", cabo passante 35 mm², cabo derivação 35 mm², composta por molde tipo MTA1-3535, fab. MAXXWELD ou similar</v>
          </cell>
          <cell r="C8554" t="str">
            <v>cj</v>
          </cell>
          <cell r="D8554">
            <v>0</v>
          </cell>
          <cell r="E8554">
            <v>68.489999999999995</v>
          </cell>
          <cell r="F8554">
            <v>68.489999999999995</v>
          </cell>
        </row>
        <row r="8555">
          <cell r="A8555" t="str">
            <v>421731</v>
          </cell>
          <cell r="B8555" t="str">
            <v>Conexão exotérmica em "T", cabo passante 50 mm², cabo derivação 25 mm², composta por molde tipo MTA1-5025, fab. MAXXWELD ou similar</v>
          </cell>
          <cell r="C8555" t="str">
            <v>cj</v>
          </cell>
          <cell r="D8555">
            <v>0</v>
          </cell>
          <cell r="E8555">
            <v>68.489999999999995</v>
          </cell>
          <cell r="F8555">
            <v>68.489999999999995</v>
          </cell>
        </row>
        <row r="8556">
          <cell r="A8556" t="str">
            <v>421732</v>
          </cell>
          <cell r="B8556" t="str">
            <v>Conexão exotérmica em "T", cabo passante 50 mm², cabo derivação 35 mm², composta por molde tipo MTA1-5035, fab. MAXXWELD ou similar</v>
          </cell>
          <cell r="C8556" t="str">
            <v>cj</v>
          </cell>
          <cell r="D8556">
            <v>0</v>
          </cell>
          <cell r="E8556">
            <v>68.489999999999995</v>
          </cell>
          <cell r="F8556">
            <v>68.489999999999995</v>
          </cell>
        </row>
        <row r="8557">
          <cell r="A8557" t="str">
            <v>421733</v>
          </cell>
          <cell r="B8557" t="str">
            <v>Conexão exotérmica em "T", cabo passante 50 mm², cabo derivação 50 mm², composta por molde tipo MTA2-5050, fab. MAXXWELD ou similar (292021)</v>
          </cell>
          <cell r="C8557" t="str">
            <v>cj</v>
          </cell>
          <cell r="D8557">
            <v>0</v>
          </cell>
          <cell r="E8557">
            <v>76.17</v>
          </cell>
          <cell r="F8557">
            <v>76.17</v>
          </cell>
        </row>
        <row r="8558">
          <cell r="A8558" t="str">
            <v>421734</v>
          </cell>
          <cell r="B8558" t="str">
            <v>Conexão exotérmica em "T", cabo passante 70 mm², cabo derivação 25 mm², composta por molde tipo MTA1-7025, fab. MAXXWELD ou similar</v>
          </cell>
          <cell r="C8558" t="str">
            <v>cj</v>
          </cell>
          <cell r="D8558">
            <v>0</v>
          </cell>
          <cell r="E8558">
            <v>68.489999999999995</v>
          </cell>
          <cell r="F8558">
            <v>68.489999999999995</v>
          </cell>
        </row>
        <row r="8559">
          <cell r="A8559" t="str">
            <v>421735</v>
          </cell>
          <cell r="B8559" t="str">
            <v>Conexão exotérmica em "T", cabo passante 70 mm², cabo derivação 35 mm², composta por molde tipo MTA1-7035, fab. MAXXWELD ou similar</v>
          </cell>
          <cell r="C8559" t="str">
            <v>cj</v>
          </cell>
          <cell r="D8559">
            <v>0</v>
          </cell>
          <cell r="E8559">
            <v>68.489999999999995</v>
          </cell>
          <cell r="F8559">
            <v>68.489999999999995</v>
          </cell>
        </row>
        <row r="8560">
          <cell r="A8560" t="str">
            <v>421736</v>
          </cell>
          <cell r="B8560" t="str">
            <v>Conexão exotérmica em "T", cabo passante 70 mm², cabo derivação 50 mm², composta por molde tipo MTA2-7050, fab. MAXXWELD ou similar</v>
          </cell>
          <cell r="C8560" t="str">
            <v>cj</v>
          </cell>
          <cell r="D8560">
            <v>0</v>
          </cell>
          <cell r="E8560">
            <v>76.17</v>
          </cell>
          <cell r="F8560">
            <v>76.17</v>
          </cell>
        </row>
        <row r="8561">
          <cell r="A8561" t="str">
            <v>421737</v>
          </cell>
          <cell r="B8561" t="str">
            <v>Conexão exotérmica em "T", cabo passante 70 mm², cabo derivação 70 mm², composta por molde tipo MTA2-7070, fab. MAXXWELD ou similar</v>
          </cell>
          <cell r="C8561" t="str">
            <v>cj</v>
          </cell>
          <cell r="D8561">
            <v>0</v>
          </cell>
          <cell r="E8561">
            <v>76.17</v>
          </cell>
          <cell r="F8561">
            <v>76.17</v>
          </cell>
        </row>
        <row r="8562">
          <cell r="A8562" t="str">
            <v>421738</v>
          </cell>
          <cell r="B8562" t="str">
            <v>Conexão exotérmica em "T", cabo passante 95 mm², cabo derivação 25 mm², composta por molde tipo MTA1-9525, fab. MAXXWELD ou similar</v>
          </cell>
          <cell r="C8562" t="str">
            <v>cj</v>
          </cell>
          <cell r="D8562">
            <v>0</v>
          </cell>
          <cell r="E8562">
            <v>68.489999999999995</v>
          </cell>
          <cell r="F8562">
            <v>68.489999999999995</v>
          </cell>
        </row>
        <row r="8563">
          <cell r="A8563" t="str">
            <v>421739</v>
          </cell>
          <cell r="B8563" t="str">
            <v>Conexão exotérmica em "T", cabo passante 95 mm², cabo derivação 35 mm², composta por molde tipo MTA1-9535, fab. MAXXWELD ou similar</v>
          </cell>
          <cell r="C8563" t="str">
            <v>cj</v>
          </cell>
          <cell r="D8563">
            <v>0</v>
          </cell>
          <cell r="E8563">
            <v>68.489999999999995</v>
          </cell>
          <cell r="F8563">
            <v>68.489999999999995</v>
          </cell>
        </row>
        <row r="8564">
          <cell r="A8564" t="str">
            <v>421740</v>
          </cell>
          <cell r="B8564" t="str">
            <v>Conexão exotérmica em "T", cabo passante 95 mm², cabo derivação 50 mm², composta por molde tipo MTA2-9550, fab. MAXXWELD ou similar</v>
          </cell>
          <cell r="C8564" t="str">
            <v>cj</v>
          </cell>
          <cell r="D8564">
            <v>0</v>
          </cell>
          <cell r="E8564">
            <v>76.17</v>
          </cell>
          <cell r="F8564">
            <v>76.17</v>
          </cell>
        </row>
        <row r="8565">
          <cell r="A8565" t="str">
            <v>421741</v>
          </cell>
          <cell r="B8565" t="str">
            <v>Conexão exotérmica em "T", cabo passante 95 mm², cabo derivação 70 mm², composta por molde tipo MTA2-9570, fab. MAXXWELD ou similar</v>
          </cell>
          <cell r="C8565" t="str">
            <v>cj</v>
          </cell>
          <cell r="D8565">
            <v>0</v>
          </cell>
          <cell r="E8565">
            <v>76.17</v>
          </cell>
          <cell r="F8565">
            <v>76.17</v>
          </cell>
        </row>
        <row r="8566">
          <cell r="A8566" t="str">
            <v>421742</v>
          </cell>
          <cell r="B8566" t="str">
            <v>Conexão exotérmica em "T", cabo passante 95 mm², cabo derivação 95 mm², composta por molde tipo MTA2-9595, fab. MAXXWELD ou similar</v>
          </cell>
          <cell r="C8566" t="str">
            <v>cj</v>
          </cell>
          <cell r="D8566">
            <v>0</v>
          </cell>
          <cell r="E8566">
            <v>76.17</v>
          </cell>
          <cell r="F8566">
            <v>76.17</v>
          </cell>
        </row>
        <row r="8567">
          <cell r="A8567" t="str">
            <v>421743</v>
          </cell>
          <cell r="B8567" t="str">
            <v>Conexão exotérmica em "X", cabo passante 25 mm², cabo derivação 25 mm², composta por molde tipo MXA1-2525, fab. MAXXWELD ou similar</v>
          </cell>
          <cell r="C8567" t="str">
            <v>cj</v>
          </cell>
          <cell r="D8567">
            <v>0</v>
          </cell>
          <cell r="E8567">
            <v>68.489999999999995</v>
          </cell>
          <cell r="F8567">
            <v>68.489999999999995</v>
          </cell>
        </row>
        <row r="8568">
          <cell r="A8568" t="str">
            <v>421744</v>
          </cell>
          <cell r="B8568" t="str">
            <v>Conexão exotérmica em "X", cabo passante 35 mm², cabo derivação 25 mm², composta por molde tipo MXA1-3525, fab. MAXXWELD ou similar</v>
          </cell>
          <cell r="C8568" t="str">
            <v>cj</v>
          </cell>
          <cell r="D8568">
            <v>0</v>
          </cell>
          <cell r="E8568">
            <v>68.489999999999995</v>
          </cell>
          <cell r="F8568">
            <v>68.489999999999995</v>
          </cell>
        </row>
        <row r="8569">
          <cell r="A8569" t="str">
            <v>421745</v>
          </cell>
          <cell r="B8569" t="str">
            <v>Conexão exotérmica em "X", cabo passante 35 mm², cabo derivação 35 mm², composta por molde tipo MXA1-3535, fab. MAXXWELD ou similar</v>
          </cell>
          <cell r="C8569" t="str">
            <v>cj</v>
          </cell>
          <cell r="D8569">
            <v>0</v>
          </cell>
          <cell r="E8569">
            <v>68.489999999999995</v>
          </cell>
          <cell r="F8569">
            <v>68.489999999999995</v>
          </cell>
        </row>
        <row r="8570">
          <cell r="A8570" t="str">
            <v>421746</v>
          </cell>
          <cell r="B8570" t="str">
            <v>Conexão exotérmica em "X", cabo passante 50 mm², cabo derivação 25 mm², composta por molde tipo MXA2-5025, fab. MAXXWELD ou similar</v>
          </cell>
          <cell r="C8570" t="str">
            <v>cj</v>
          </cell>
          <cell r="D8570">
            <v>0</v>
          </cell>
          <cell r="E8570">
            <v>105.48</v>
          </cell>
          <cell r="F8570">
            <v>105.48</v>
          </cell>
        </row>
        <row r="8571">
          <cell r="A8571" t="str">
            <v>421747</v>
          </cell>
          <cell r="B8571" t="str">
            <v>Conexão exotérmica em "X", cabo passante 50 mm², cabo derivação 35 mm², composta por Molde tipo MXA2-5035, fab. MAXXWELD ou similar</v>
          </cell>
          <cell r="C8571" t="str">
            <v>cj</v>
          </cell>
          <cell r="D8571">
            <v>0</v>
          </cell>
          <cell r="E8571">
            <v>105.48</v>
          </cell>
          <cell r="F8571">
            <v>105.48</v>
          </cell>
        </row>
        <row r="8572">
          <cell r="A8572" t="str">
            <v>421748</v>
          </cell>
          <cell r="B8572" t="str">
            <v>Conexão exotérmica em "X", cabo passante 50 mm², cabo derivação 50 mm², composta por molde tipo MXA2-5050, fab. MAXXWELD ou similar</v>
          </cell>
          <cell r="C8572" t="str">
            <v>cj</v>
          </cell>
          <cell r="D8572">
            <v>0</v>
          </cell>
          <cell r="E8572">
            <v>105.48</v>
          </cell>
          <cell r="F8572">
            <v>105.48</v>
          </cell>
        </row>
        <row r="8573">
          <cell r="A8573" t="str">
            <v>421749</v>
          </cell>
          <cell r="B8573" t="str">
            <v>Conexão exotérmica em "X", cabo passante 70 mm², cabo derivação 35 mm², composta por molde tipo MXA2-7035, fab. MAXXWELD ou similar</v>
          </cell>
          <cell r="C8573" t="str">
            <v>cj</v>
          </cell>
          <cell r="D8573">
            <v>0</v>
          </cell>
          <cell r="E8573">
            <v>105.48</v>
          </cell>
          <cell r="F8573">
            <v>105.48</v>
          </cell>
        </row>
        <row r="8574">
          <cell r="A8574" t="str">
            <v>421750</v>
          </cell>
          <cell r="B8574" t="str">
            <v>Conexão exotérmica em "X", cabo passante 70 mm², cabo derivação 50 mm², composta por Molde tipo MXA2-7050, fab. MAXXWELD ou similar</v>
          </cell>
          <cell r="C8574" t="str">
            <v>cj</v>
          </cell>
          <cell r="D8574">
            <v>0</v>
          </cell>
          <cell r="E8574">
            <v>105.48</v>
          </cell>
          <cell r="F8574">
            <v>105.48</v>
          </cell>
        </row>
        <row r="8575">
          <cell r="A8575" t="str">
            <v>421751</v>
          </cell>
          <cell r="B8575" t="str">
            <v>Conexão exotérmica em "X", cabo passante 70 mm², cabo derivação 70 mm², composta por molde tipo MXA2-7070, fab. MAXXWELD ou similar</v>
          </cell>
          <cell r="C8575" t="str">
            <v>cj</v>
          </cell>
          <cell r="D8575">
            <v>0</v>
          </cell>
          <cell r="E8575">
            <v>105.48</v>
          </cell>
          <cell r="F8575">
            <v>105.48</v>
          </cell>
        </row>
        <row r="8576">
          <cell r="A8576" t="str">
            <v>421752</v>
          </cell>
          <cell r="B8576" t="str">
            <v>Conexão exotérmica em "X", cabo passante 95 mm², cabo derivação 35 mm², composta por molde tipo MXA2-9535, fab. MAXXWELD ou similar</v>
          </cell>
          <cell r="C8576" t="str">
            <v>cj</v>
          </cell>
          <cell r="D8576">
            <v>0</v>
          </cell>
          <cell r="E8576">
            <v>105.48</v>
          </cell>
          <cell r="F8576">
            <v>105.48</v>
          </cell>
        </row>
        <row r="8577">
          <cell r="A8577" t="str">
            <v>421753</v>
          </cell>
          <cell r="B8577" t="str">
            <v>Conexão exotérmica em "X", cabo passante 95 mm², cabo derivação 50 mm², composta por molde tipo MXA2-9550, fab. MAXXWELD ou similar</v>
          </cell>
          <cell r="C8577" t="str">
            <v>cj</v>
          </cell>
          <cell r="D8577">
            <v>0</v>
          </cell>
          <cell r="E8577">
            <v>105.48</v>
          </cell>
          <cell r="F8577">
            <v>105.48</v>
          </cell>
        </row>
        <row r="8578">
          <cell r="A8578" t="str">
            <v>421754</v>
          </cell>
          <cell r="B8578" t="str">
            <v>Conexão exotérmica em "X", cabo passante 95 mm², cabo derivação 70 mm², composta por molde tipo MXA2-9570, fab. MAXXWELD ou similar</v>
          </cell>
          <cell r="C8578" t="str">
            <v>cj</v>
          </cell>
          <cell r="D8578">
            <v>0</v>
          </cell>
          <cell r="E8578">
            <v>105.48</v>
          </cell>
          <cell r="F8578">
            <v>105.48</v>
          </cell>
        </row>
        <row r="8579">
          <cell r="A8579" t="str">
            <v>421755</v>
          </cell>
          <cell r="B8579" t="str">
            <v>Conexão exotérmica em "X", cabo passante 95 mm², cabo derivação 95 mm², composta por molde tipo MXA2-9595, fab. MAXXWELD ou similar</v>
          </cell>
          <cell r="C8579" t="str">
            <v>cj</v>
          </cell>
          <cell r="D8579">
            <v>0</v>
          </cell>
          <cell r="E8579">
            <v>105.48</v>
          </cell>
          <cell r="F8579">
            <v>105.48</v>
          </cell>
        </row>
        <row r="8580">
          <cell r="A8580" t="str">
            <v>421756</v>
          </cell>
          <cell r="B8580" t="str">
            <v>Conexão exotérmica de uma derivação paralela 16 mm² em cabo passante 16 mm², composta por molde tipo MPC1-1616, fab. MAXXWELD ou similar</v>
          </cell>
          <cell r="C8580" t="str">
            <v>cj</v>
          </cell>
          <cell r="D8580">
            <v>0</v>
          </cell>
          <cell r="E8580">
            <v>68.489999999999995</v>
          </cell>
          <cell r="F8580">
            <v>68.489999999999995</v>
          </cell>
        </row>
        <row r="8581">
          <cell r="A8581" t="str">
            <v>421757</v>
          </cell>
          <cell r="B8581" t="str">
            <v>Conjunto de contraventagem para mastro tipo com cabo, em aço galvanizado, ref. PRT, fab. PARATEC ou similar para mastro, bitola 1.1/2" - PRT-707</v>
          </cell>
          <cell r="C8581" t="str">
            <v>cj</v>
          </cell>
          <cell r="D8581">
            <v>0</v>
          </cell>
          <cell r="E8581">
            <v>104</v>
          </cell>
          <cell r="F8581">
            <v>104</v>
          </cell>
        </row>
        <row r="8582">
          <cell r="A8582" t="str">
            <v>421758</v>
          </cell>
          <cell r="B8582" t="str">
            <v>Conjunto de contraventagem para mastro tipo com cabo, em aço galvanizado, ref. PRT, fab. PARATEC ou similar para mastro, bitola 2" - PRT-709</v>
          </cell>
          <cell r="C8582" t="str">
            <v>cj</v>
          </cell>
          <cell r="D8582">
            <v>0</v>
          </cell>
          <cell r="E8582">
            <v>124</v>
          </cell>
          <cell r="F8582">
            <v>124</v>
          </cell>
        </row>
        <row r="8583">
          <cell r="A8583" t="str">
            <v>421759</v>
          </cell>
          <cell r="B8583" t="str">
            <v>Conjunto de contraventagem para mastro tipo com tubo, em aço galvanizado, ref. PRT, fab. PARATEC ou similar para mastro, bitola 1.1/2" - PRT-717</v>
          </cell>
          <cell r="C8583" t="str">
            <v>cj</v>
          </cell>
          <cell r="D8583">
            <v>0</v>
          </cell>
          <cell r="E8583">
            <v>104</v>
          </cell>
          <cell r="F8583">
            <v>104</v>
          </cell>
        </row>
        <row r="8584">
          <cell r="A8584" t="str">
            <v>421760</v>
          </cell>
          <cell r="B8584" t="str">
            <v>Conjunto de contraventagem para mastro tipo com tubo, em aço galvanizado, ref. PRT, fab. PARATEC ou similar para mastro, bitola 2" - PRT-719</v>
          </cell>
          <cell r="C8584" t="str">
            <v>cj</v>
          </cell>
          <cell r="D8584">
            <v>0</v>
          </cell>
          <cell r="E8584">
            <v>124</v>
          </cell>
          <cell r="F8584">
            <v>124</v>
          </cell>
        </row>
        <row r="8585">
          <cell r="A8585" t="str">
            <v>421761</v>
          </cell>
          <cell r="B8585" t="str">
            <v>Conjunto de contraventagem para mastro tipo auto suportado, em aço galvanizado, ref. PRT, fab. PARATEC ou similar para mastro, bitola 1.1/2" - PRT-720</v>
          </cell>
          <cell r="C8585" t="str">
            <v>cj</v>
          </cell>
          <cell r="D8585">
            <v>0</v>
          </cell>
          <cell r="E8585">
            <v>152</v>
          </cell>
          <cell r="F8585">
            <v>152</v>
          </cell>
        </row>
        <row r="8586">
          <cell r="A8586" t="str">
            <v>421762</v>
          </cell>
          <cell r="B8586" t="str">
            <v>Conjunto de contraventagem para mastro tipo auto suportado, em aço galvanizado, ref. PRT, fab. PARATEC ou similar para mastro, bitola 2" - PRT-721</v>
          </cell>
          <cell r="C8586" t="str">
            <v>cj</v>
          </cell>
          <cell r="D8586">
            <v>0</v>
          </cell>
          <cell r="E8586">
            <v>152</v>
          </cell>
          <cell r="F8586">
            <v>152</v>
          </cell>
        </row>
        <row r="8587">
          <cell r="A8587" t="str">
            <v>421763</v>
          </cell>
          <cell r="B8587" t="str">
            <v>Fixador de estai para cordoalha em ferro galvanizado tipo GTP-21A, fab. STARTEC  ou similar</v>
          </cell>
          <cell r="C8587" t="str">
            <v>ud</v>
          </cell>
          <cell r="D8587">
            <v>0</v>
          </cell>
          <cell r="E8587">
            <v>2.65</v>
          </cell>
          <cell r="F8587">
            <v>2.65</v>
          </cell>
        </row>
        <row r="8588">
          <cell r="A8588" t="str">
            <v>421764</v>
          </cell>
          <cell r="B8588" t="str">
            <v>Fita perfurada de latão niquelado para uso externo 20 x 1,2mm - furo 7mm, 3m, ref. TEL-751, fab. TERMOTÉCNICA ou similar</v>
          </cell>
          <cell r="C8588" t="str">
            <v>ud</v>
          </cell>
          <cell r="D8588">
            <v>0</v>
          </cell>
          <cell r="E8588">
            <v>46.98</v>
          </cell>
          <cell r="F8588">
            <v>46.98</v>
          </cell>
        </row>
        <row r="8589">
          <cell r="A8589" t="str">
            <v>421765</v>
          </cell>
          <cell r="B8589" t="str">
            <v>Grampo para cabo de aço ø3/16", em aço galvanizado, ref. PRT-654. Fab. PARATEC ou similar (124192)</v>
          </cell>
          <cell r="C8589" t="str">
            <v>ud</v>
          </cell>
          <cell r="D8589">
            <v>0</v>
          </cell>
          <cell r="E8589">
            <v>1.1499999999999999</v>
          </cell>
          <cell r="F8589">
            <v>1.1499999999999999</v>
          </cell>
        </row>
        <row r="8590">
          <cell r="A8590" t="str">
            <v>421766</v>
          </cell>
          <cell r="B8590" t="str">
            <v>Grampo para cabo de aço ø1/4", em aço galvanizado, ref. PRT-655. Fab. PARATEC ou similar (124206)</v>
          </cell>
          <cell r="C8590" t="str">
            <v>ud</v>
          </cell>
          <cell r="D8590">
            <v>0</v>
          </cell>
          <cell r="E8590">
            <v>1.3</v>
          </cell>
          <cell r="F8590">
            <v>1.3</v>
          </cell>
        </row>
        <row r="8591">
          <cell r="A8591" t="str">
            <v>421767</v>
          </cell>
          <cell r="B8591" t="str">
            <v>Grampo terra duplo com parafuso "U", tipo GTDU 3/8" ips 8-4, fab. INTELLI ou similar (287443)</v>
          </cell>
          <cell r="C8591" t="str">
            <v>ud</v>
          </cell>
          <cell r="D8591">
            <v>0</v>
          </cell>
          <cell r="E8591">
            <v>21.13</v>
          </cell>
          <cell r="F8591">
            <v>21.13</v>
          </cell>
        </row>
        <row r="8592">
          <cell r="A8592" t="str">
            <v>421768</v>
          </cell>
          <cell r="B8592" t="str">
            <v>Grampo terra duplo com parafuso "U", tipo GTDU 3/8" ips 4-2/0, fab. INTELLI ou similar</v>
          </cell>
          <cell r="C8592" t="str">
            <v>ud</v>
          </cell>
          <cell r="D8592">
            <v>0</v>
          </cell>
          <cell r="E8592">
            <v>17.7</v>
          </cell>
          <cell r="F8592">
            <v>17.7</v>
          </cell>
        </row>
        <row r="8593">
          <cell r="A8593" t="str">
            <v>421769</v>
          </cell>
          <cell r="B8593" t="str">
            <v>Grampo terra duplo com parafuso "U", tipo GTDU 3/8" ips 2/0-250, fab. INTELLI ou similar (290161)</v>
          </cell>
          <cell r="C8593" t="str">
            <v>ud</v>
          </cell>
          <cell r="D8593">
            <v>0</v>
          </cell>
          <cell r="E8593">
            <v>46.69</v>
          </cell>
          <cell r="F8593">
            <v>46.69</v>
          </cell>
        </row>
        <row r="8594">
          <cell r="A8594" t="str">
            <v>421770</v>
          </cell>
          <cell r="B8594" t="str">
            <v>Haste de aterramento, núcleo de aço revestido por cobre eletrolítico, diâmetro 5/8", comprimento 3,00m, fab. INTELLI ou similar (47228)</v>
          </cell>
          <cell r="C8594" t="str">
            <v>ud</v>
          </cell>
          <cell r="D8594">
            <v>0</v>
          </cell>
          <cell r="E8594">
            <v>28.92</v>
          </cell>
          <cell r="F8594">
            <v>28.92</v>
          </cell>
          <cell r="G8594">
            <v>3379</v>
          </cell>
        </row>
        <row r="8595">
          <cell r="A8595" t="str">
            <v>421771</v>
          </cell>
          <cell r="B8595" t="str">
            <v>Isolador simples com roldana, em aço galvanizado à fogo, fixação por parafuso, ref. PRT-202 100mm,   fab. PARATEC ou similar</v>
          </cell>
          <cell r="C8595" t="str">
            <v>ud</v>
          </cell>
          <cell r="D8595">
            <v>0</v>
          </cell>
          <cell r="E8595">
            <v>4.4000000000000004</v>
          </cell>
          <cell r="F8595">
            <v>4.4000000000000004</v>
          </cell>
        </row>
        <row r="8596">
          <cell r="A8596" t="str">
            <v>421772</v>
          </cell>
          <cell r="B8596" t="str">
            <v>Isolador simples com roldana, em aço galvanizado à fogo, fixação por parafuso, ref. PRT-201 200mm,   fab. PARATEC ou similar</v>
          </cell>
          <cell r="C8596" t="str">
            <v>ud</v>
          </cell>
          <cell r="D8596">
            <v>0</v>
          </cell>
          <cell r="E8596">
            <v>5.5</v>
          </cell>
          <cell r="F8596">
            <v>5.5</v>
          </cell>
        </row>
        <row r="8597">
          <cell r="A8597" t="str">
            <v>421773</v>
          </cell>
          <cell r="B8597" t="str">
            <v>Isolador reforçado com roldana, em aço galvanizado à fogo, fixação por parafuso, ref. PRT-204 100mm, fab. PARATEC ou similar</v>
          </cell>
          <cell r="C8597" t="str">
            <v>ud</v>
          </cell>
          <cell r="D8597">
            <v>0</v>
          </cell>
          <cell r="E8597">
            <v>6.2</v>
          </cell>
          <cell r="F8597">
            <v>6.2</v>
          </cell>
        </row>
        <row r="8598">
          <cell r="A8598" t="str">
            <v>421774</v>
          </cell>
          <cell r="B8598" t="str">
            <v>Isolador reforçado com roldana, em aço galvanizado à fogo, fixação por parafuso, ref. PRT-203 200mm, fab. PARATEC ou similar</v>
          </cell>
          <cell r="C8598" t="str">
            <v>ud</v>
          </cell>
          <cell r="D8598">
            <v>0</v>
          </cell>
          <cell r="E8598">
            <v>6.2</v>
          </cell>
          <cell r="F8598">
            <v>6.2</v>
          </cell>
        </row>
        <row r="8599">
          <cell r="A8599" t="str">
            <v>421775</v>
          </cell>
          <cell r="B8599" t="str">
            <v xml:space="preserve">Isolador simples com roldana, em aço galvanizado à fogo, fixação por parafuso, ref. PRT-250, fab. PARATEC ou similar, para mastro 3/4" </v>
          </cell>
          <cell r="C8599" t="str">
            <v>ud</v>
          </cell>
          <cell r="D8599">
            <v>0</v>
          </cell>
          <cell r="E8599">
            <v>7</v>
          </cell>
          <cell r="F8599">
            <v>7</v>
          </cell>
        </row>
        <row r="8600">
          <cell r="A8600" t="str">
            <v>421776</v>
          </cell>
          <cell r="B8600" t="str">
            <v xml:space="preserve">Isolador simples com roldana, em aço galvanizado à fogo, fixação por parafuso, ref. PRT-251, fab. PARATEC ou similar, para mastro 1" </v>
          </cell>
          <cell r="C8600" t="str">
            <v>ud</v>
          </cell>
          <cell r="D8600">
            <v>0</v>
          </cell>
          <cell r="E8600">
            <v>7</v>
          </cell>
          <cell r="F8600">
            <v>7</v>
          </cell>
        </row>
        <row r="8601">
          <cell r="A8601" t="str">
            <v>421777</v>
          </cell>
          <cell r="B8601" t="str">
            <v xml:space="preserve">Isolador simples com roldana, em aço galvanizado à fogo, fixação por parafuso, ref. PRT-253, fab. PARATEC ou similar, para mastro 1.1/2" </v>
          </cell>
          <cell r="C8601" t="str">
            <v>ud</v>
          </cell>
          <cell r="D8601">
            <v>0</v>
          </cell>
          <cell r="E8601">
            <v>7.4</v>
          </cell>
          <cell r="F8601">
            <v>7.4</v>
          </cell>
        </row>
        <row r="8602">
          <cell r="A8602" t="str">
            <v>421778</v>
          </cell>
          <cell r="B8602" t="str">
            <v xml:space="preserve">Isolador simples com roldana, em aço galvanizado à fogo, fixação por parafuso, ref. PRT-254, fab. PARATEC ou similar, para mastro 2" </v>
          </cell>
          <cell r="C8602" t="str">
            <v>ud</v>
          </cell>
          <cell r="D8602">
            <v>0</v>
          </cell>
          <cell r="E8602">
            <v>7.4</v>
          </cell>
          <cell r="F8602">
            <v>7.4</v>
          </cell>
        </row>
        <row r="8603">
          <cell r="A8603" t="str">
            <v>421779</v>
          </cell>
          <cell r="B8603" t="str">
            <v>Isolador reforçado com roldana, em aço galvanizado à fogo, fixação por parafuso, ref. PRT-255,  fab. PARATEC ou similar, para mastro 3/4"</v>
          </cell>
          <cell r="C8603" t="str">
            <v>ud</v>
          </cell>
          <cell r="D8603">
            <v>0</v>
          </cell>
          <cell r="E8603">
            <v>8</v>
          </cell>
          <cell r="F8603">
            <v>8</v>
          </cell>
        </row>
        <row r="8604">
          <cell r="A8604" t="str">
            <v>421780</v>
          </cell>
          <cell r="B8604" t="str">
            <v xml:space="preserve">Isolador reforçado com roldana, em aço galvanizado à fogo, fixação por parafuso, ref. PRT-256,  fab. PARATEC ou similar, para mastro 1" </v>
          </cell>
          <cell r="C8604" t="str">
            <v>ud</v>
          </cell>
          <cell r="D8604">
            <v>0</v>
          </cell>
          <cell r="E8604">
            <v>8</v>
          </cell>
          <cell r="F8604">
            <v>8</v>
          </cell>
        </row>
        <row r="8605">
          <cell r="A8605" t="str">
            <v>421781</v>
          </cell>
          <cell r="B8605" t="str">
            <v>Isolador reforçado com roldana, em aço galvanizado à fogo, fixação por parafuso, ref. PRT-258,  fab. PARATEC ou similar, para mastro 1.1/2" (287478)</v>
          </cell>
          <cell r="C8605" t="str">
            <v>ud</v>
          </cell>
          <cell r="D8605">
            <v>0</v>
          </cell>
          <cell r="E8605">
            <v>8.4</v>
          </cell>
          <cell r="F8605">
            <v>8.4</v>
          </cell>
        </row>
        <row r="8606">
          <cell r="A8606" t="str">
            <v>421782</v>
          </cell>
          <cell r="B8606" t="str">
            <v xml:space="preserve">Isolador reforçado com roldana, em aço galvanizado à fogo, fixação por parafuso, ref. PRT-259,  fab. PARATEC ou similar, para mastro 2" </v>
          </cell>
          <cell r="C8606" t="str">
            <v>ud</v>
          </cell>
          <cell r="D8606">
            <v>0</v>
          </cell>
          <cell r="E8606">
            <v>8.4</v>
          </cell>
          <cell r="F8606">
            <v>8.4</v>
          </cell>
        </row>
        <row r="8607">
          <cell r="A8607" t="str">
            <v>421783</v>
          </cell>
          <cell r="B8607" t="str">
            <v>Isolador reforçado com roldana, para quina 90º, em aço galvanizado à fogo, fixação por parafuso, ref. PRT-218, fab. PARATEC ou similar, 100mm</v>
          </cell>
          <cell r="C8607" t="str">
            <v>ud</v>
          </cell>
          <cell r="D8607">
            <v>0</v>
          </cell>
          <cell r="E8607">
            <v>11.8</v>
          </cell>
          <cell r="F8607">
            <v>11.8</v>
          </cell>
        </row>
        <row r="8608">
          <cell r="A8608" t="str">
            <v>421784</v>
          </cell>
          <cell r="B8608" t="str">
            <v xml:space="preserve">Isolador reforçado com roldana, para quina 90º, em aço galvanizado à fogo, fixação por parafuso, ref. PRT-217, fab. PARATEC ou similar, 200mm </v>
          </cell>
          <cell r="C8608" t="str">
            <v>ud</v>
          </cell>
          <cell r="D8608">
            <v>0</v>
          </cell>
          <cell r="E8608">
            <v>12.6</v>
          </cell>
          <cell r="F8608">
            <v>12.6</v>
          </cell>
        </row>
        <row r="8609">
          <cell r="A8609" t="str">
            <v>421785</v>
          </cell>
          <cell r="B8609" t="str">
            <v>Isolador reforçado com roldana, em aço galvanizado à fogo, fixação por rosca mecânica, ref. PRT-216 fab. PARATEC ou similar, 100mm</v>
          </cell>
          <cell r="C8609" t="str">
            <v>ud</v>
          </cell>
          <cell r="D8609">
            <v>0</v>
          </cell>
          <cell r="E8609">
            <v>6</v>
          </cell>
          <cell r="F8609">
            <v>6</v>
          </cell>
        </row>
        <row r="8610">
          <cell r="A8610" t="str">
            <v>421786</v>
          </cell>
          <cell r="B8610" t="str">
            <v>Isolador reforçado com roldana, em aço galvanizado à fogo, fixação por rosca mecânica, ref. PRT-215 fab. PARATEC ou similar, 200mm</v>
          </cell>
          <cell r="C8610" t="str">
            <v>ud</v>
          </cell>
          <cell r="D8610">
            <v>0</v>
          </cell>
          <cell r="E8610">
            <v>6.4</v>
          </cell>
          <cell r="F8610">
            <v>6.4</v>
          </cell>
        </row>
        <row r="8611">
          <cell r="A8611" t="str">
            <v>421787</v>
          </cell>
          <cell r="B8611" t="str">
            <v>Isolador simples com roldana, em aço galvanizado à fogo, fixação por rosca mecânica, ref. PRT-214,  fab. PARATEC ou similar,100mm</v>
          </cell>
          <cell r="C8611" t="str">
            <v>ud</v>
          </cell>
          <cell r="D8611">
            <v>0</v>
          </cell>
          <cell r="E8611">
            <v>6</v>
          </cell>
          <cell r="F8611">
            <v>6</v>
          </cell>
        </row>
        <row r="8612">
          <cell r="A8612" t="str">
            <v>421788</v>
          </cell>
          <cell r="B8612" t="str">
            <v>Isolador simples com roldana, em aço galvanizado à fogo, fixação por rosca mecânica, ref. PRT-213,  fab. PARATEC ou similar, 200mm</v>
          </cell>
          <cell r="C8612" t="str">
            <v>ud</v>
          </cell>
          <cell r="D8612">
            <v>0</v>
          </cell>
          <cell r="E8612">
            <v>6.4</v>
          </cell>
          <cell r="F8612">
            <v>6.4</v>
          </cell>
        </row>
        <row r="8613">
          <cell r="A8613" t="str">
            <v>421789</v>
          </cell>
          <cell r="B8613" t="str">
            <v>Isolador simples com roldana, para instalação em telha de fibrocimento 6mm, em aço galvanizado à fogo, fixação com parafuso, ref. PRT-219 fab. PARATEC  ou similar</v>
          </cell>
          <cell r="C8613" t="str">
            <v>ud</v>
          </cell>
          <cell r="D8613">
            <v>0</v>
          </cell>
          <cell r="E8613">
            <v>11.8</v>
          </cell>
          <cell r="F8613">
            <v>11.8</v>
          </cell>
        </row>
        <row r="8614">
          <cell r="A8614" t="str">
            <v>421790</v>
          </cell>
          <cell r="B8614" t="str">
            <v>Isolador reforçado c/ 02 roldanas, em aço galvanizado à fogo,  ref. PRT-268, fab. PARATEC ou similar, 1.1/2"</v>
          </cell>
          <cell r="C8614" t="str">
            <v>ud</v>
          </cell>
          <cell r="D8614">
            <v>0</v>
          </cell>
          <cell r="E8614">
            <v>15</v>
          </cell>
          <cell r="F8614">
            <v>15</v>
          </cell>
        </row>
        <row r="8615">
          <cell r="A8615" t="str">
            <v>421791</v>
          </cell>
          <cell r="B8615" t="str">
            <v xml:space="preserve">Isolador reforçado c/ 02 roldanas, em aço galvanizado à fogo,  ref. PRT-269, fab. PARATEC ou similar, 2" </v>
          </cell>
          <cell r="C8615" t="str">
            <v>ud</v>
          </cell>
          <cell r="D8615">
            <v>0</v>
          </cell>
          <cell r="E8615">
            <v>16</v>
          </cell>
          <cell r="F8615">
            <v>16</v>
          </cell>
        </row>
        <row r="8616">
          <cell r="A8616" t="str">
            <v>421792</v>
          </cell>
          <cell r="B8616" t="str">
            <v>Isolador simples c/ 02 roldanas, em aço galvanizado à fogo, tipo PRT-263, fab. PARATEC ou similar, 1.1/2"</v>
          </cell>
          <cell r="C8616" t="str">
            <v>ud</v>
          </cell>
          <cell r="D8616">
            <v>0</v>
          </cell>
          <cell r="E8616">
            <v>13.4</v>
          </cell>
          <cell r="F8616">
            <v>13.4</v>
          </cell>
        </row>
        <row r="8617">
          <cell r="A8617" t="str">
            <v>421793</v>
          </cell>
          <cell r="B8617" t="str">
            <v>Isolador simples c/ 02 roldanas, em aço galvanizado à fogo, tipo PRT-264, fab. PARATEC ou similar, 2"</v>
          </cell>
          <cell r="C8617" t="str">
            <v>ud</v>
          </cell>
          <cell r="D8617">
            <v>0</v>
          </cell>
          <cell r="E8617">
            <v>14</v>
          </cell>
          <cell r="F8617">
            <v>14</v>
          </cell>
        </row>
        <row r="8618">
          <cell r="A8618" t="str">
            <v>421794</v>
          </cell>
          <cell r="B8618" t="str">
            <v>Cartucho para conexão exotérmica,  nº 32,  fab. MAXXWELD ou similar</v>
          </cell>
          <cell r="C8618" t="str">
            <v>ud</v>
          </cell>
          <cell r="D8618">
            <v>0</v>
          </cell>
          <cell r="E8618">
            <v>2.6</v>
          </cell>
          <cell r="F8618">
            <v>2.6</v>
          </cell>
        </row>
        <row r="8619">
          <cell r="A8619" t="str">
            <v>421795</v>
          </cell>
          <cell r="B8619" t="str">
            <v>Cartucho para conexão exotérmica,  nº 45,  fab. MAXXWELD ou similar</v>
          </cell>
          <cell r="C8619" t="str">
            <v>ud</v>
          </cell>
          <cell r="D8619">
            <v>0</v>
          </cell>
          <cell r="E8619">
            <v>3.29</v>
          </cell>
          <cell r="F8619">
            <v>3.29</v>
          </cell>
        </row>
        <row r="8620">
          <cell r="A8620" t="str">
            <v>421796</v>
          </cell>
          <cell r="B8620" t="str">
            <v>Cartucho para conexão exotérmica,  nº 65,  fab. MAXXWELD ou similar</v>
          </cell>
          <cell r="C8620" t="str">
            <v>ud</v>
          </cell>
          <cell r="D8620">
            <v>0</v>
          </cell>
          <cell r="E8620">
            <v>4.1399999999999997</v>
          </cell>
          <cell r="F8620">
            <v>4.1399999999999997</v>
          </cell>
        </row>
        <row r="8621">
          <cell r="A8621" t="str">
            <v>421797</v>
          </cell>
          <cell r="B8621" t="str">
            <v>Cartucho para conexão exotérmica,  nº 90,  fab. MAXXWELD ou similar (292017)</v>
          </cell>
          <cell r="C8621" t="str">
            <v>ud</v>
          </cell>
          <cell r="D8621">
            <v>0</v>
          </cell>
          <cell r="E8621">
            <v>5.3</v>
          </cell>
          <cell r="F8621">
            <v>5.3</v>
          </cell>
        </row>
        <row r="8622">
          <cell r="A8622" t="str">
            <v>421798</v>
          </cell>
          <cell r="B8622" t="str">
            <v>Cartucho para conexão exotérmica,  nº 115, fab. MAXXWELD ou similar (292015)</v>
          </cell>
          <cell r="C8622" t="str">
            <v>ud</v>
          </cell>
          <cell r="D8622">
            <v>0</v>
          </cell>
          <cell r="E8622">
            <v>6.58</v>
          </cell>
          <cell r="F8622">
            <v>6.58</v>
          </cell>
        </row>
        <row r="8623">
          <cell r="A8623" t="str">
            <v>421799</v>
          </cell>
          <cell r="B8623" t="str">
            <v>Cartucho para conexão exotérmica,  nº 150,  fab. MAXXWELD ou similar</v>
          </cell>
          <cell r="C8623" t="str">
            <v>ud</v>
          </cell>
          <cell r="D8623">
            <v>0</v>
          </cell>
          <cell r="E8623">
            <v>8.2200000000000006</v>
          </cell>
          <cell r="F8623">
            <v>8.2200000000000006</v>
          </cell>
        </row>
        <row r="8624">
          <cell r="A8624" t="str">
            <v>4218</v>
          </cell>
          <cell r="B8624" t="str">
            <v>ATERRAMENTO / SPDA</v>
          </cell>
        </row>
        <row r="8625">
          <cell r="A8625" t="str">
            <v>421801</v>
          </cell>
          <cell r="B8625" t="str">
            <v>Mastro para pára-raios ou antena de rádio composto por tubo de aço galvanizado à fogo, NBR-5624, bitola 1.1/2" ref. PRT-334, fab. PARATEC ou similar, comprimento 2m</v>
          </cell>
          <cell r="C8625" t="str">
            <v>ud</v>
          </cell>
          <cell r="D8625">
            <v>0</v>
          </cell>
          <cell r="E8625">
            <v>96</v>
          </cell>
          <cell r="F8625">
            <v>96</v>
          </cell>
        </row>
        <row r="8626">
          <cell r="A8626" t="str">
            <v>421802</v>
          </cell>
          <cell r="B8626" t="str">
            <v>Mastro para pára-raios ou antena de rádio composto por tubo de aço galvanizado à fogo, NBR-5624, bitola 1.1/2" ref. PRT 335, fab. PARATEC ou similar, comprimento 3m</v>
          </cell>
          <cell r="C8626" t="str">
            <v>ud</v>
          </cell>
          <cell r="D8626">
            <v>0</v>
          </cell>
          <cell r="E8626">
            <v>124</v>
          </cell>
          <cell r="F8626">
            <v>124</v>
          </cell>
        </row>
        <row r="8627">
          <cell r="A8627" t="str">
            <v>421803</v>
          </cell>
          <cell r="B8627" t="str">
            <v>Mastro para pára-raios ou antena de rádio composto por tubo de aço galvanizado à fogo, NBR-5624, bitola 1.1/2" ref. PRT-336, fab. PARATEC ou similar, comprimento 4m</v>
          </cell>
          <cell r="C8627" t="str">
            <v>ud</v>
          </cell>
          <cell r="D8627">
            <v>0</v>
          </cell>
          <cell r="E8627">
            <v>154</v>
          </cell>
          <cell r="F8627">
            <v>154</v>
          </cell>
        </row>
        <row r="8628">
          <cell r="A8628" t="str">
            <v>421804</v>
          </cell>
          <cell r="B8628" t="str">
            <v>Mastro para pára-raios ou antena de rádio composto por tubo de aço galvanizado à fogo, NBR-5624, bitola 1.1/2" ref. PRT-337, fab. PARATEC ou similar, comprimento 5m</v>
          </cell>
          <cell r="C8628" t="str">
            <v>ud</v>
          </cell>
          <cell r="D8628">
            <v>0</v>
          </cell>
          <cell r="E8628">
            <v>198</v>
          </cell>
          <cell r="F8628">
            <v>198</v>
          </cell>
        </row>
        <row r="8629">
          <cell r="A8629" t="str">
            <v>421805</v>
          </cell>
          <cell r="B8629" t="str">
            <v>Mastro para pára-raios ou antena de rádio composto por tubo de aço galvanizado à fogo, NBR-5624, bitola 1.1/2" ref. PRT-340, fab. PARATEC ou similar, comprimento 6m</v>
          </cell>
          <cell r="C8629" t="str">
            <v>ud</v>
          </cell>
          <cell r="D8629">
            <v>0</v>
          </cell>
          <cell r="E8629">
            <v>234</v>
          </cell>
          <cell r="F8629">
            <v>234</v>
          </cell>
        </row>
        <row r="8630">
          <cell r="A8630" t="str">
            <v>421806</v>
          </cell>
          <cell r="B8630" t="str">
            <v>Mastro para pára-raios ou antena de rádio composto por tubo de aço galvanizado à fogo, NBR-5624, bitola 2" ref. PRT-344, fab. PARATEC ou similar, comprimento 2m</v>
          </cell>
          <cell r="C8630" t="str">
            <v>ud</v>
          </cell>
          <cell r="D8630">
            <v>0</v>
          </cell>
          <cell r="E8630">
            <v>120</v>
          </cell>
          <cell r="F8630">
            <v>120</v>
          </cell>
        </row>
        <row r="8631">
          <cell r="A8631" t="str">
            <v>421807</v>
          </cell>
          <cell r="B8631" t="str">
            <v>Mastro para pára-raios ou antena de rádio composto por tubo de aço galvanizado à fogo, NBR-5624, bitola 2" ref. PRT-345, fab. PARATEC ou similar, comprimento 3m</v>
          </cell>
          <cell r="C8631" t="str">
            <v>ud</v>
          </cell>
          <cell r="D8631">
            <v>0</v>
          </cell>
          <cell r="E8631">
            <v>148</v>
          </cell>
          <cell r="F8631">
            <v>148</v>
          </cell>
        </row>
        <row r="8632">
          <cell r="A8632" t="str">
            <v>421808</v>
          </cell>
          <cell r="B8632" t="str">
            <v>Mastro para pára-raios ou antena de rádio composto por tubo de aço galvanizado à fogo, NBR-5624, bitola 2" ref. PRT-347, fab. PARATEC ou similar, comprimento 4m</v>
          </cell>
          <cell r="C8632" t="str">
            <v>ud</v>
          </cell>
          <cell r="D8632">
            <v>0</v>
          </cell>
          <cell r="E8632">
            <v>208</v>
          </cell>
          <cell r="F8632">
            <v>208</v>
          </cell>
        </row>
        <row r="8633">
          <cell r="A8633" t="str">
            <v>421809</v>
          </cell>
          <cell r="B8633" t="str">
            <v>Mastro para pára-raios ou antena de rádio composto por tubo de aço galvanizado à fogo, NBR-5624, bitola 2" ref. PRT-347, fab. PARATEC ou similar, comprimento 5m</v>
          </cell>
          <cell r="C8633" t="str">
            <v>ud</v>
          </cell>
          <cell r="D8633">
            <v>0</v>
          </cell>
          <cell r="E8633">
            <v>236</v>
          </cell>
          <cell r="F8633">
            <v>236</v>
          </cell>
        </row>
        <row r="8634">
          <cell r="A8634" t="str">
            <v>421810</v>
          </cell>
          <cell r="B8634" t="str">
            <v>Mastro para pára-raios ou antena de rádio composto por tubo de aço galvanizado à fogo, NBR-5624, bitola 2" ref. PRT-350, fab. PARATEC ou similar, comprimento 6m</v>
          </cell>
          <cell r="C8634" t="str">
            <v>ud</v>
          </cell>
          <cell r="D8634">
            <v>0</v>
          </cell>
          <cell r="E8634">
            <v>286</v>
          </cell>
          <cell r="F8634">
            <v>286</v>
          </cell>
        </row>
        <row r="8635">
          <cell r="A8635" t="str">
            <v>421811</v>
          </cell>
          <cell r="B8635" t="str">
            <v>Seccionador (isolador) pre-formado para cerca de arame farpado, resistência mecânica 450Kg, com duas alças pré-formadas, ref. SCM-0100, fab. PLP ou similar  (297107)</v>
          </cell>
          <cell r="C8635" t="str">
            <v>ud</v>
          </cell>
          <cell r="D8635">
            <v>0</v>
          </cell>
          <cell r="E8635">
            <v>3.23</v>
          </cell>
          <cell r="F8635">
            <v>3.23</v>
          </cell>
        </row>
        <row r="8636">
          <cell r="A8636" t="str">
            <v>421812</v>
          </cell>
          <cell r="B8636" t="str">
            <v>Suporte para instalação em telha de cerâmica, em aço galvanizado à fogo, fixação com parafuso, ref. PRT fab. PARATEC ou similar para telha tipo romana - PRT-1280</v>
          </cell>
          <cell r="C8636" t="str">
            <v>ud</v>
          </cell>
          <cell r="D8636">
            <v>0</v>
          </cell>
          <cell r="E8636">
            <v>11.2</v>
          </cell>
          <cell r="F8636">
            <v>11.2</v>
          </cell>
        </row>
        <row r="8637">
          <cell r="A8637" t="str">
            <v>421813</v>
          </cell>
          <cell r="B8637" t="str">
            <v>Suporte para instalação em telha de cerâmica, em aço galvanizado à fogo, fixação com parafuso, ref. PRT fab. PARATEC ou similar para telha tipo portuguesa - PRT-1282</v>
          </cell>
          <cell r="C8637" t="str">
            <v>ud</v>
          </cell>
          <cell r="D8637">
            <v>0</v>
          </cell>
          <cell r="E8637">
            <v>11.2</v>
          </cell>
          <cell r="F8637">
            <v>11.2</v>
          </cell>
        </row>
        <row r="8638">
          <cell r="A8638" t="str">
            <v>421814</v>
          </cell>
          <cell r="B8638" t="str">
            <v>Suporte para instalação em telha de cerâmica, em aço galvanizado à fogo, fixação com parafuso, ref. PRT fab. PARATEC ou similar para telha tipo francesa - PRT-1284</v>
          </cell>
          <cell r="C8638" t="str">
            <v>ud</v>
          </cell>
          <cell r="D8638">
            <v>0</v>
          </cell>
          <cell r="E8638">
            <v>11.2</v>
          </cell>
          <cell r="F8638">
            <v>11.2</v>
          </cell>
        </row>
        <row r="8639">
          <cell r="A8639" t="str">
            <v>421815</v>
          </cell>
          <cell r="B8639" t="str">
            <v>Haste de aterramento, núcleo de aço revestido por cobre eletrolítico, diâmetro 1/2", comprimento 2,40m, fab. INTELLI ou similar</v>
          </cell>
          <cell r="C8639" t="str">
            <v>ud</v>
          </cell>
          <cell r="D8639">
            <v>0</v>
          </cell>
          <cell r="E8639">
            <v>21.46</v>
          </cell>
          <cell r="F8639">
            <v>21.46</v>
          </cell>
        </row>
        <row r="8640">
          <cell r="A8640" t="str">
            <v>421816</v>
          </cell>
          <cell r="B8640" t="str">
            <v>Haste de aterramento zincada para cerca, tipo cantoneira, 3/16", 25x25mm, comprimento 2m</v>
          </cell>
          <cell r="C8640" t="str">
            <v>ud</v>
          </cell>
          <cell r="D8640">
            <v>0</v>
          </cell>
          <cell r="E8640">
            <v>33.58</v>
          </cell>
          <cell r="F8640">
            <v>33.58</v>
          </cell>
          <cell r="G8640">
            <v>11991</v>
          </cell>
        </row>
        <row r="8641">
          <cell r="A8641" t="str">
            <v>421817</v>
          </cell>
          <cell r="B8641" t="str">
            <v>Haste de aterramento, núcleo de aço revestido por cobre eletrolítico, alta camada, diâmetro 3/4", comprimento 2,40m. fab. INTELLI ou similar</v>
          </cell>
          <cell r="C8641" t="str">
            <v>ud</v>
          </cell>
          <cell r="D8641">
            <v>0</v>
          </cell>
          <cell r="E8641">
            <v>95.3</v>
          </cell>
          <cell r="F8641">
            <v>95.3</v>
          </cell>
        </row>
        <row r="8642">
          <cell r="A8642" t="str">
            <v>421818</v>
          </cell>
          <cell r="B8642" t="str">
            <v xml:space="preserve">Grampo tipo "U" de aço galvanizado à fogo, c/ porcas e arruelas, bitola 1.1/4" ref. GR/U-04, fab. BLINDA ou similar </v>
          </cell>
          <cell r="C8642" t="str">
            <v>ud</v>
          </cell>
          <cell r="D8642">
            <v>0</v>
          </cell>
          <cell r="E8642">
            <v>14.62</v>
          </cell>
          <cell r="F8642">
            <v>14.62</v>
          </cell>
        </row>
        <row r="8643">
          <cell r="A8643" t="str">
            <v>421819</v>
          </cell>
          <cell r="B8643" t="str">
            <v xml:space="preserve">Grampo tipo "U" de aço galvanizado à fogo, c/ porcas e arruelas, bitola 1.1/2" ref. GR/U-05, fab. BLINDA ou similar </v>
          </cell>
          <cell r="C8643" t="str">
            <v>ud</v>
          </cell>
          <cell r="D8643">
            <v>0</v>
          </cell>
          <cell r="E8643">
            <v>14.62</v>
          </cell>
          <cell r="F8643">
            <v>14.62</v>
          </cell>
        </row>
        <row r="8644">
          <cell r="A8644" t="str">
            <v>421820</v>
          </cell>
          <cell r="B8644" t="str">
            <v xml:space="preserve">Grampo tipo "U" de aço galvanizado à fogo, c/ porcas e arruelas, bitola 2" ref. GR/U-06, fab. BLINDA ou similar </v>
          </cell>
          <cell r="C8644" t="str">
            <v>ud</v>
          </cell>
          <cell r="D8644">
            <v>0</v>
          </cell>
          <cell r="E8644">
            <v>16.18</v>
          </cell>
          <cell r="F8644">
            <v>16.18</v>
          </cell>
        </row>
        <row r="8645">
          <cell r="A8645" t="str">
            <v>4219</v>
          </cell>
          <cell r="B8645" t="str">
            <v>CHAPA DE AÇO GALGAVIZADO</v>
          </cell>
        </row>
        <row r="8646">
          <cell r="A8646" t="str">
            <v>421901</v>
          </cell>
          <cell r="B8646" t="str">
            <v>Chapa xadrez para piso em aço galvanizado 3/16" (tampas das canaletas de cabos), dimensões 0,35x0,30m</v>
          </cell>
          <cell r="C8646" t="str">
            <v>ud</v>
          </cell>
          <cell r="D8646">
            <v>0</v>
          </cell>
          <cell r="E8646">
            <v>183.93</v>
          </cell>
          <cell r="F8646">
            <v>183.93</v>
          </cell>
        </row>
        <row r="8647">
          <cell r="A8647" t="str">
            <v>421902</v>
          </cell>
          <cell r="B8647" t="str">
            <v>Chapa xadrez para piso em aço galvanizado 3/16" (tampas das canaletas de cabos), dimensões 0,55x0,30m</v>
          </cell>
          <cell r="C8647" t="str">
            <v>ud</v>
          </cell>
          <cell r="D8647">
            <v>0</v>
          </cell>
          <cell r="E8647">
            <v>223.21</v>
          </cell>
          <cell r="F8647">
            <v>223.21</v>
          </cell>
        </row>
        <row r="8648">
          <cell r="A8648" t="str">
            <v>421903</v>
          </cell>
          <cell r="B8648" t="str">
            <v>Chapa xadrez para piso em aço galvanizado, 3/16" (tampas das canaletas de cabos), dimensões 0,65x0,30m</v>
          </cell>
          <cell r="C8648" t="str">
            <v>ud</v>
          </cell>
          <cell r="D8648">
            <v>0</v>
          </cell>
          <cell r="E8648">
            <v>242.86</v>
          </cell>
          <cell r="F8648">
            <v>242.86</v>
          </cell>
        </row>
        <row r="8649">
          <cell r="A8649" t="str">
            <v>421904</v>
          </cell>
          <cell r="B8649" t="str">
            <v>Contra chapa de aço galvanizado a fogo, nas dimensões das chapas de encosto dos suportes e terminal aéreo, fab. TERMOTÉCNICA ou similar</v>
          </cell>
          <cell r="C8649" t="str">
            <v>ud</v>
          </cell>
          <cell r="D8649">
            <v>0</v>
          </cell>
          <cell r="E8649">
            <v>10.07</v>
          </cell>
          <cell r="F8649">
            <v>10.07</v>
          </cell>
        </row>
        <row r="8650">
          <cell r="A8650" t="str">
            <v>421905</v>
          </cell>
          <cell r="B8650" t="str">
            <v>Chapa xadrez para piso em aço galvanizado 3/16" (tampas das canaletas de cabos), largura 0,35m</v>
          </cell>
          <cell r="C8650" t="str">
            <v>m</v>
          </cell>
          <cell r="D8650">
            <v>0</v>
          </cell>
          <cell r="E8650">
            <v>272.51</v>
          </cell>
          <cell r="F8650">
            <v>272.51</v>
          </cell>
        </row>
        <row r="8651">
          <cell r="A8651" t="str">
            <v>421906</v>
          </cell>
          <cell r="B8651" t="str">
            <v>Chapa xadrez para piso em aço galvanizado 3/16" (tampas das canaletas de cabos), largura 0,45m</v>
          </cell>
          <cell r="C8651" t="str">
            <v>m</v>
          </cell>
          <cell r="D8651">
            <v>0</v>
          </cell>
          <cell r="E8651">
            <v>334.73</v>
          </cell>
          <cell r="F8651">
            <v>334.73</v>
          </cell>
        </row>
        <row r="8652">
          <cell r="A8652" t="str">
            <v>421907</v>
          </cell>
          <cell r="B8652" t="str">
            <v>Chapa xadrez para piso em aço galvanizado 3/16" (tampas das canaletas de cabos), dimensões 0,55m</v>
          </cell>
          <cell r="C8652" t="str">
            <v>m</v>
          </cell>
          <cell r="D8652">
            <v>0</v>
          </cell>
          <cell r="E8652">
            <v>395.22</v>
          </cell>
          <cell r="F8652">
            <v>395.22</v>
          </cell>
        </row>
        <row r="8653">
          <cell r="A8653" t="str">
            <v>421908</v>
          </cell>
          <cell r="B8653" t="str">
            <v>Chapa xadrez para piso em aço galvanizado, 3/16" (tampas das canaletas de cabos), dimensões 0,65m</v>
          </cell>
          <cell r="C8653" t="str">
            <v>m</v>
          </cell>
          <cell r="D8653">
            <v>0</v>
          </cell>
          <cell r="E8653">
            <v>461.16</v>
          </cell>
          <cell r="F8653">
            <v>461.16</v>
          </cell>
        </row>
        <row r="8654">
          <cell r="A8654" t="str">
            <v>4220</v>
          </cell>
          <cell r="B8654" t="str">
            <v>CANALETA  E ACESSÓRIOS</v>
          </cell>
        </row>
        <row r="8655">
          <cell r="A8655" t="str">
            <v>422001</v>
          </cell>
          <cell r="B8655" t="str">
            <v>Acoplador para caixa em termoplástico auto-extinguível, sistema DLP, ref. 6487 91, fab. PIAL ou similar</v>
          </cell>
          <cell r="C8655" t="str">
            <v>ud</v>
          </cell>
          <cell r="D8655">
            <v>0</v>
          </cell>
          <cell r="E8655">
            <v>17.600000000000001</v>
          </cell>
          <cell r="F8655">
            <v>17.600000000000001</v>
          </cell>
        </row>
        <row r="8656">
          <cell r="A8656" t="str">
            <v>422002</v>
          </cell>
          <cell r="B8656" t="str">
            <v>Caixa de embutir em PVC, linha Tigreflex, 2"x4", ref. 33043538, fab. TIGRE ou similar</v>
          </cell>
          <cell r="C8656" t="str">
            <v>ud</v>
          </cell>
          <cell r="D8656">
            <v>0</v>
          </cell>
          <cell r="E8656">
            <v>1.75</v>
          </cell>
          <cell r="F8656">
            <v>1.75</v>
          </cell>
        </row>
        <row r="8657">
          <cell r="A8657" t="str">
            <v>422003</v>
          </cell>
          <cell r="B8657" t="str">
            <v>Caixa de embutir octogonal com fundo móvel, em PVC, linha Tigreflex, 4", ref. 33.04.315.5, fab. TIGRE ou similar</v>
          </cell>
          <cell r="C8657" t="str">
            <v>ud</v>
          </cell>
          <cell r="D8657">
            <v>0</v>
          </cell>
          <cell r="E8657">
            <v>3.46</v>
          </cell>
          <cell r="F8657">
            <v>3.46</v>
          </cell>
        </row>
        <row r="8658">
          <cell r="A8658" t="str">
            <v>422004</v>
          </cell>
          <cell r="B8658" t="str">
            <v>Caixa para 1 a 3 módulos em termoplástico auto-extinguível, sistema DLP, ref. 6487 99, fab. PIAL ou similar</v>
          </cell>
          <cell r="C8658" t="str">
            <v>ud</v>
          </cell>
          <cell r="D8658">
            <v>0</v>
          </cell>
          <cell r="E8658">
            <v>29.73</v>
          </cell>
          <cell r="F8658">
            <v>29.73</v>
          </cell>
        </row>
        <row r="8659">
          <cell r="A8659" t="str">
            <v>422005</v>
          </cell>
          <cell r="B8659" t="str">
            <v>Caixa para um módulo em termoplástico auto-extinguível, sistema DLP, ref. 6487 90, fab. PIAL ou similar</v>
          </cell>
          <cell r="C8659" t="str">
            <v>ud</v>
          </cell>
          <cell r="D8659">
            <v>0</v>
          </cell>
          <cell r="E8659">
            <v>48.56</v>
          </cell>
          <cell r="F8659">
            <v>48.56</v>
          </cell>
        </row>
        <row r="8660">
          <cell r="A8660" t="str">
            <v>422006</v>
          </cell>
          <cell r="B8660" t="str">
            <v>Canaleta em termoplástico auto-extinguível, sistema DLP, moldura 32x12,5mm, sem divisória, ref. 300 61, fab. PIAL ou similar</v>
          </cell>
          <cell r="C8660" t="str">
            <v>ud</v>
          </cell>
          <cell r="D8660">
            <v>0</v>
          </cell>
          <cell r="E8660">
            <v>21.4</v>
          </cell>
          <cell r="F8660">
            <v>21.4</v>
          </cell>
        </row>
        <row r="8661">
          <cell r="A8661" t="str">
            <v>422007</v>
          </cell>
          <cell r="B8661" t="str">
            <v>Canaleta rodapé, sistema DLP em material termoplástico auto-extinguível, 80x20mm, branco, ref. 300-69 (barra de 2m), fab. PIAL ou similar</v>
          </cell>
          <cell r="C8661" t="str">
            <v>ud</v>
          </cell>
          <cell r="D8661">
            <v>0</v>
          </cell>
          <cell r="E8661">
            <v>124.87</v>
          </cell>
          <cell r="F8661">
            <v>124.87</v>
          </cell>
        </row>
        <row r="8662">
          <cell r="A8662" t="str">
            <v>422008</v>
          </cell>
          <cell r="B8662" t="str">
            <v>Canaleta rodapé, sistema X em material termoplástico auto-extinguível, 50x20mm, branco, ref. 300-24 (barra de 2,1m), fab. PIAL ou similar</v>
          </cell>
          <cell r="C8662" t="str">
            <v>ud</v>
          </cell>
          <cell r="D8662">
            <v>0</v>
          </cell>
          <cell r="E8662">
            <v>61.84</v>
          </cell>
          <cell r="F8662">
            <v>61.84</v>
          </cell>
        </row>
        <row r="8663">
          <cell r="A8663" t="str">
            <v>422009</v>
          </cell>
          <cell r="B8663" t="str">
            <v>Cotovelo externo, sistema DLP em material termoplástico auto-extinguível, para canaleta 80x20mm, branco, ref. 337-46, fab. PIAL ou similar</v>
          </cell>
          <cell r="C8663" t="str">
            <v>ud</v>
          </cell>
          <cell r="D8663">
            <v>0</v>
          </cell>
          <cell r="E8663">
            <v>43.99</v>
          </cell>
          <cell r="F8663">
            <v>43.99</v>
          </cell>
        </row>
        <row r="8664">
          <cell r="A8664" t="str">
            <v>422010</v>
          </cell>
          <cell r="B8664" t="str">
            <v>Cotovelo interno, sistema X em material termoplástico auto-extinguível, para canaleta 50x20mm, branco, ref. 299 03, fab. PIAL ou similar</v>
          </cell>
          <cell r="C8664" t="str">
            <v>ud</v>
          </cell>
          <cell r="D8664">
            <v>0</v>
          </cell>
          <cell r="E8664">
            <v>10.41</v>
          </cell>
          <cell r="F8664">
            <v>10.41</v>
          </cell>
        </row>
        <row r="8665">
          <cell r="A8665" t="str">
            <v>422011</v>
          </cell>
          <cell r="B8665" t="str">
            <v>Cotovelo interno, sistema DLP em material termoplástico auto-extinguível, para canaleta 80x20mm, branco, ref. 337-45, fab. PIAL ou similar</v>
          </cell>
          <cell r="C8665" t="str">
            <v>ud</v>
          </cell>
          <cell r="D8665">
            <v>0</v>
          </cell>
          <cell r="E8665">
            <v>43.97</v>
          </cell>
          <cell r="F8665">
            <v>43.97</v>
          </cell>
        </row>
        <row r="8666">
          <cell r="A8666" t="str">
            <v>422012</v>
          </cell>
          <cell r="B8666" t="str">
            <v>Cotovelo externo, sistema X em material termoplástico auto-extinguível, para canaleta 50x20mm, branco, ref. 299 02, fab. PIAL ou similar</v>
          </cell>
          <cell r="C8666" t="str">
            <v>ud</v>
          </cell>
          <cell r="D8666">
            <v>0</v>
          </cell>
          <cell r="E8666">
            <v>9.81</v>
          </cell>
          <cell r="F8666">
            <v>9.81</v>
          </cell>
        </row>
        <row r="8667">
          <cell r="A8667" t="str">
            <v>422013</v>
          </cell>
          <cell r="B8667" t="str">
            <v>Cotovelo variável, 90º em termoplástico auto-extinguível, sistema X, ref. 302 53, fab. PIAL ou similar</v>
          </cell>
          <cell r="C8667" t="str">
            <v>ud</v>
          </cell>
          <cell r="D8667">
            <v>0</v>
          </cell>
          <cell r="E8667">
            <v>9.69</v>
          </cell>
          <cell r="F8667">
            <v>9.69</v>
          </cell>
        </row>
        <row r="8668">
          <cell r="A8668" t="str">
            <v>422014</v>
          </cell>
          <cell r="B8668" t="str">
            <v>Derivação T, sistema DLP em material termoplástico auto-extinguível, para canaleta 80x20mm, branco, ref. 336-70, fab. PIAL ou similar</v>
          </cell>
          <cell r="C8668" t="str">
            <v>ud</v>
          </cell>
          <cell r="D8668">
            <v>0</v>
          </cell>
          <cell r="E8668">
            <v>83.22</v>
          </cell>
          <cell r="F8668">
            <v>83.22</v>
          </cell>
        </row>
        <row r="8669">
          <cell r="A8669" t="str">
            <v>422015</v>
          </cell>
          <cell r="B8669" t="str">
            <v>Derivação T, sistema X em material termoplástico auto-extinguível, para canaleta 50x20mm, branco, ref. 299 04, fab. PIAL ou similar</v>
          </cell>
          <cell r="C8669" t="str">
            <v>ud</v>
          </cell>
          <cell r="D8669">
            <v>0</v>
          </cell>
          <cell r="E8669">
            <v>32.159999999999997</v>
          </cell>
          <cell r="F8669">
            <v>32.159999999999997</v>
          </cell>
        </row>
        <row r="8670">
          <cell r="A8670" t="str">
            <v>422016</v>
          </cell>
          <cell r="B8670" t="str">
            <v>Divisória interna, sistema DLP em material termoplástico auto-extinguível, branco, ref. 308-67 (barra de 2m), fab. PIAL ou similar</v>
          </cell>
          <cell r="C8670" t="str">
            <v>ud</v>
          </cell>
          <cell r="D8670">
            <v>0</v>
          </cell>
          <cell r="E8670">
            <v>29.87</v>
          </cell>
          <cell r="F8670">
            <v>29.87</v>
          </cell>
        </row>
        <row r="8671">
          <cell r="A8671" t="str">
            <v>422017</v>
          </cell>
          <cell r="B8671" t="str">
            <v>Luva, sistema DLP em material termoplástico auto-extinguível, para canaleta 80x20mm, branco, ref. 336-68, fab. PIAL ou similar</v>
          </cell>
          <cell r="C8671" t="str">
            <v>ud</v>
          </cell>
          <cell r="D8671">
            <v>0</v>
          </cell>
          <cell r="E8671">
            <v>20.74</v>
          </cell>
          <cell r="F8671">
            <v>20.74</v>
          </cell>
        </row>
        <row r="8672">
          <cell r="A8672" t="str">
            <v>422018</v>
          </cell>
          <cell r="B8672" t="str">
            <v>Luva, sistema X em material termoplástico auto-extinguível, para canaleta 50x20mm, branco, ref. 299 05, fab. PIAL ou similar</v>
          </cell>
          <cell r="C8672" t="str">
            <v>ud</v>
          </cell>
          <cell r="D8672">
            <v>0</v>
          </cell>
          <cell r="E8672">
            <v>7.56</v>
          </cell>
          <cell r="F8672">
            <v>7.56</v>
          </cell>
        </row>
        <row r="8673">
          <cell r="A8673" t="str">
            <v>422019</v>
          </cell>
          <cell r="B8673" t="str">
            <v xml:space="preserve">Placa para caixa 2"x4",1 furo para saída de fio ou tomada Jack Ø 1/4", ref. 8508 fab. PIAL ou similar </v>
          </cell>
          <cell r="C8673" t="str">
            <v>ud</v>
          </cell>
          <cell r="D8673">
            <v>0</v>
          </cell>
          <cell r="E8673">
            <v>4.67</v>
          </cell>
          <cell r="F8673">
            <v>4.67</v>
          </cell>
        </row>
        <row r="8674">
          <cell r="A8674" t="str">
            <v>422020</v>
          </cell>
          <cell r="B8674" t="str">
            <v>Placa para dois postos, sistema DLP em material termoplástico auto-extinguível, para canaleta 80x20mm, branco, ref. 6487-31, fab. PIAL ou similar</v>
          </cell>
          <cell r="C8674" t="str">
            <v>ud</v>
          </cell>
          <cell r="D8674">
            <v>0</v>
          </cell>
          <cell r="E8674">
            <v>16.48</v>
          </cell>
          <cell r="F8674">
            <v>16.48</v>
          </cell>
        </row>
        <row r="8675">
          <cell r="A8675" t="str">
            <v>422021</v>
          </cell>
          <cell r="B8675" t="str">
            <v>Placa para um posto, sistema DLP em material termoplástico auto-extinguível, para canaleta 80x20mm, branco, ref. 6487-30, fab. PIAL ou similar</v>
          </cell>
          <cell r="C8675" t="str">
            <v>ud</v>
          </cell>
          <cell r="D8675">
            <v>0</v>
          </cell>
          <cell r="E8675">
            <v>16.48</v>
          </cell>
          <cell r="F8675">
            <v>16.48</v>
          </cell>
        </row>
        <row r="8676">
          <cell r="A8676" t="str">
            <v>422022</v>
          </cell>
          <cell r="B8676" t="str">
            <v>Placa para três postos, sistema DLP em material termoplástico auto-extinguível, para canaleta 80x20mm, branco, ref. 6487-33, fab. PIAL ou similar</v>
          </cell>
          <cell r="C8676" t="str">
            <v>ud</v>
          </cell>
          <cell r="D8676">
            <v>0</v>
          </cell>
          <cell r="E8676">
            <v>16.48</v>
          </cell>
          <cell r="F8676">
            <v>16.48</v>
          </cell>
        </row>
        <row r="8677">
          <cell r="A8677" t="str">
            <v>422023</v>
          </cell>
          <cell r="B8677" t="str">
            <v>Placa para um posto, sistema X em material termoplástico auto-extinguível, para canaleta 50x20mm, branco, ref. 6487 30, fab. PIAL ou similar</v>
          </cell>
          <cell r="C8677" t="str">
            <v>ud</v>
          </cell>
          <cell r="D8677">
            <v>0</v>
          </cell>
          <cell r="E8677">
            <v>13</v>
          </cell>
          <cell r="F8677">
            <v>13</v>
          </cell>
        </row>
        <row r="8678">
          <cell r="A8678" t="str">
            <v>422024</v>
          </cell>
          <cell r="B8678" t="str">
            <v>Tampa de extremidade, sistema DLP em material termoplástico auto-extinguível, para canaleta 80x20mm, branco, ref. 337-44, fab. PIAL ou similar</v>
          </cell>
          <cell r="C8678" t="str">
            <v>ud</v>
          </cell>
          <cell r="D8678">
            <v>0</v>
          </cell>
          <cell r="E8678">
            <v>24.07</v>
          </cell>
          <cell r="F8678">
            <v>24.07</v>
          </cell>
        </row>
        <row r="8679">
          <cell r="A8679" t="str">
            <v>4221</v>
          </cell>
          <cell r="B8679" t="str">
            <v>DISJUNTORES TERMOMAGNÉTICOS E MINI-DISJUNTORES</v>
          </cell>
        </row>
        <row r="8680">
          <cell r="A8680" t="str">
            <v>422101</v>
          </cell>
          <cell r="B8680" t="str">
            <v xml:space="preserve">Disjuntor termomagnético, monopolar, em caixa moldada, tipo THQC, fab. GE ou similar, IN=50A - 10 KA  - 120VCA </v>
          </cell>
          <cell r="C8680" t="str">
            <v>ud</v>
          </cell>
          <cell r="D8680">
            <v>0</v>
          </cell>
          <cell r="E8680">
            <v>58.68</v>
          </cell>
          <cell r="F8680">
            <v>58.68</v>
          </cell>
        </row>
        <row r="8681">
          <cell r="A8681" t="str">
            <v>422102</v>
          </cell>
          <cell r="B8681" t="str">
            <v>Disjuntor termomagnético, monopolar, em caixa moldada, tipo THQC, fab. GE ou similar, IN=70A - 10 KA  - 120VCA</v>
          </cell>
          <cell r="C8681" t="str">
            <v>ud</v>
          </cell>
          <cell r="D8681">
            <v>0</v>
          </cell>
          <cell r="E8681">
            <v>68.849999999999994</v>
          </cell>
          <cell r="F8681">
            <v>68.849999999999994</v>
          </cell>
        </row>
        <row r="8682">
          <cell r="A8682" t="str">
            <v>422103</v>
          </cell>
          <cell r="B8682" t="str">
            <v>Disjuntor termomagnético, bipolar, em caixa moldada, tipo THQC,  fab. GE ou similar, IN=50A - 10 KA  - 220VCA (2902670)</v>
          </cell>
          <cell r="C8682" t="str">
            <v>ud</v>
          </cell>
          <cell r="D8682">
            <v>0</v>
          </cell>
          <cell r="E8682">
            <v>219.6</v>
          </cell>
          <cell r="F8682">
            <v>219.6</v>
          </cell>
        </row>
        <row r="8683">
          <cell r="A8683" t="str">
            <v>422104</v>
          </cell>
          <cell r="B8683" t="str">
            <v>Disjuntor termomagnético, bipolar, em caixa moldada, tipo THQC,  fab. GE ou similar, IN=70A - 10 KA  - 220VCA</v>
          </cell>
          <cell r="C8683" t="str">
            <v>ud</v>
          </cell>
          <cell r="D8683">
            <v>0</v>
          </cell>
          <cell r="E8683">
            <v>112.62</v>
          </cell>
          <cell r="F8683">
            <v>112.62</v>
          </cell>
        </row>
        <row r="8684">
          <cell r="A8684" t="str">
            <v>422105</v>
          </cell>
          <cell r="B8684" t="str">
            <v>Disjuntor termomagnético, bipolar, em caixa moldada, tipo THQC,  fab. GE ou similar, IN=100A - 10 KA  - 220VCA</v>
          </cell>
          <cell r="C8684" t="str">
            <v>ud</v>
          </cell>
          <cell r="D8684">
            <v>0</v>
          </cell>
          <cell r="E8684">
            <v>219.6</v>
          </cell>
          <cell r="F8684">
            <v>219.6</v>
          </cell>
        </row>
        <row r="8685">
          <cell r="A8685" t="str">
            <v>422106</v>
          </cell>
          <cell r="B8685" t="str">
            <v>Disjuntor termomagnético, bipolar, em caixa moldada, tipo TQC,  fab. GE ou similar, IN=50A - 5KA  - 220VCA</v>
          </cell>
          <cell r="C8685" t="str">
            <v>ud</v>
          </cell>
          <cell r="D8685">
            <v>0</v>
          </cell>
          <cell r="E8685">
            <v>54.29</v>
          </cell>
          <cell r="F8685">
            <v>54.29</v>
          </cell>
        </row>
        <row r="8686">
          <cell r="A8686" t="str">
            <v>422107</v>
          </cell>
          <cell r="B8686" t="str">
            <v>Disjuntor termomagnético, bipolar, em caixa moldada, tipo TQC,  fab. GE ou similar, IN=70A - 5KA  - 220VCA</v>
          </cell>
          <cell r="C8686" t="str">
            <v>ud</v>
          </cell>
          <cell r="D8686">
            <v>0</v>
          </cell>
          <cell r="E8686">
            <v>78.180000000000007</v>
          </cell>
          <cell r="F8686">
            <v>78.180000000000007</v>
          </cell>
        </row>
        <row r="8687">
          <cell r="A8687" t="str">
            <v>422108</v>
          </cell>
          <cell r="B8687" t="str">
            <v>Disjuntor termomagnético, bipolar, em caixa moldada, tipo TQC,  fab. GE ou similar, IN=100A -5KA - 220VCA</v>
          </cell>
          <cell r="C8687" t="str">
            <v>ud</v>
          </cell>
          <cell r="D8687">
            <v>0</v>
          </cell>
          <cell r="E8687">
            <v>75.760000000000005</v>
          </cell>
          <cell r="F8687">
            <v>75.760000000000005</v>
          </cell>
        </row>
        <row r="8688">
          <cell r="A8688" t="str">
            <v>422109</v>
          </cell>
          <cell r="B8688" t="str">
            <v>Disjuntor termomagnético, tripolar, em caixa moldada, tipo THQC,  fab. GE ou similar, IN=50A - 10KA  - 220VCA (291348)</v>
          </cell>
          <cell r="C8688" t="str">
            <v>ud</v>
          </cell>
          <cell r="D8688">
            <v>0</v>
          </cell>
          <cell r="E8688">
            <v>129.12</v>
          </cell>
          <cell r="F8688">
            <v>129.12</v>
          </cell>
        </row>
        <row r="8689">
          <cell r="A8689" t="str">
            <v>422110</v>
          </cell>
          <cell r="B8689" t="str">
            <v>Disjuntor termomagnético, tripolar, em caixa moldada, tipo THQC,  fab. GE ou similar, IN=70A - 10KA  - 220VCA (291210)</v>
          </cell>
          <cell r="C8689" t="str">
            <v>ud</v>
          </cell>
          <cell r="D8689">
            <v>0</v>
          </cell>
          <cell r="E8689">
            <v>133.26</v>
          </cell>
          <cell r="F8689">
            <v>133.26</v>
          </cell>
        </row>
        <row r="8690">
          <cell r="A8690" t="str">
            <v>422111</v>
          </cell>
          <cell r="B8690" t="str">
            <v>Disjuntor termomagnético, tripolar, em caixa moldada, tipo THQC,  fab. GE ou similar, IN=100A -10KA - 220VCA</v>
          </cell>
          <cell r="C8690" t="str">
            <v>ud</v>
          </cell>
          <cell r="D8690">
            <v>0</v>
          </cell>
          <cell r="E8690">
            <v>129.12</v>
          </cell>
          <cell r="F8690">
            <v>129.12</v>
          </cell>
        </row>
        <row r="8691">
          <cell r="A8691" t="str">
            <v>422112</v>
          </cell>
          <cell r="B8691" t="str">
            <v>Disjuntor termomagnético, tripolar, em caixa moldada, tipo TQC,  fab. GE ou similar, IN=50A - 5KA  - 220VCA (291348)</v>
          </cell>
          <cell r="C8691" t="str">
            <v>ud</v>
          </cell>
          <cell r="D8691">
            <v>0</v>
          </cell>
          <cell r="E8691">
            <v>71.040000000000006</v>
          </cell>
          <cell r="F8691">
            <v>71.040000000000006</v>
          </cell>
        </row>
        <row r="8692">
          <cell r="A8692" t="str">
            <v>422113</v>
          </cell>
          <cell r="B8692" t="str">
            <v>Disjuntor termomagnético, tripolar, em caixa moldada, tipo TQC,  fab. GE ou similar, IN=70A - 5KA  - 220VCA (291349)</v>
          </cell>
          <cell r="C8692" t="str">
            <v>ud</v>
          </cell>
          <cell r="D8692">
            <v>0</v>
          </cell>
          <cell r="E8692">
            <v>110.97</v>
          </cell>
          <cell r="F8692">
            <v>110.97</v>
          </cell>
        </row>
        <row r="8693">
          <cell r="A8693" t="str">
            <v>422114</v>
          </cell>
          <cell r="B8693" t="str">
            <v>Disjuntor termomagnético, tripolar, em caixa moldada, tipo TQC,  fab. GE ou similar, IN=100A - 5KA  - 220VCA</v>
          </cell>
          <cell r="C8693" t="str">
            <v>ud</v>
          </cell>
          <cell r="D8693">
            <v>0</v>
          </cell>
          <cell r="E8693">
            <v>102.54</v>
          </cell>
          <cell r="F8693">
            <v>102.54</v>
          </cell>
        </row>
        <row r="8694">
          <cell r="A8694" t="str">
            <v>422115</v>
          </cell>
          <cell r="B8694" t="str">
            <v xml:space="preserve">Disjuntor termomagnético, tripolar, em caixa moldada, 100A, tipo TMAX T1B-25kA + TMD 100A ,  fab. ABB ou similar  </v>
          </cell>
          <cell r="C8694" t="str">
            <v>ud</v>
          </cell>
          <cell r="D8694">
            <v>0</v>
          </cell>
          <cell r="E8694">
            <v>901.65</v>
          </cell>
          <cell r="F8694">
            <v>901.65</v>
          </cell>
        </row>
        <row r="8695">
          <cell r="A8695" t="str">
            <v>422116</v>
          </cell>
          <cell r="B8695" t="str">
            <v>Disjuntor termomagnético, tripolar, em caixa moldada, tipo TQD,  fab. GE ou similar, IN=125A - 10KA  - 220VCA (66109)</v>
          </cell>
          <cell r="C8695" t="str">
            <v>ud</v>
          </cell>
          <cell r="D8695">
            <v>0</v>
          </cell>
          <cell r="E8695">
            <v>252.51</v>
          </cell>
          <cell r="F8695">
            <v>252.51</v>
          </cell>
        </row>
        <row r="8696">
          <cell r="A8696" t="str">
            <v>422117</v>
          </cell>
          <cell r="B8696" t="str">
            <v>Disjuntor termomagnético, tripolar, em caixa moldada, tipo TQD,  fab. GE ou similar, IN=150A - 10KA  - 220VCA (46299)</v>
          </cell>
          <cell r="C8696" t="str">
            <v>ud</v>
          </cell>
          <cell r="D8696">
            <v>0</v>
          </cell>
          <cell r="E8696">
            <v>273.3</v>
          </cell>
          <cell r="F8696">
            <v>273.3</v>
          </cell>
        </row>
        <row r="8697">
          <cell r="A8697" t="str">
            <v>422118</v>
          </cell>
          <cell r="B8697" t="str">
            <v>Disjuntor termomagnético, tripolar, em caixa moldada, tipo TQD,  fab. GE ou similar, IN=175A - 10KA  - 220VCA (46302)</v>
          </cell>
          <cell r="C8697" t="str">
            <v>ud</v>
          </cell>
          <cell r="D8697">
            <v>0</v>
          </cell>
          <cell r="E8697">
            <v>273.3</v>
          </cell>
          <cell r="F8697">
            <v>273.3</v>
          </cell>
        </row>
        <row r="8698">
          <cell r="A8698" t="str">
            <v>422119</v>
          </cell>
          <cell r="B8698" t="str">
            <v>Disjuntor termomagnético, tripolar, em caixa moldada, tipo TQD,  fab. GE ou similar, IN=200A - 10KA  - 220VCA (46310)</v>
          </cell>
          <cell r="C8698" t="str">
            <v>ud</v>
          </cell>
          <cell r="D8698">
            <v>0</v>
          </cell>
          <cell r="E8698">
            <v>252.51</v>
          </cell>
          <cell r="F8698">
            <v>252.51</v>
          </cell>
        </row>
        <row r="8699">
          <cell r="A8699" t="str">
            <v>422120</v>
          </cell>
          <cell r="B8699" t="str">
            <v>Caixa de embutir em PVC, linha Tigreflex, 2"x4", ref. 33043538, fab. TIGRE ou similar</v>
          </cell>
          <cell r="C8699" t="str">
            <v>ud</v>
          </cell>
          <cell r="D8699">
            <v>0</v>
          </cell>
          <cell r="E8699">
            <v>2045.93</v>
          </cell>
          <cell r="F8699">
            <v>2045.93</v>
          </cell>
        </row>
        <row r="8700">
          <cell r="A8700" t="str">
            <v>422121</v>
          </cell>
          <cell r="B8700" t="str">
            <v>Disjuntor termomagnético, tripolar, em caixa moldada, tipo EZC400N3400N,  fab. SCHNEIDER ou similar, IN=400A - 36KA  - 400/415V</v>
          </cell>
          <cell r="C8700" t="str">
            <v>ud</v>
          </cell>
          <cell r="D8700">
            <v>0</v>
          </cell>
          <cell r="E8700">
            <v>2045.93</v>
          </cell>
          <cell r="F8700">
            <v>2045.93</v>
          </cell>
        </row>
        <row r="8701">
          <cell r="A8701" t="str">
            <v>422122</v>
          </cell>
          <cell r="B8701" t="str">
            <v>Disjuntor termomagnético, tripolar, em caixa moldada, tipo EZC250N3250,  fab. SCHNEIDER ou similar, IN=250A - 25KA  - 220/380V</v>
          </cell>
          <cell r="C8701" t="str">
            <v>ud</v>
          </cell>
          <cell r="D8701">
            <v>0</v>
          </cell>
          <cell r="E8701">
            <v>1149.1400000000001</v>
          </cell>
          <cell r="F8701">
            <v>1149.1400000000001</v>
          </cell>
        </row>
        <row r="8702">
          <cell r="A8702" t="str">
            <v>422123</v>
          </cell>
          <cell r="B8702" t="str">
            <v>Disjuntor termomagnético, tripolar, em caixa moldada, tipo EZC400H3320N,  fab. SCHNEIDER ou similar, IN=320A - 50KA  - 220/380V</v>
          </cell>
          <cell r="C8702" t="str">
            <v>ud</v>
          </cell>
          <cell r="D8702">
            <v>0</v>
          </cell>
          <cell r="E8702">
            <v>3318.47</v>
          </cell>
          <cell r="F8702">
            <v>3318.47</v>
          </cell>
        </row>
        <row r="8703">
          <cell r="A8703" t="str">
            <v>422124</v>
          </cell>
          <cell r="B8703" t="str">
            <v>Disjuntor termomagnético, tripolar, em caixa moldada, tipo EZC400H3350N,  fab. SCHNEIDER ou similar, IN=350A - 50KA  - 220/380V</v>
          </cell>
          <cell r="C8703" t="str">
            <v>ud</v>
          </cell>
          <cell r="D8703">
            <v>0</v>
          </cell>
          <cell r="E8703">
            <v>3318.47</v>
          </cell>
          <cell r="F8703">
            <v>3318.47</v>
          </cell>
        </row>
        <row r="8704">
          <cell r="A8704" t="str">
            <v>422125</v>
          </cell>
          <cell r="B8704" t="str">
            <v>Disjuntor termomagnético, tripolar, em caixa moldada, tipo EZC630H3500N,  fab. SCHNEIDER ou similar, IN=500A - 50KA  - 220/380V</v>
          </cell>
          <cell r="C8704" t="str">
            <v>ud</v>
          </cell>
          <cell r="D8704">
            <v>0</v>
          </cell>
          <cell r="E8704">
            <v>4481.6099999999997</v>
          </cell>
          <cell r="F8704">
            <v>4481.6099999999997</v>
          </cell>
        </row>
        <row r="8705">
          <cell r="A8705" t="str">
            <v>422126</v>
          </cell>
          <cell r="B8705" t="str">
            <v>Disjuntor termomagnético, tripolar, em caixa moldada, tipo EZC630H3500N,  fab. SCHNEIDER ou similar, IN=500A - 50KA  - 220/380V</v>
          </cell>
          <cell r="C8705" t="str">
            <v>ud</v>
          </cell>
          <cell r="D8705">
            <v>0</v>
          </cell>
          <cell r="E8705">
            <v>4780.41</v>
          </cell>
          <cell r="F8705">
            <v>4780.41</v>
          </cell>
        </row>
        <row r="8706">
          <cell r="A8706" t="str">
            <v>422128</v>
          </cell>
          <cell r="B8706" t="str">
            <v>Disjuntor termomagnético, tripolar Compact NS800N com disparador termomagnético / fixo, em caixa moldada,  fab. SCHNEIDER ou similar, IN=800A - 52KA  - 400/415V</v>
          </cell>
          <cell r="C8706" t="str">
            <v>ud</v>
          </cell>
          <cell r="D8706">
            <v>0</v>
          </cell>
          <cell r="E8706">
            <v>10142</v>
          </cell>
          <cell r="F8706">
            <v>10142</v>
          </cell>
        </row>
        <row r="8707">
          <cell r="A8707" t="str">
            <v>422129</v>
          </cell>
          <cell r="B8707" t="str">
            <v>Mini-Disjuntor, monopolar, 10A, curva "C", tipo iC60N, fab. SCHNEIDER ou similar (266043)</v>
          </cell>
          <cell r="C8707" t="str">
            <v>ud</v>
          </cell>
          <cell r="D8707">
            <v>0</v>
          </cell>
          <cell r="E8707">
            <v>49.58</v>
          </cell>
          <cell r="F8707">
            <v>49.58</v>
          </cell>
        </row>
        <row r="8708">
          <cell r="A8708" t="str">
            <v>422130</v>
          </cell>
          <cell r="B8708" t="str">
            <v>Mini-Disjuntor, monopolar, 16A, curva "C", tipo iC60N, fab. SCHNEIDER ou similar (281962)</v>
          </cell>
          <cell r="C8708" t="str">
            <v>ud</v>
          </cell>
          <cell r="D8708">
            <v>0</v>
          </cell>
          <cell r="E8708">
            <v>49.58</v>
          </cell>
          <cell r="F8708">
            <v>49.58</v>
          </cell>
        </row>
        <row r="8709">
          <cell r="A8709" t="str">
            <v>422131</v>
          </cell>
          <cell r="B8709" t="str">
            <v>Mini-Disjuntor, monopolar, 25A, curva "C", tipo iC60N, fab. SCHNEIDER ou similar (288123)</v>
          </cell>
          <cell r="C8709" t="str">
            <v>ud</v>
          </cell>
          <cell r="D8709">
            <v>0</v>
          </cell>
          <cell r="E8709">
            <v>49.58</v>
          </cell>
          <cell r="F8709">
            <v>49.58</v>
          </cell>
        </row>
        <row r="8710">
          <cell r="A8710" t="str">
            <v>422132</v>
          </cell>
          <cell r="B8710" t="str">
            <v xml:space="preserve">Mini-Disjuntor, monopolar, 50A, curva "C", tipo iC60N, fab. SCHNEIDER ou similar </v>
          </cell>
          <cell r="C8710" t="str">
            <v>ud</v>
          </cell>
          <cell r="D8710">
            <v>0</v>
          </cell>
          <cell r="E8710">
            <v>134.06</v>
          </cell>
          <cell r="F8710">
            <v>134.06</v>
          </cell>
        </row>
        <row r="8711">
          <cell r="A8711" t="str">
            <v>422133</v>
          </cell>
          <cell r="B8711" t="str">
            <v>Mini-Disjuntor, bipolar, 50A, curva "C", tipo iC60N, fab. SCHNEIDER ou similar (87831)</v>
          </cell>
          <cell r="C8711" t="str">
            <v>ud</v>
          </cell>
          <cell r="D8711">
            <v>0</v>
          </cell>
          <cell r="E8711">
            <v>307.54000000000002</v>
          </cell>
          <cell r="F8711">
            <v>307.54000000000002</v>
          </cell>
        </row>
        <row r="8712">
          <cell r="A8712" t="str">
            <v>422134</v>
          </cell>
          <cell r="B8712" t="str">
            <v>Disjuntor termomagnético, unipolar, tipo DIN,  mod. 5SX1 150-7, fab. Siemens ou similar, IN=50A - 5 KA  - 220VCA</v>
          </cell>
          <cell r="C8712" t="str">
            <v>ud</v>
          </cell>
          <cell r="D8712">
            <v>0</v>
          </cell>
          <cell r="E8712">
            <v>8.32</v>
          </cell>
          <cell r="F8712">
            <v>8.32</v>
          </cell>
        </row>
        <row r="8713">
          <cell r="A8713" t="str">
            <v>422135</v>
          </cell>
          <cell r="B8713" t="str">
            <v>Disjuntor termomagnético, unipolar, tipo DIN,  mod. 5SX1 163-7, fab. Siemens ou similar, IN=63A - 5 KA  - 220VCA</v>
          </cell>
          <cell r="C8713" t="str">
            <v>ud</v>
          </cell>
          <cell r="D8713">
            <v>0</v>
          </cell>
          <cell r="E8713">
            <v>11.83</v>
          </cell>
          <cell r="F8713">
            <v>11.83</v>
          </cell>
        </row>
        <row r="8714">
          <cell r="A8714" t="str">
            <v>422136</v>
          </cell>
          <cell r="B8714" t="str">
            <v>Disjuntor termomagnético, bipolar, tipo DIN,  mod. 5SX1 250-7, fab. Siemens ou similar, IN=50A - 5 KA  - 220VCA</v>
          </cell>
          <cell r="C8714" t="str">
            <v>ud</v>
          </cell>
          <cell r="D8714">
            <v>0</v>
          </cell>
          <cell r="E8714">
            <v>29.62</v>
          </cell>
          <cell r="F8714">
            <v>29.62</v>
          </cell>
        </row>
        <row r="8715">
          <cell r="A8715" t="str">
            <v>422137</v>
          </cell>
          <cell r="B8715" t="str">
            <v>Disjuntor termomagnético, bipolar, tipo DIN,  mod. 5SX1 263-7, fab. Siemens ou similar, IN=63A - 5 KA  - 220VCA</v>
          </cell>
          <cell r="C8715" t="str">
            <v>ud</v>
          </cell>
          <cell r="D8715">
            <v>0</v>
          </cell>
          <cell r="E8715">
            <v>42.38</v>
          </cell>
          <cell r="F8715">
            <v>42.38</v>
          </cell>
        </row>
        <row r="8716">
          <cell r="A8716" t="str">
            <v>422138</v>
          </cell>
          <cell r="B8716" t="str">
            <v>Disjuntor termomagnético, bipolar, tipo DIN,  mod. 5SX1 270-7, fab. Siemens ou similar, IN=70A - 5 KA  - 220VCA</v>
          </cell>
          <cell r="C8716" t="str">
            <v>ud</v>
          </cell>
          <cell r="D8716">
            <v>0</v>
          </cell>
          <cell r="E8716">
            <v>42.38</v>
          </cell>
          <cell r="F8716">
            <v>42.38</v>
          </cell>
        </row>
        <row r="8717">
          <cell r="A8717" t="str">
            <v>422139</v>
          </cell>
          <cell r="B8717" t="str">
            <v>Disjuntor termomagnético, bipolar, tipo DIN, curva C, MDW-C100-2, ref. 10075745, fab. WEG ou similar, IN=100A - 5 KA  - 220VCA</v>
          </cell>
          <cell r="C8717" t="str">
            <v>ud</v>
          </cell>
          <cell r="D8717">
            <v>0</v>
          </cell>
          <cell r="E8717">
            <v>99.52</v>
          </cell>
          <cell r="F8717">
            <v>99.52</v>
          </cell>
        </row>
        <row r="8718">
          <cell r="A8718" t="str">
            <v>422140</v>
          </cell>
          <cell r="B8718" t="str">
            <v>Disjuntor termomagnético, bipolar, tipo DIN, curva C, MDW-C100-2, ref. 10075745, fab. WEG ou similar, IN=100A - 5 KA  - 220VCA</v>
          </cell>
          <cell r="C8718" t="str">
            <v>ud</v>
          </cell>
          <cell r="D8718">
            <v>0</v>
          </cell>
          <cell r="E8718">
            <v>99.52</v>
          </cell>
          <cell r="F8718">
            <v>99.52</v>
          </cell>
        </row>
        <row r="8719">
          <cell r="A8719" t="str">
            <v>422141</v>
          </cell>
          <cell r="B8719" t="str">
            <v>Disjuntor termomagnético, tripolar, tipo DIN,  mod. 5SX1 350-7, fab. Siemens ou similar, IN=50A - 5 KA  - 220VCA (278513)</v>
          </cell>
          <cell r="C8719" t="str">
            <v>ud</v>
          </cell>
          <cell r="D8719">
            <v>0</v>
          </cell>
          <cell r="E8719">
            <v>35.520000000000003</v>
          </cell>
          <cell r="F8719">
            <v>35.520000000000003</v>
          </cell>
        </row>
        <row r="8720">
          <cell r="A8720" t="str">
            <v>422142</v>
          </cell>
          <cell r="B8720" t="str">
            <v>Disjuntor termomagnético, tripolar, tipo DIN,  mod. 5SX1 363-7, fab. Siemens ou similar, IN=63A - 5 KA  - 220VCA (295994)</v>
          </cell>
          <cell r="C8720" t="str">
            <v>ud</v>
          </cell>
          <cell r="D8720">
            <v>0</v>
          </cell>
          <cell r="E8720">
            <v>52.02</v>
          </cell>
          <cell r="F8720">
            <v>52.02</v>
          </cell>
        </row>
        <row r="8721">
          <cell r="A8721" t="str">
            <v>422143</v>
          </cell>
          <cell r="B8721" t="str">
            <v>Disjuntor termomagnético, tripolar, tipo DIN,  mod. 5SX1 370-7, fab. Siemens ou similar, IN=70A - 5 KA  - 220VCA (281971)</v>
          </cell>
          <cell r="C8721" t="str">
            <v>ud</v>
          </cell>
          <cell r="D8721">
            <v>0</v>
          </cell>
          <cell r="E8721">
            <v>52.02</v>
          </cell>
          <cell r="F8721">
            <v>52.02</v>
          </cell>
        </row>
        <row r="8722">
          <cell r="A8722" t="str">
            <v>422144</v>
          </cell>
          <cell r="B8722" t="str">
            <v>Disjuntor termomagnético, tripolar, tipo DIN,  mod. 5SX1 380-7, fab. Siemens ou similar, IN=80A - 5 KA  - 220VCA (278521)</v>
          </cell>
          <cell r="C8722" t="str">
            <v>ud</v>
          </cell>
          <cell r="D8722">
            <v>0</v>
          </cell>
          <cell r="E8722">
            <v>67.290000000000006</v>
          </cell>
          <cell r="F8722">
            <v>67.290000000000006</v>
          </cell>
        </row>
        <row r="8723">
          <cell r="A8723" t="str">
            <v>422145</v>
          </cell>
          <cell r="B8723" t="str">
            <v>Disjuntor termomagnético, tripolar, tipo DIN, curva C,  MDW-C80-3, ref. 10075739, fab.  WEG ou similar, IN=80A - 5 KA  - 220VCA</v>
          </cell>
          <cell r="C8723" t="str">
            <v>ud</v>
          </cell>
          <cell r="D8723">
            <v>0</v>
          </cell>
          <cell r="E8723">
            <v>115</v>
          </cell>
          <cell r="F8723">
            <v>115</v>
          </cell>
        </row>
        <row r="8724">
          <cell r="A8724" t="str">
            <v>422146</v>
          </cell>
          <cell r="B8724" t="str">
            <v>Disjuntor termomagnético, monopolar, curva C, ACTI9 IC60N1PC50, ref. A9F74150, fab. Schneider ou similar, IN= 50A - 5 KA - 220V</v>
          </cell>
          <cell r="C8724" t="str">
            <v>ud</v>
          </cell>
          <cell r="D8724">
            <v>0</v>
          </cell>
          <cell r="E8724">
            <v>128.53</v>
          </cell>
          <cell r="F8724">
            <v>128.53</v>
          </cell>
        </row>
        <row r="8725">
          <cell r="A8725" t="str">
            <v>422147</v>
          </cell>
          <cell r="B8725" t="str">
            <v>Disjuntor termomagnético, caixa moldada, monopolar, ref. EZC100H1080, fab. Schneider ou similar, IN= 80A - 25 KA - 240V</v>
          </cell>
          <cell r="C8725" t="str">
            <v>ud</v>
          </cell>
          <cell r="D8725">
            <v>0</v>
          </cell>
          <cell r="E8725">
            <v>246.14</v>
          </cell>
          <cell r="F8725">
            <v>246.14</v>
          </cell>
        </row>
        <row r="8726">
          <cell r="A8726" t="str">
            <v>422148</v>
          </cell>
          <cell r="B8726" t="str">
            <v>Disjuntor termomagnético, bipolar, curva C, ACTI9 IC60N2PC50, ref. A9F74250, fab. Schneider ou similar, IN= 50A - 5 KA - 220V</v>
          </cell>
          <cell r="C8726" t="str">
            <v>ud</v>
          </cell>
          <cell r="D8726">
            <v>0</v>
          </cell>
          <cell r="E8726">
            <v>294.83999999999997</v>
          </cell>
          <cell r="F8726">
            <v>294.83999999999997</v>
          </cell>
        </row>
        <row r="8727">
          <cell r="A8727" t="str">
            <v>422149</v>
          </cell>
          <cell r="B8727" t="str">
            <v>Disjuntor termomagnético, caixa moldada, bipolar, ref. EZC100H2080, fab. Schneider ou similar, IN= 80A - 25 KA - 240V</v>
          </cell>
          <cell r="C8727" t="str">
            <v>ud</v>
          </cell>
          <cell r="D8727">
            <v>0</v>
          </cell>
          <cell r="E8727">
            <v>383.17</v>
          </cell>
          <cell r="F8727">
            <v>383.17</v>
          </cell>
        </row>
        <row r="8728">
          <cell r="A8728" t="str">
            <v>422150</v>
          </cell>
          <cell r="B8728" t="str">
            <v>Disjuntor termomagnético, caixa moldada, bipolar, ref. EZC100H2100, fab. Schneider ou similar, IN= 100A - 50 KA - 240V</v>
          </cell>
          <cell r="C8728" t="str">
            <v>ud</v>
          </cell>
          <cell r="D8728">
            <v>0</v>
          </cell>
          <cell r="E8728">
            <v>388.39</v>
          </cell>
          <cell r="F8728">
            <v>388.39</v>
          </cell>
        </row>
        <row r="8729">
          <cell r="A8729" t="str">
            <v>422151</v>
          </cell>
          <cell r="B8729" t="str">
            <v>Disjuntor termomagnético, tripolar, curva C, ACTI9 IC60N3PC50, ref. A9F74350, fab. Schneider ou similar, IN= 50A - 5 KA - 220V (278513)</v>
          </cell>
          <cell r="C8729" t="str">
            <v>ud</v>
          </cell>
          <cell r="D8729">
            <v>0</v>
          </cell>
          <cell r="E8729">
            <v>327.64</v>
          </cell>
          <cell r="F8729">
            <v>327.64</v>
          </cell>
        </row>
        <row r="8730">
          <cell r="A8730" t="str">
            <v>422152</v>
          </cell>
          <cell r="B8730" t="str">
            <v>Disjuntor termomagnético, caixa moldada, tripolar, ref. EZC100N3080, fab. Schneider ou similar, IN= 80A - 25 KA - 240V</v>
          </cell>
          <cell r="C8730" t="str">
            <v>ud</v>
          </cell>
          <cell r="D8730">
            <v>0</v>
          </cell>
          <cell r="E8730">
            <v>350.27</v>
          </cell>
          <cell r="F8730">
            <v>350.27</v>
          </cell>
        </row>
        <row r="8731">
          <cell r="A8731" t="str">
            <v>422153</v>
          </cell>
          <cell r="B8731" t="str">
            <v>Disjuntor termomagnético, caixa moldada, tripolar, ref. EZC100N3100, fab. Schneider ou similar, IN= 100A - 25 KA - 240V</v>
          </cell>
          <cell r="C8731" t="str">
            <v>ud</v>
          </cell>
          <cell r="D8731">
            <v>0</v>
          </cell>
          <cell r="E8731">
            <v>335.79</v>
          </cell>
          <cell r="F8731">
            <v>335.79</v>
          </cell>
        </row>
        <row r="8732">
          <cell r="A8732" t="str">
            <v>4222</v>
          </cell>
          <cell r="B8732" t="str">
            <v>ELETROCALHAS, LEITOS E CONEXÕES</v>
          </cell>
          <cell r="C8732">
            <v>0</v>
          </cell>
          <cell r="D8732">
            <v>0</v>
          </cell>
          <cell r="E8732">
            <v>0</v>
          </cell>
          <cell r="F8732">
            <v>0</v>
          </cell>
        </row>
        <row r="8733">
          <cell r="A8733" t="str">
            <v>422201</v>
          </cell>
          <cell r="B8733" t="str">
            <v>Duto de alumínio duplo, cor branca, 45x73x3000mm, ref. DT14440, fab. DUTOTEC ou similar</v>
          </cell>
          <cell r="C8733" t="str">
            <v>ud</v>
          </cell>
          <cell r="D8733">
            <v>0</v>
          </cell>
          <cell r="E8733">
            <v>66.599999999999994</v>
          </cell>
          <cell r="F8733">
            <v>66.599999999999994</v>
          </cell>
        </row>
        <row r="8734">
          <cell r="A8734" t="str">
            <v>422202</v>
          </cell>
          <cell r="B8734" t="str">
            <v>Eletrocalha em aço galvanizado a fogo, chapa 18 MSG lisa, ref. DP700,  com tampa normal, comprimento 3,0 m, fab. DISPAN ou similar, dimensões 50x100mm</v>
          </cell>
          <cell r="C8734" t="str">
            <v>ud</v>
          </cell>
          <cell r="D8734">
            <v>0</v>
          </cell>
          <cell r="E8734">
            <v>76.69</v>
          </cell>
          <cell r="F8734">
            <v>76.69</v>
          </cell>
        </row>
        <row r="8735">
          <cell r="A8735" t="str">
            <v>422203</v>
          </cell>
          <cell r="B8735" t="str">
            <v>Eletrocalha em aço galvanizado a fogo, chapa 18 MSG lisa, ref. DP700,  com tampa normal, comprimento 3,0 m, fab. DISPAN ou similar, dimensões 75x100mm</v>
          </cell>
          <cell r="C8735" t="str">
            <v>ud</v>
          </cell>
          <cell r="D8735">
            <v>0</v>
          </cell>
          <cell r="E8735">
            <v>97.91</v>
          </cell>
          <cell r="F8735">
            <v>97.91</v>
          </cell>
        </row>
        <row r="8736">
          <cell r="A8736" t="str">
            <v>422204</v>
          </cell>
          <cell r="B8736" t="str">
            <v>Eletrocalha em aço galvanizado a fogo, chapa 18 MSG lisa, ref. DP700,  com tampa normal, comprimento 3,0 m, fab. DISPAN ou similar, dimensões 100x100mm</v>
          </cell>
          <cell r="C8736" t="str">
            <v>ud</v>
          </cell>
          <cell r="D8736">
            <v>0</v>
          </cell>
          <cell r="E8736">
            <v>102.77</v>
          </cell>
          <cell r="F8736">
            <v>102.77</v>
          </cell>
        </row>
        <row r="8737">
          <cell r="A8737" t="str">
            <v>422205</v>
          </cell>
          <cell r="B8737" t="str">
            <v>Eletrocalha em aço galvanizado a fogo, chapa 18 MSG lisa, ref. DP700,  com tampa normal, comprimento 3,0 m, fab. DISPAN ou similar, dimensões 100x150mm</v>
          </cell>
          <cell r="C8737" t="str">
            <v>ud</v>
          </cell>
          <cell r="D8737">
            <v>0</v>
          </cell>
          <cell r="E8737">
            <v>172.62</v>
          </cell>
          <cell r="F8737">
            <v>172.62</v>
          </cell>
        </row>
        <row r="8738">
          <cell r="A8738" t="str">
            <v>422206</v>
          </cell>
          <cell r="B8738" t="str">
            <v>Eletrocalha em aço galvanizado a fogo, chapa 18 MSG lisa, ref. DP700,  com tampa normal, comprimento 3,0 m, fab. DISPAN ou similar, dimensões 100x200mm</v>
          </cell>
          <cell r="C8738" t="str">
            <v>ud</v>
          </cell>
          <cell r="D8738">
            <v>0</v>
          </cell>
          <cell r="E8738">
            <v>223.15</v>
          </cell>
          <cell r="F8738">
            <v>223.15</v>
          </cell>
        </row>
        <row r="8739">
          <cell r="A8739" t="str">
            <v>422207</v>
          </cell>
          <cell r="B8739" t="str">
            <v>Eletrocalha em aço galvanizado a fogo, chapa 18 MSG lisa, ref. DP700,  com tampa normal, comprimento 3,0 m, fab. DISPAN ou similar, dimensões 100x300mm</v>
          </cell>
          <cell r="C8739" t="str">
            <v>ud</v>
          </cell>
          <cell r="D8739">
            <v>0</v>
          </cell>
          <cell r="E8739">
            <v>307.62</v>
          </cell>
          <cell r="F8739">
            <v>307.62</v>
          </cell>
        </row>
        <row r="8740">
          <cell r="A8740" t="str">
            <v>422208</v>
          </cell>
          <cell r="B8740" t="str">
            <v>Eletrocalha em aço galvanizado a fogo, chapa 18 MSG perfurada, ref. DP702,  com tampa normal, comprimento 3,0 m, fab. DISPAN ou similar, dimensões 75x100mm</v>
          </cell>
          <cell r="C8740" t="str">
            <v>ud</v>
          </cell>
          <cell r="D8740">
            <v>0</v>
          </cell>
          <cell r="E8740">
            <v>115.93</v>
          </cell>
          <cell r="F8740">
            <v>115.93</v>
          </cell>
        </row>
        <row r="8741">
          <cell r="A8741" t="str">
            <v>422209</v>
          </cell>
          <cell r="B8741" t="str">
            <v>Eletrocalha em aço galvanizado a fogo, chapa 18 MSG perfurada, ref. DP702,  com tampa normal, comprimento 3,0 m, fab. DISPAN ou similar, dimensões 100x100mm (296267)</v>
          </cell>
          <cell r="C8741" t="str">
            <v>ud</v>
          </cell>
          <cell r="D8741">
            <v>0</v>
          </cell>
          <cell r="E8741">
            <v>148.77000000000001</v>
          </cell>
          <cell r="F8741">
            <v>148.77000000000001</v>
          </cell>
        </row>
        <row r="8742">
          <cell r="A8742" t="str">
            <v>422210</v>
          </cell>
          <cell r="B8742" t="str">
            <v>Eletrocalha em aço galvanizado a fogo, chapa 18 MSG perfurada, ref. DP702,  com tampa normal, comprimento 3,0 m, fab. DISPAN ou similar, dimensões 100x150mm</v>
          </cell>
          <cell r="C8742" t="str">
            <v>ud</v>
          </cell>
          <cell r="D8742">
            <v>0</v>
          </cell>
          <cell r="E8742">
            <v>172.62</v>
          </cell>
          <cell r="F8742">
            <v>172.62</v>
          </cell>
        </row>
        <row r="8743">
          <cell r="A8743" t="str">
            <v>422211</v>
          </cell>
          <cell r="B8743" t="str">
            <v>Eletrocalha em aço galvanizado a fogo, chapa 18 MSG perfurada, ref. DP702,  com tampa normal, comprimento 3,0 m, fab. DISPAN ou similar, dimensões 100x200mm</v>
          </cell>
          <cell r="C8743" t="str">
            <v>ud</v>
          </cell>
          <cell r="D8743">
            <v>0</v>
          </cell>
          <cell r="E8743">
            <v>204.65</v>
          </cell>
          <cell r="F8743">
            <v>204.65</v>
          </cell>
        </row>
        <row r="8744">
          <cell r="A8744" t="str">
            <v>422212</v>
          </cell>
          <cell r="B8744" t="str">
            <v>Eletrocalha em aço galvanizado a fogo, chapa 18 MSG perfurada, ref. DP702,  com tampa normal, comprimento 3,0 m, fab. DISPAN ou similar, dimensões 100x300mm</v>
          </cell>
          <cell r="C8744" t="str">
            <v>ud</v>
          </cell>
          <cell r="D8744">
            <v>0</v>
          </cell>
          <cell r="E8744">
            <v>348.65</v>
          </cell>
          <cell r="F8744">
            <v>348.65</v>
          </cell>
        </row>
        <row r="8745">
          <cell r="A8745" t="str">
            <v>422214</v>
          </cell>
          <cell r="B8745" t="str">
            <v>Leito para cabos semi pesado, em aço galvanizado a fogo, com 2 longarinas paralelas de 75x19, virolas na parte externa, 150 x 3000mm, travessas cravadas 19x38mm, espaçadas c/ 250mm, ref. DP-802, fab. DISPAN ou similar</v>
          </cell>
          <cell r="C8745" t="str">
            <v>ud</v>
          </cell>
          <cell r="D8745">
            <v>0</v>
          </cell>
          <cell r="E8745">
            <v>132.12</v>
          </cell>
          <cell r="F8745">
            <v>132.12</v>
          </cell>
        </row>
        <row r="8746">
          <cell r="A8746" t="str">
            <v>422215</v>
          </cell>
          <cell r="B8746" t="str">
            <v>Leito para cabos leve, em aço galvanizado a fogo, com 2 longarinas paralelas de 60x18, virolas na parte externa, 300 x 3000mm, travessas cravadas 10x30mm, espaçadas c/ 200mm, ref. DISPAN ou similar</v>
          </cell>
          <cell r="C8746" t="str">
            <v>ud</v>
          </cell>
          <cell r="D8746">
            <v>0</v>
          </cell>
          <cell r="E8746">
            <v>102.6</v>
          </cell>
          <cell r="F8746">
            <v>102.6</v>
          </cell>
        </row>
        <row r="8747">
          <cell r="A8747" t="str">
            <v>422216</v>
          </cell>
          <cell r="B8747" t="str">
            <v>Leito para cabos leve, em  aço galvanizado a fogo, com 2 longarinas paralelas de 60x18, virolas na parte externa, 500 x 3000mm, travessas cravadas 10x30mm, espaçadas c/ 200mm, ref. DISPAN ou similar</v>
          </cell>
          <cell r="C8747" t="str">
            <v>ud</v>
          </cell>
          <cell r="D8747">
            <v>0</v>
          </cell>
          <cell r="E8747">
            <v>123.97</v>
          </cell>
          <cell r="F8747">
            <v>123.97</v>
          </cell>
        </row>
        <row r="8748">
          <cell r="A8748" t="str">
            <v>422217</v>
          </cell>
          <cell r="B8748" t="str">
            <v>Leito para cabos semi pesado, em aço galvanizado a fogo, com 2 longarinas paralelas de 75x19, virolas na parte externa, 300 x 3000mm, travessas cravadas 19x38mm, espaçadas c/ 500mm, ref. DISPAN ou similar</v>
          </cell>
          <cell r="C8748" t="str">
            <v>ud</v>
          </cell>
          <cell r="D8748">
            <v>0</v>
          </cell>
          <cell r="E8748">
            <v>114.2</v>
          </cell>
          <cell r="F8748">
            <v>114.2</v>
          </cell>
        </row>
        <row r="8749">
          <cell r="A8749" t="str">
            <v>422218</v>
          </cell>
          <cell r="B8749" t="str">
            <v>Leito para cabos semi pesado, em aço galvanizado a fogo, com 2 longarinas paralelas de 75x19, virolas na parte externa, 500 x 3000mm, travessas cravadas 19x38mm, espaçadas c/ 500mm, ref. DISPAN ou similar</v>
          </cell>
          <cell r="C8749" t="str">
            <v>ud</v>
          </cell>
          <cell r="D8749">
            <v>0</v>
          </cell>
          <cell r="E8749">
            <v>137.47999999999999</v>
          </cell>
          <cell r="F8749">
            <v>137.47999999999999</v>
          </cell>
        </row>
        <row r="8750">
          <cell r="A8750" t="str">
            <v>422219</v>
          </cell>
          <cell r="B8750" t="str">
            <v>Leito para cabos pesado, em  aço galvanizado a fogo, com 2 longarinas paralelas de  100x19, virolas na parte externa, 500 x 3000mm, travessas cravadas  38x38mm, espaçadas com 500mm, ref. DISPAN ou similar</v>
          </cell>
          <cell r="C8750" t="str">
            <v>ud</v>
          </cell>
          <cell r="D8750">
            <v>0</v>
          </cell>
          <cell r="E8750">
            <v>124.22</v>
          </cell>
          <cell r="F8750">
            <v>124.22</v>
          </cell>
        </row>
        <row r="8751">
          <cell r="A8751" t="str">
            <v>422220</v>
          </cell>
          <cell r="B8751" t="str">
            <v>Leito para cabos pesado, em  aço galvanizado a fogo, com 2 longarinas paralelas de  100x19, virolas na parte externa, 400 x 3000mm, travessas cravadas  38x38mm, espaçadas com 500mm, ref. DISPAN ou similar</v>
          </cell>
          <cell r="C8751" t="str">
            <v>ud</v>
          </cell>
          <cell r="D8751">
            <v>0</v>
          </cell>
          <cell r="E8751">
            <v>179.01</v>
          </cell>
          <cell r="F8751">
            <v>179.01</v>
          </cell>
        </row>
        <row r="8752">
          <cell r="A8752" t="str">
            <v>422221</v>
          </cell>
          <cell r="B8752" t="str">
            <v>Acoplamento para painel, de aço galvanizado a fogo,  ref. DP-734, fab. DISPAN ou similar, dimensões 50x100mm</v>
          </cell>
          <cell r="C8752" t="str">
            <v>ud</v>
          </cell>
          <cell r="D8752">
            <v>0</v>
          </cell>
          <cell r="E8752">
            <v>5.8</v>
          </cell>
          <cell r="F8752">
            <v>5.8</v>
          </cell>
        </row>
        <row r="8753">
          <cell r="A8753" t="str">
            <v>422222</v>
          </cell>
          <cell r="B8753" t="str">
            <v>Acoplamento para painel, de aço galvanizado a fogo,  ref. DP-734, fab. DISPAN ou similar, dimensões 75x100mm</v>
          </cell>
          <cell r="C8753" t="str">
            <v>ud</v>
          </cell>
          <cell r="D8753">
            <v>0</v>
          </cell>
          <cell r="E8753">
            <v>7.32</v>
          </cell>
          <cell r="F8753">
            <v>7.32</v>
          </cell>
        </row>
        <row r="8754">
          <cell r="A8754" t="str">
            <v>422223</v>
          </cell>
          <cell r="B8754" t="str">
            <v>Acoplamento para painel, de aço galvanizado a fogo,  ref. DP-734, fab. DISPAN ou similar, dimensões 100x100mm</v>
          </cell>
          <cell r="C8754" t="str">
            <v>ud</v>
          </cell>
          <cell r="D8754">
            <v>0</v>
          </cell>
          <cell r="E8754">
            <v>8.6999999999999993</v>
          </cell>
          <cell r="F8754">
            <v>8.6999999999999993</v>
          </cell>
        </row>
        <row r="8755">
          <cell r="A8755" t="str">
            <v>422224</v>
          </cell>
          <cell r="B8755" t="str">
            <v>Acoplamento para painel, de aço galvanizado a fogo,  ref. DP-734, fab. DISPAN ou similar, dimensões 100x150mm</v>
          </cell>
          <cell r="C8755" t="str">
            <v>ud</v>
          </cell>
          <cell r="D8755">
            <v>0</v>
          </cell>
          <cell r="E8755">
            <v>10.17</v>
          </cell>
          <cell r="F8755">
            <v>10.17</v>
          </cell>
        </row>
        <row r="8756">
          <cell r="A8756" t="str">
            <v>422225</v>
          </cell>
          <cell r="B8756" t="str">
            <v>Acoplamento para painel, de aço galvanizado a fogo,  ref. DP-734, fab. DISPAN ou similar, dimensões 100x200mm</v>
          </cell>
          <cell r="C8756" t="str">
            <v>ud</v>
          </cell>
          <cell r="D8756">
            <v>0</v>
          </cell>
          <cell r="E8756">
            <v>11.69</v>
          </cell>
          <cell r="F8756">
            <v>11.69</v>
          </cell>
        </row>
        <row r="8757">
          <cell r="A8757" t="str">
            <v>422226</v>
          </cell>
          <cell r="B8757" t="str">
            <v>Acoplamento para painel, de aço galvanizado a fogo,  ref. DP-734, fab. DISPAN ou similar, dimensões 100x300mm</v>
          </cell>
          <cell r="C8757" t="str">
            <v>ud</v>
          </cell>
          <cell r="D8757">
            <v>0</v>
          </cell>
          <cell r="E8757">
            <v>16.39</v>
          </cell>
          <cell r="F8757">
            <v>16.39</v>
          </cell>
        </row>
        <row r="8758">
          <cell r="A8758" t="str">
            <v>422227</v>
          </cell>
          <cell r="B8758" t="str">
            <v>Base dupla para ligação em painel, 38x76mm, de aço galvanizado a fogo, ref. DP-555, fab. DISPAN ou similar</v>
          </cell>
          <cell r="C8758" t="str">
            <v>ud</v>
          </cell>
          <cell r="D8758">
            <v>0</v>
          </cell>
          <cell r="E8758">
            <v>5.29</v>
          </cell>
          <cell r="F8758">
            <v>5.29</v>
          </cell>
        </row>
        <row r="8759">
          <cell r="A8759" t="str">
            <v>422228</v>
          </cell>
          <cell r="B8759" t="str">
            <v>Curva horizontal 90º lisa, de aço galvanizado a fogo, ref. DP-710, com tampa, fab. DISPAN ou similar, dimensões 50x100mm (296289)</v>
          </cell>
          <cell r="C8759" t="str">
            <v>ud</v>
          </cell>
          <cell r="D8759">
            <v>0</v>
          </cell>
          <cell r="E8759">
            <v>37.07</v>
          </cell>
          <cell r="F8759">
            <v>37.07</v>
          </cell>
        </row>
        <row r="8760">
          <cell r="A8760" t="str">
            <v>422229</v>
          </cell>
          <cell r="B8760" t="str">
            <v>Curva horizontal 90º lisa, de aço galvanizado a fogo, ref. DP-710, com tampa, fab. DISPAN ou similar, dimensões 75x100mm</v>
          </cell>
          <cell r="C8760" t="str">
            <v>ud</v>
          </cell>
          <cell r="D8760">
            <v>0</v>
          </cell>
          <cell r="E8760">
            <v>48.9</v>
          </cell>
          <cell r="F8760">
            <v>48.9</v>
          </cell>
        </row>
        <row r="8761">
          <cell r="A8761" t="str">
            <v>422230</v>
          </cell>
          <cell r="B8761" t="str">
            <v>Curva horizontal 90º lisa, de aço galvanizado a fogo, ref. DP-710, com tampa, fab. DISPAN ou similar, dimensões 100x100mm (296270)</v>
          </cell>
          <cell r="C8761" t="str">
            <v>ud</v>
          </cell>
          <cell r="D8761">
            <v>0</v>
          </cell>
          <cell r="E8761">
            <v>48.97</v>
          </cell>
          <cell r="F8761">
            <v>48.97</v>
          </cell>
        </row>
        <row r="8762">
          <cell r="A8762" t="str">
            <v>422231</v>
          </cell>
          <cell r="B8762" t="str">
            <v>Curva horizontal 90º lisa, de aço galvanizado a fogo, ref. DP-710, com tampa, fab. DISPAN ou similar, dimensões 100x150mm</v>
          </cell>
          <cell r="C8762" t="str">
            <v>ud</v>
          </cell>
          <cell r="D8762">
            <v>0</v>
          </cell>
          <cell r="E8762">
            <v>60.37</v>
          </cell>
          <cell r="F8762">
            <v>60.37</v>
          </cell>
        </row>
        <row r="8763">
          <cell r="A8763" t="str">
            <v>422232</v>
          </cell>
          <cell r="B8763" t="str">
            <v>Curva horizontal 90º lisa, de aço galvanizado a fogo, ref. DP-710, com tampa, fab. DISPAN ou similar, dimensões 100x200mm</v>
          </cell>
          <cell r="C8763" t="str">
            <v>ud</v>
          </cell>
          <cell r="D8763">
            <v>0</v>
          </cell>
          <cell r="E8763">
            <v>79.989999999999995</v>
          </cell>
          <cell r="F8763">
            <v>79.989999999999995</v>
          </cell>
        </row>
        <row r="8764">
          <cell r="A8764" t="str">
            <v>422233</v>
          </cell>
          <cell r="B8764" t="str">
            <v>Curva horizontal 90º lisa, de aço galvanizado a fogo, ref. DP-710, com tampa, fab. DISPAN ou similar, dimensões 100x300mm</v>
          </cell>
          <cell r="C8764" t="str">
            <v>ud</v>
          </cell>
          <cell r="D8764">
            <v>0</v>
          </cell>
          <cell r="E8764">
            <v>121.07</v>
          </cell>
          <cell r="F8764">
            <v>121.07</v>
          </cell>
        </row>
        <row r="8765">
          <cell r="A8765" t="str">
            <v>422234</v>
          </cell>
          <cell r="B8765" t="str">
            <v>Curva vertical externa 90º lisa, de aço galvanizado a fogo, ref. DP-712, com tampa, fab. DISPAN ou similar, dimensões 50x100mm</v>
          </cell>
          <cell r="C8765" t="str">
            <v>ud</v>
          </cell>
          <cell r="D8765">
            <v>0</v>
          </cell>
          <cell r="E8765">
            <v>38.840000000000003</v>
          </cell>
          <cell r="F8765">
            <v>38.840000000000003</v>
          </cell>
        </row>
        <row r="8766">
          <cell r="A8766" t="str">
            <v>422235</v>
          </cell>
          <cell r="B8766" t="str">
            <v>Curva vertical externa 90º lisa, de aço galvanizado a fogo, ref. DP-712, com tampa, fab. DISPAN ou similar, dimensões 75x100mm</v>
          </cell>
          <cell r="C8766" t="str">
            <v>ud</v>
          </cell>
          <cell r="D8766">
            <v>0</v>
          </cell>
          <cell r="E8766">
            <v>49.55</v>
          </cell>
          <cell r="F8766">
            <v>49.55</v>
          </cell>
        </row>
        <row r="8767">
          <cell r="A8767" t="str">
            <v>422236</v>
          </cell>
          <cell r="B8767" t="str">
            <v>Curva vertical externa 90º lisa, de aço galvanizado a fogo, ref. DP-712, com tampa, fab. DISPAN ou similar, dimensões 100x100mm</v>
          </cell>
          <cell r="C8767" t="str">
            <v>ud</v>
          </cell>
          <cell r="D8767">
            <v>0</v>
          </cell>
          <cell r="E8767">
            <v>51.5</v>
          </cell>
          <cell r="F8767">
            <v>51.5</v>
          </cell>
        </row>
        <row r="8768">
          <cell r="A8768" t="str">
            <v>422237</v>
          </cell>
          <cell r="B8768" t="str">
            <v>Curva vertical externa 90º lisa, de aço galvanizado a fogo, ref. DP-712, com tampa, fab. DISPAN ou similar, dimensões 100x150mm</v>
          </cell>
          <cell r="C8768" t="str">
            <v>ud</v>
          </cell>
          <cell r="D8768">
            <v>0</v>
          </cell>
          <cell r="E8768">
            <v>63.26</v>
          </cell>
          <cell r="F8768">
            <v>63.26</v>
          </cell>
        </row>
        <row r="8769">
          <cell r="A8769" t="str">
            <v>422238</v>
          </cell>
          <cell r="B8769" t="str">
            <v>Curva vertical externa 90º lisa, de aço galvanizado a fogo, ref. DP-712, com tampa, fab. DISPAN ou similar, dimensões 100x200mm</v>
          </cell>
          <cell r="C8769" t="str">
            <v>ud</v>
          </cell>
          <cell r="D8769">
            <v>0</v>
          </cell>
          <cell r="E8769">
            <v>81.099999999999994</v>
          </cell>
          <cell r="F8769">
            <v>81.099999999999994</v>
          </cell>
        </row>
        <row r="8770">
          <cell r="A8770" t="str">
            <v>422239</v>
          </cell>
          <cell r="B8770" t="str">
            <v>Curva vertical externa 90º lisa, de aço galvanizado a fogo, ref. DP-712, com tampa, fab. DISPAN ou similar, dimensões 100x300mm</v>
          </cell>
          <cell r="C8770" t="str">
            <v>ud</v>
          </cell>
          <cell r="D8770">
            <v>0</v>
          </cell>
          <cell r="E8770">
            <v>112.71</v>
          </cell>
          <cell r="F8770">
            <v>112.71</v>
          </cell>
        </row>
        <row r="8771">
          <cell r="A8771" t="str">
            <v>422240</v>
          </cell>
          <cell r="B8771" t="str">
            <v>Curva vertical interna 90º lisa, de aço galvanizado a fogo, ref. DP-714, com tampa, fab. DISPAN ou similar, dimensões 50x100mm</v>
          </cell>
          <cell r="C8771" t="str">
            <v>ud</v>
          </cell>
          <cell r="D8771">
            <v>0</v>
          </cell>
          <cell r="E8771">
            <v>37.68</v>
          </cell>
          <cell r="F8771">
            <v>37.68</v>
          </cell>
        </row>
        <row r="8772">
          <cell r="A8772" t="str">
            <v>422241</v>
          </cell>
          <cell r="B8772" t="str">
            <v>Curva vertical interna 90º lisa, de aço galvanizado a fogo, ref. DP-714, com tampa, fab. DISPAN ou similar, dimensões 75x100mm</v>
          </cell>
          <cell r="C8772" t="str">
            <v>ud</v>
          </cell>
          <cell r="D8772">
            <v>0</v>
          </cell>
          <cell r="E8772">
            <v>48.06</v>
          </cell>
          <cell r="F8772">
            <v>48.06</v>
          </cell>
        </row>
        <row r="8773">
          <cell r="A8773" t="str">
            <v>422242</v>
          </cell>
          <cell r="B8773" t="str">
            <v>Curva vertical interna 90º lisa, de aço galvanizado a fogo, ref. DP-714, com tampa, fab. DISPAN ou similar, dimensões 100x100mm</v>
          </cell>
          <cell r="C8773" t="str">
            <v>ud</v>
          </cell>
          <cell r="D8773">
            <v>0</v>
          </cell>
          <cell r="E8773">
            <v>49.78</v>
          </cell>
          <cell r="F8773">
            <v>49.78</v>
          </cell>
        </row>
        <row r="8774">
          <cell r="A8774" t="str">
            <v>422243</v>
          </cell>
          <cell r="B8774" t="str">
            <v>Curva vertical interna 90º lisa, de aço galvanizado a fogo, ref. DP-714, com tampa, fab. DISPAN ou similar, dimensões 100x150mm</v>
          </cell>
          <cell r="C8774" t="str">
            <v>ud</v>
          </cell>
          <cell r="D8774">
            <v>0</v>
          </cell>
          <cell r="E8774">
            <v>69.2</v>
          </cell>
          <cell r="F8774">
            <v>69.2</v>
          </cell>
        </row>
        <row r="8775">
          <cell r="A8775" t="str">
            <v>422244</v>
          </cell>
          <cell r="B8775" t="str">
            <v>Curva vertical interna 90º lisa, de aço galvanizado a fogo, ref. DP-714, com tampa, fab. DISPAN ou similar, dimensões 100x200mm</v>
          </cell>
          <cell r="C8775" t="str">
            <v>ud</v>
          </cell>
          <cell r="D8775">
            <v>0</v>
          </cell>
          <cell r="E8775">
            <v>79.08</v>
          </cell>
          <cell r="F8775">
            <v>79.08</v>
          </cell>
        </row>
        <row r="8776">
          <cell r="A8776" t="str">
            <v>422245</v>
          </cell>
          <cell r="B8776" t="str">
            <v>Curva vertical interna 90º lisa, de aço galvanizado a fogo, ref. DP-714, com tampa, fab. DISPAN ou similar, dimensões 100x300mm</v>
          </cell>
          <cell r="C8776" t="str">
            <v>ud</v>
          </cell>
          <cell r="D8776">
            <v>0</v>
          </cell>
          <cell r="E8776">
            <v>112.7</v>
          </cell>
          <cell r="F8776">
            <v>112.7</v>
          </cell>
        </row>
        <row r="8777">
          <cell r="A8777" t="str">
            <v>422246</v>
          </cell>
          <cell r="B8777" t="str">
            <v xml:space="preserve">Divisor de eletrocalha lisa aba = 50  comp. = 3000, galvanizada a fogo, ref. DP709, fab. DISPAN ou similar </v>
          </cell>
          <cell r="C8777" t="str">
            <v>ud</v>
          </cell>
          <cell r="D8777">
            <v>0</v>
          </cell>
          <cell r="E8777">
            <v>7.81</v>
          </cell>
          <cell r="F8777">
            <v>7.81</v>
          </cell>
        </row>
        <row r="8778">
          <cell r="A8778" t="str">
            <v>422247</v>
          </cell>
          <cell r="B8778" t="str">
            <v xml:space="preserve">Emenda interna reta 38x76mm, de aço galvanizado a fogo, ref. DP-557, fab. DISPAN ou similar </v>
          </cell>
          <cell r="C8778" t="str">
            <v>ud</v>
          </cell>
          <cell r="D8778">
            <v>0</v>
          </cell>
          <cell r="E8778">
            <v>2.67</v>
          </cell>
          <cell r="F8778">
            <v>2.67</v>
          </cell>
        </row>
        <row r="8779">
          <cell r="A8779" t="str">
            <v>422248</v>
          </cell>
          <cell r="B8779" t="str">
            <v xml:space="preserve">Emenda interna "L" 38x76mm, de aço galvanizado a fogo, ref. DP-558, fab. DISPAN ou similar </v>
          </cell>
          <cell r="C8779" t="str">
            <v>ud</v>
          </cell>
          <cell r="D8779">
            <v>0</v>
          </cell>
          <cell r="E8779">
            <v>5.04</v>
          </cell>
          <cell r="F8779">
            <v>5.04</v>
          </cell>
        </row>
        <row r="8780">
          <cell r="A8780" t="str">
            <v>422249</v>
          </cell>
          <cell r="B8780" t="str">
            <v>Junção simples de aço galvanizado a fogo, aba 100mm, 90x125x160mm, ref. DP-849, fab. DISPAN ou similar</v>
          </cell>
          <cell r="C8780" t="str">
            <v>ud</v>
          </cell>
          <cell r="D8780">
            <v>0</v>
          </cell>
          <cell r="E8780">
            <v>3.09</v>
          </cell>
          <cell r="F8780">
            <v>3.09</v>
          </cell>
        </row>
        <row r="8781">
          <cell r="A8781" t="str">
            <v>422250</v>
          </cell>
          <cell r="B8781" t="str">
            <v>Junção simples de aço galvanizado a fogo, aba 75mm, 65x25x160mm, ref. DP-849, fab. DISPAN ou similar</v>
          </cell>
          <cell r="C8781" t="str">
            <v>ud</v>
          </cell>
          <cell r="D8781">
            <v>0</v>
          </cell>
          <cell r="E8781">
            <v>2.0499999999999998</v>
          </cell>
          <cell r="F8781">
            <v>2.0499999999999998</v>
          </cell>
        </row>
        <row r="8782">
          <cell r="A8782" t="str">
            <v>422251</v>
          </cell>
          <cell r="B8782" t="str">
            <v>Perfilado perfurado, 38x38mm, de aço galvanizado a fogo, comprimento 3000mm, ref. SRS-1650P, fab. SISA ou similar</v>
          </cell>
          <cell r="C8782" t="str">
            <v>ud</v>
          </cell>
          <cell r="D8782">
            <v>0</v>
          </cell>
          <cell r="E8782">
            <v>23.5</v>
          </cell>
          <cell r="F8782">
            <v>23.5</v>
          </cell>
        </row>
        <row r="8783">
          <cell r="A8783" t="str">
            <v>422252</v>
          </cell>
          <cell r="B8783" t="str">
            <v xml:space="preserve">Perfilado perfurado, 38x38mm, de aço galvanizado a fogo, comprimento 6000mm, ref. SRS-1650P, fab. SISA ou similar </v>
          </cell>
          <cell r="C8783" t="str">
            <v>ud</v>
          </cell>
          <cell r="D8783">
            <v>0</v>
          </cell>
          <cell r="E8783">
            <v>54.4</v>
          </cell>
          <cell r="F8783">
            <v>54.4</v>
          </cell>
        </row>
        <row r="8784">
          <cell r="A8784" t="str">
            <v>422253</v>
          </cell>
          <cell r="B8784" t="str">
            <v xml:space="preserve">Perfilado perfurado, 76x38mm, de aço galvanizado a fogo, comprimento 3000mm, ref. DP-506, fab. DISPAN ou similar </v>
          </cell>
          <cell r="C8784" t="str">
            <v>ud</v>
          </cell>
          <cell r="D8784">
            <v>0</v>
          </cell>
          <cell r="E8784">
            <v>32.380000000000003</v>
          </cell>
          <cell r="F8784">
            <v>32.380000000000003</v>
          </cell>
        </row>
        <row r="8785">
          <cell r="A8785" t="str">
            <v>422254</v>
          </cell>
          <cell r="B8785" t="str">
            <v>Redução concêntrica lisa, de aço galvanizado a fogo,  ref. DP-730, com tampa fab. DISPAN ou similar, dimensões 100x75mm</v>
          </cell>
          <cell r="C8785" t="str">
            <v>ud</v>
          </cell>
          <cell r="D8785">
            <v>0</v>
          </cell>
          <cell r="E8785">
            <v>39.79</v>
          </cell>
          <cell r="F8785">
            <v>39.79</v>
          </cell>
        </row>
        <row r="8786">
          <cell r="A8786" t="str">
            <v>422255</v>
          </cell>
          <cell r="B8786" t="str">
            <v>Redução concêntrica lisa, de aço galvanizado a fogo,  ref. DP-730, com tampa fab. DISPAN ou similar, dimensões 200x100mm</v>
          </cell>
          <cell r="C8786" t="str">
            <v>ud</v>
          </cell>
          <cell r="D8786">
            <v>0</v>
          </cell>
          <cell r="E8786">
            <v>40.229999999999997</v>
          </cell>
          <cell r="F8786">
            <v>40.229999999999997</v>
          </cell>
        </row>
        <row r="8787">
          <cell r="A8787" t="str">
            <v>422256</v>
          </cell>
          <cell r="B8787" t="str">
            <v>Redução concêntrica lisa, de aço galvanizado a fogo,  ref. DP-730, com tampa fab. DISPAN ou similar, dimensões 200x150mm</v>
          </cell>
          <cell r="C8787" t="str">
            <v>ud</v>
          </cell>
          <cell r="D8787">
            <v>0</v>
          </cell>
          <cell r="E8787">
            <v>40.229999999999997</v>
          </cell>
          <cell r="F8787">
            <v>40.229999999999997</v>
          </cell>
        </row>
        <row r="8788">
          <cell r="A8788" t="str">
            <v>422257</v>
          </cell>
          <cell r="B8788" t="str">
            <v>Redução concêntrica lisa, de aço galvanizado a fogo,  ref. DP-730, com tampa fab. DISPAN ou similar, dimensões 300x100mm</v>
          </cell>
          <cell r="C8788" t="str">
            <v>ud</v>
          </cell>
          <cell r="D8788">
            <v>0</v>
          </cell>
          <cell r="E8788">
            <v>76.92</v>
          </cell>
          <cell r="F8788">
            <v>76.92</v>
          </cell>
        </row>
        <row r="8789">
          <cell r="A8789" t="str">
            <v>422259</v>
          </cell>
          <cell r="B8789" t="str">
            <v>Redução concêntrica lisa, de aço galvanizado a fogo,  ref. DP-730, com tampa fab. DISPAN ou similar, dimensões 300x200mm</v>
          </cell>
          <cell r="C8789" t="str">
            <v>ud</v>
          </cell>
          <cell r="D8789">
            <v>0</v>
          </cell>
          <cell r="E8789">
            <v>76.92</v>
          </cell>
          <cell r="F8789">
            <v>76.92</v>
          </cell>
        </row>
        <row r="8790">
          <cell r="A8790" t="str">
            <v>422260</v>
          </cell>
          <cell r="B8790" t="str">
            <v>Saída horizontal para eletroduto, de aço galvanizado a fogo, fab. DISPAN ou similar, dimensão 3/4"</v>
          </cell>
          <cell r="C8790" t="str">
            <v>ud</v>
          </cell>
          <cell r="D8790">
            <v>0</v>
          </cell>
          <cell r="E8790">
            <v>2.6</v>
          </cell>
          <cell r="F8790">
            <v>2.6</v>
          </cell>
        </row>
        <row r="8791">
          <cell r="A8791" t="str">
            <v>422261</v>
          </cell>
          <cell r="B8791" t="str">
            <v>Saída horizontal para eletroduto, de aço galvanizado a fogo, fab. DISPAN ou similar, dimensão 1"</v>
          </cell>
          <cell r="C8791" t="str">
            <v>ud</v>
          </cell>
          <cell r="D8791">
            <v>0</v>
          </cell>
          <cell r="E8791">
            <v>2.6</v>
          </cell>
          <cell r="F8791">
            <v>2.6</v>
          </cell>
        </row>
        <row r="8792">
          <cell r="A8792" t="str">
            <v>422262</v>
          </cell>
          <cell r="B8792" t="str">
            <v>Saída horizontal para eletroduto, de aço galvanizado a fogo, fab. DISPAN ou similar, dimensão 1.1/4"</v>
          </cell>
          <cell r="C8792" t="str">
            <v>ud</v>
          </cell>
          <cell r="D8792">
            <v>0</v>
          </cell>
          <cell r="E8792">
            <v>2.4700000000000002</v>
          </cell>
          <cell r="F8792">
            <v>2.4700000000000002</v>
          </cell>
        </row>
        <row r="8793">
          <cell r="A8793" t="str">
            <v>422263</v>
          </cell>
          <cell r="B8793" t="str">
            <v>Saída horizontal para eletroduto, de aço galvanizado a fogo, fab. DISPAN ou similar, dimensão 1.1/2"</v>
          </cell>
          <cell r="C8793" t="str">
            <v>ud</v>
          </cell>
          <cell r="D8793">
            <v>0</v>
          </cell>
          <cell r="E8793">
            <v>3.75</v>
          </cell>
          <cell r="F8793">
            <v>3.75</v>
          </cell>
        </row>
        <row r="8794">
          <cell r="A8794" t="str">
            <v>422264</v>
          </cell>
          <cell r="B8794" t="str">
            <v>Saída horizontal para eletroduto, de aço galvanizado a fogo, fab. DISPAN ou similar, dimensão 2"</v>
          </cell>
          <cell r="C8794" t="str">
            <v>ud</v>
          </cell>
          <cell r="D8794">
            <v>0</v>
          </cell>
          <cell r="E8794">
            <v>3.28</v>
          </cell>
          <cell r="F8794">
            <v>3.28</v>
          </cell>
        </row>
        <row r="8795">
          <cell r="A8795" t="str">
            <v>422265</v>
          </cell>
          <cell r="B8795" t="str">
            <v>Saída horizontal para eletroduto, de aço galvanizado a fogo, fab. DISPAN ou similar, dimensão 2.1/2"</v>
          </cell>
          <cell r="C8795" t="str">
            <v>ud</v>
          </cell>
          <cell r="D8795">
            <v>0</v>
          </cell>
          <cell r="E8795">
            <v>8.69</v>
          </cell>
          <cell r="F8795">
            <v>8.69</v>
          </cell>
        </row>
        <row r="8796">
          <cell r="A8796" t="str">
            <v>422266</v>
          </cell>
          <cell r="B8796" t="str">
            <v>Saída horizontal para eletroduto, de aço galvanizado a fogo, fab. DISPAN ou similar, dimensão 3"</v>
          </cell>
          <cell r="C8796" t="str">
            <v>ud</v>
          </cell>
          <cell r="D8796">
            <v>0</v>
          </cell>
          <cell r="E8796">
            <v>9.5299999999999994</v>
          </cell>
          <cell r="F8796">
            <v>9.5299999999999994</v>
          </cell>
        </row>
        <row r="8797">
          <cell r="A8797" t="str">
            <v>422267</v>
          </cell>
          <cell r="B8797" t="str">
            <v>Saída horizontal para eletroduto, de aço galvanizado a fogo, fab. DISPAN ou similar, dimensão 4"</v>
          </cell>
          <cell r="C8797" t="str">
            <v>ud</v>
          </cell>
          <cell r="D8797">
            <v>0</v>
          </cell>
          <cell r="E8797">
            <v>6.23</v>
          </cell>
          <cell r="F8797">
            <v>6.23</v>
          </cell>
        </row>
        <row r="8798">
          <cell r="A8798" t="str">
            <v>422268</v>
          </cell>
          <cell r="B8798" t="str">
            <v xml:space="preserve">Saída lateral para eletroduto, ø3/4" em perfilado 38x76mm, de aço galvanizado a fogo, ref. DP-533, fab. DISPAN ou similar </v>
          </cell>
          <cell r="C8798" t="str">
            <v>ud</v>
          </cell>
          <cell r="D8798">
            <v>0</v>
          </cell>
          <cell r="E8798">
            <v>2.4</v>
          </cell>
          <cell r="F8798">
            <v>2.4</v>
          </cell>
        </row>
        <row r="8799">
          <cell r="A8799" t="str">
            <v>422269</v>
          </cell>
          <cell r="B8799" t="str">
            <v xml:space="preserve">Suporte mão francesa reforçada, para eletrocalha 200x75mm, de aço galvanizado a fogo, tipo DP-748, fab. DISPAN ou similar </v>
          </cell>
          <cell r="C8799" t="str">
            <v>ud</v>
          </cell>
          <cell r="D8799">
            <v>0</v>
          </cell>
          <cell r="E8799">
            <v>15.17</v>
          </cell>
          <cell r="F8799">
            <v>15.17</v>
          </cell>
        </row>
        <row r="8800">
          <cell r="A8800" t="str">
            <v>422270</v>
          </cell>
          <cell r="B8800" t="str">
            <v>Suporte para suspensão duplo para eletrocalha 150x100mm, de aço galvanizado a fogo, ref. SRS-82, fab. SISA ou similar</v>
          </cell>
          <cell r="C8800" t="str">
            <v>ud</v>
          </cell>
          <cell r="D8800">
            <v>0</v>
          </cell>
          <cell r="E8800">
            <v>11.01</v>
          </cell>
          <cell r="F8800">
            <v>11.01</v>
          </cell>
        </row>
        <row r="8801">
          <cell r="A8801" t="str">
            <v>422271</v>
          </cell>
          <cell r="B8801" t="str">
            <v>Suporte para suspensão, tipo ômega, para eletrocalha 200x50mm, de aço galvanizado a fogo, tipo DP-743, fab. DISPAN ou similar</v>
          </cell>
          <cell r="C8801" t="str">
            <v>ud</v>
          </cell>
          <cell r="D8801">
            <v>0</v>
          </cell>
          <cell r="E8801">
            <v>4.95</v>
          </cell>
          <cell r="F8801">
            <v>4.95</v>
          </cell>
        </row>
        <row r="8802">
          <cell r="A8802" t="str">
            <v>422272</v>
          </cell>
          <cell r="B8802" t="str">
            <v xml:space="preserve">Suporte para suspensão, tipo ômega, para eletrocalha 200x75mm, de aço galvanizado a fogo, tipo DP-743, fab. DISPAN ou similar </v>
          </cell>
          <cell r="C8802" t="str">
            <v>ud</v>
          </cell>
          <cell r="D8802">
            <v>0</v>
          </cell>
          <cell r="E8802">
            <v>7.93</v>
          </cell>
          <cell r="F8802">
            <v>7.93</v>
          </cell>
        </row>
        <row r="8803">
          <cell r="A8803" t="str">
            <v>422273</v>
          </cell>
          <cell r="B8803" t="str">
            <v xml:space="preserve">Suporte para suspensão, tipo ômega, para eletrocalha 200x100mm, de aço galvanizado a fogo, tipo DP-743, fab. DISPAN ou similar </v>
          </cell>
          <cell r="C8803" t="str">
            <v>ud</v>
          </cell>
          <cell r="D8803">
            <v>0</v>
          </cell>
          <cell r="E8803">
            <v>6.23</v>
          </cell>
          <cell r="F8803">
            <v>6.23</v>
          </cell>
        </row>
        <row r="8804">
          <cell r="A8804" t="str">
            <v>422276</v>
          </cell>
          <cell r="B8804" t="str">
            <v>Tê liso de aço galvanizado a fogo, ref. DP-722, com tampa, fab.DISPAN ou similar, dimensão 75x100mm</v>
          </cell>
          <cell r="C8804" t="str">
            <v>ud</v>
          </cell>
          <cell r="D8804">
            <v>0</v>
          </cell>
          <cell r="E8804">
            <v>54.55</v>
          </cell>
          <cell r="F8804">
            <v>54.55</v>
          </cell>
        </row>
        <row r="8805">
          <cell r="A8805" t="str">
            <v>422277</v>
          </cell>
          <cell r="B8805" t="str">
            <v>Tê liso de aço galvanizado a fogo, ref. DP-722, com tampa, fab.DISPAN ou similar, dimensão 100x100mm</v>
          </cell>
          <cell r="C8805" t="str">
            <v>ud</v>
          </cell>
          <cell r="D8805">
            <v>0</v>
          </cell>
          <cell r="E8805">
            <v>52.52</v>
          </cell>
          <cell r="F8805">
            <v>52.52</v>
          </cell>
        </row>
        <row r="8806">
          <cell r="A8806" t="str">
            <v>422278</v>
          </cell>
          <cell r="B8806" t="str">
            <v>Tê liso de aço galvanizado a fogo, ref. DP-722, com tampa, fab.DISPAN ou similar, dimensão 100x150mm</v>
          </cell>
          <cell r="C8806" t="str">
            <v>ud</v>
          </cell>
          <cell r="D8806">
            <v>0</v>
          </cell>
          <cell r="E8806">
            <v>69.5</v>
          </cell>
          <cell r="F8806">
            <v>69.5</v>
          </cell>
        </row>
        <row r="8807">
          <cell r="A8807" t="str">
            <v>422279</v>
          </cell>
          <cell r="B8807" t="str">
            <v>Tê liso de aço galvanizado a fogo, ref. DP-722, com tampa, fab.DISPAN ou similar, dimensão 100x200mm</v>
          </cell>
          <cell r="C8807" t="str">
            <v>ud</v>
          </cell>
          <cell r="D8807">
            <v>0</v>
          </cell>
          <cell r="E8807">
            <v>85.66</v>
          </cell>
          <cell r="F8807">
            <v>85.66</v>
          </cell>
        </row>
        <row r="8808">
          <cell r="A8808" t="str">
            <v>422280</v>
          </cell>
          <cell r="B8808" t="str">
            <v>Tê liso de aço galvanizado a fogo, ref. DP-722, com tampa, fab.DISPAN ou similar, dimensão 100x300mm</v>
          </cell>
          <cell r="C8808" t="str">
            <v>ud</v>
          </cell>
          <cell r="D8808">
            <v>0</v>
          </cell>
          <cell r="E8808">
            <v>114.94</v>
          </cell>
          <cell r="F8808">
            <v>114.94</v>
          </cell>
        </row>
        <row r="8809">
          <cell r="A8809" t="str">
            <v>422281</v>
          </cell>
          <cell r="B8809" t="str">
            <v>Tê horizontal liso, em aço galvanizado a fogo, ref. DP-716, com tampa, fab. DISPAN ou similar, dimensão 75x100mm</v>
          </cell>
          <cell r="C8809" t="str">
            <v>ud</v>
          </cell>
          <cell r="D8809">
            <v>0</v>
          </cell>
          <cell r="E8809">
            <v>55.98</v>
          </cell>
          <cell r="F8809">
            <v>55.98</v>
          </cell>
        </row>
        <row r="8810">
          <cell r="A8810" t="str">
            <v>422282</v>
          </cell>
          <cell r="B8810" t="str">
            <v>Tê horizontal liso, em aço galvanizado a fogo, ref. DP-716, com tampa, fab. DISPAN ou similar, dimensão 100x100mm</v>
          </cell>
          <cell r="C8810" t="str">
            <v>ud</v>
          </cell>
          <cell r="D8810">
            <v>0</v>
          </cell>
          <cell r="E8810">
            <v>48.77</v>
          </cell>
          <cell r="F8810">
            <v>48.77</v>
          </cell>
        </row>
        <row r="8811">
          <cell r="A8811" t="str">
            <v>422283</v>
          </cell>
          <cell r="B8811" t="str">
            <v>Tê horizontal liso, em aço galvanizado a fogo, ref. DP-716, com tampa, fab. DISPAN ou similar, dimensão 100x150mm</v>
          </cell>
          <cell r="C8811" t="str">
            <v>ud</v>
          </cell>
          <cell r="D8811">
            <v>0</v>
          </cell>
          <cell r="E8811">
            <v>64.540000000000006</v>
          </cell>
          <cell r="F8811">
            <v>64.540000000000006</v>
          </cell>
        </row>
        <row r="8812">
          <cell r="A8812" t="str">
            <v>422284</v>
          </cell>
          <cell r="B8812" t="str">
            <v>Tê horizontal liso, em aço galvanizado a fogo, ref. DP-716, com tampa, fab. DISPAN ou similar, dimensão 100x200mm</v>
          </cell>
          <cell r="C8812" t="str">
            <v>ud</v>
          </cell>
          <cell r="D8812">
            <v>0</v>
          </cell>
          <cell r="E8812">
            <v>78.61</v>
          </cell>
          <cell r="F8812">
            <v>78.61</v>
          </cell>
        </row>
        <row r="8813">
          <cell r="A8813" t="str">
            <v>422285</v>
          </cell>
          <cell r="B8813" t="str">
            <v>Tê horizontal liso, em aço galvanizado a fogo, ref. DP-716, com tampa, fab. DISPAN ou similar, dimensão 100x300mm</v>
          </cell>
          <cell r="C8813" t="str">
            <v>ud</v>
          </cell>
          <cell r="D8813">
            <v>0</v>
          </cell>
          <cell r="E8813">
            <v>118.98</v>
          </cell>
          <cell r="F8813">
            <v>118.98</v>
          </cell>
        </row>
        <row r="8814">
          <cell r="A8814" t="str">
            <v>422286</v>
          </cell>
          <cell r="B8814" t="str">
            <v>Tê vertical de derivação liso, em aço galvanizado a fogo, ref. DP-717, com tampa, fab. DISPAN ou similar, dimensão 75x100mm</v>
          </cell>
          <cell r="C8814" t="str">
            <v>ud</v>
          </cell>
          <cell r="D8814">
            <v>0</v>
          </cell>
          <cell r="E8814">
            <v>62.94</v>
          </cell>
          <cell r="F8814">
            <v>62.94</v>
          </cell>
        </row>
        <row r="8815">
          <cell r="A8815" t="str">
            <v>422287</v>
          </cell>
          <cell r="B8815" t="str">
            <v>Tê vertical de derivação liso, em aço galvanizado a fogo, ref. DP-717, com tampa, fab. DISPAN ou similar, dimensão 100x100mm</v>
          </cell>
          <cell r="C8815" t="str">
            <v>ud</v>
          </cell>
          <cell r="D8815">
            <v>0</v>
          </cell>
          <cell r="E8815">
            <v>61.9</v>
          </cell>
          <cell r="F8815">
            <v>61.9</v>
          </cell>
        </row>
        <row r="8816">
          <cell r="A8816" t="str">
            <v>422288</v>
          </cell>
          <cell r="B8816" t="str">
            <v>Tê vertical de derivação liso, em aço galvanizado a fogo, ref. DP-717, com tampa, fab. DISPAN ou similar, dimensão 100x150mm</v>
          </cell>
          <cell r="C8816" t="str">
            <v>ud</v>
          </cell>
          <cell r="D8816">
            <v>0</v>
          </cell>
          <cell r="E8816">
            <v>81.91</v>
          </cell>
          <cell r="F8816">
            <v>81.91</v>
          </cell>
        </row>
        <row r="8817">
          <cell r="A8817" t="str">
            <v>422289</v>
          </cell>
          <cell r="B8817" t="str">
            <v>Tê vertical de derivação liso, em aço galvanizado a fogo, ref. DP-717, com tampa, fab. DISPAN ou similar, dimensão 100x200mm</v>
          </cell>
          <cell r="C8817" t="str">
            <v>ud</v>
          </cell>
          <cell r="D8817">
            <v>0</v>
          </cell>
          <cell r="E8817">
            <v>97.09</v>
          </cell>
          <cell r="F8817">
            <v>97.09</v>
          </cell>
        </row>
        <row r="8818">
          <cell r="A8818" t="str">
            <v>422290</v>
          </cell>
          <cell r="B8818" t="str">
            <v>Tê vertical de derivação liso, em aço galvanizado a fogo, ref. DP-717, com tampa, fab. DISPAN ou similar, dimensão 100x300mm</v>
          </cell>
          <cell r="C8818" t="str">
            <v>ud</v>
          </cell>
          <cell r="D8818">
            <v>0</v>
          </cell>
          <cell r="E8818">
            <v>135.46</v>
          </cell>
          <cell r="F8818">
            <v>135.46</v>
          </cell>
        </row>
        <row r="8819">
          <cell r="A8819" t="str">
            <v>422291</v>
          </cell>
          <cell r="B8819" t="str">
            <v>Tê vertical de derivação, perfurado, de aço galvanizado a fogo, ref. DP-717, com tampa, fab. DISPAN ou similar, dimensão 75x100mm</v>
          </cell>
          <cell r="C8819" t="str">
            <v>ud</v>
          </cell>
          <cell r="D8819">
            <v>0</v>
          </cell>
          <cell r="E8819">
            <v>66.13</v>
          </cell>
          <cell r="F8819">
            <v>66.13</v>
          </cell>
        </row>
        <row r="8820">
          <cell r="A8820" t="str">
            <v>422292</v>
          </cell>
          <cell r="B8820" t="str">
            <v>Tê vertical de derivação, perfurado, de aço galvanizado a fogo, ref. DP-717, com tampa, fab. DISPAN ou similar, dimensão 100x100mm</v>
          </cell>
          <cell r="C8820" t="str">
            <v>ud</v>
          </cell>
          <cell r="D8820">
            <v>0</v>
          </cell>
          <cell r="E8820">
            <v>61.9</v>
          </cell>
          <cell r="F8820">
            <v>61.9</v>
          </cell>
        </row>
        <row r="8821">
          <cell r="A8821" t="str">
            <v>422293</v>
          </cell>
          <cell r="B8821" t="str">
            <v>Tê vertical de derivação, perfurado, de aço galvanizado a fogo, ref. DP-717, com tampa, fab. DISPAN ou similar, dimensão 100x150mm</v>
          </cell>
          <cell r="C8821" t="str">
            <v>ud</v>
          </cell>
          <cell r="D8821">
            <v>0</v>
          </cell>
          <cell r="E8821">
            <v>81.91</v>
          </cell>
          <cell r="F8821">
            <v>81.91</v>
          </cell>
        </row>
        <row r="8822">
          <cell r="A8822" t="str">
            <v>422294</v>
          </cell>
          <cell r="B8822" t="str">
            <v>Tê vertical de derivação, perfurado, de aço galvanizado a fogo, ref. DP-717, com tampa, fab. DISPAN ou similar, dimensão 100x200mm</v>
          </cell>
          <cell r="C8822" t="str">
            <v>ud</v>
          </cell>
          <cell r="D8822">
            <v>0</v>
          </cell>
          <cell r="E8822">
            <v>99.98</v>
          </cell>
          <cell r="F8822">
            <v>99.98</v>
          </cell>
        </row>
        <row r="8823">
          <cell r="A8823" t="str">
            <v>422295</v>
          </cell>
          <cell r="B8823" t="str">
            <v>Tê vertical de derivação, perfurado, de aço galvanizado a fogo, ref. DP-717, com tampa, fab. DISPAN ou similar, dimensão 100x300mm</v>
          </cell>
          <cell r="C8823" t="str">
            <v>ud</v>
          </cell>
          <cell r="D8823">
            <v>0</v>
          </cell>
          <cell r="E8823">
            <v>151.33000000000001</v>
          </cell>
          <cell r="F8823">
            <v>151.33000000000001</v>
          </cell>
        </row>
        <row r="8824">
          <cell r="A8824" t="str">
            <v>422296</v>
          </cell>
          <cell r="B8824" t="str">
            <v>Tirante roscado, de aço zincado, ø1/4", barra com 3,00m, fab. DISPAN ou similar</v>
          </cell>
          <cell r="C8824" t="str">
            <v>ud</v>
          </cell>
          <cell r="D8824">
            <v>0</v>
          </cell>
          <cell r="E8824">
            <v>6.86</v>
          </cell>
          <cell r="F8824">
            <v>6.86</v>
          </cell>
        </row>
        <row r="8825">
          <cell r="A8825" t="str">
            <v>422297</v>
          </cell>
          <cell r="B8825" t="str">
            <v>Tirante roscado, de aço zincado, ø5/16", barra com 3,00m, fab. DISPAN ou similar</v>
          </cell>
          <cell r="C8825" t="str">
            <v>ud</v>
          </cell>
          <cell r="D8825">
            <v>0</v>
          </cell>
          <cell r="E8825">
            <v>10.63</v>
          </cell>
          <cell r="F8825">
            <v>10.63</v>
          </cell>
        </row>
        <row r="8826">
          <cell r="A8826" t="str">
            <v>422298</v>
          </cell>
          <cell r="B8826" t="str">
            <v>Tirante roscado, de aço zincado, ø3/8", barra com 3,00m, fab. DISPAN ou similar</v>
          </cell>
          <cell r="C8826" t="str">
            <v>ud</v>
          </cell>
          <cell r="D8826">
            <v>0</v>
          </cell>
          <cell r="E8826">
            <v>13.7</v>
          </cell>
          <cell r="F8826">
            <v>13.7</v>
          </cell>
        </row>
        <row r="8827">
          <cell r="A8827" t="str">
            <v>4223</v>
          </cell>
          <cell r="B8827" t="str">
            <v>ELETROCALHAS, LEITOS E CONEXÕES</v>
          </cell>
          <cell r="C8827">
            <v>0</v>
          </cell>
          <cell r="D8827">
            <v>0</v>
          </cell>
          <cell r="E8827">
            <v>0</v>
          </cell>
          <cell r="F8827">
            <v>0</v>
          </cell>
        </row>
        <row r="8828">
          <cell r="A8828" t="str">
            <v>422301</v>
          </cell>
          <cell r="B8828" t="str">
            <v>Tampa p/ canaleta plana ref. DT 15040, fab. DUTOTEC ou similar</v>
          </cell>
          <cell r="C8828" t="str">
            <v>ud</v>
          </cell>
          <cell r="D8828">
            <v>0</v>
          </cell>
          <cell r="E8828">
            <v>24.77</v>
          </cell>
          <cell r="F8828">
            <v>24.77</v>
          </cell>
        </row>
        <row r="8829">
          <cell r="A8829" t="str">
            <v>422302</v>
          </cell>
          <cell r="B8829" t="str">
            <v xml:space="preserve">Curva para canaleta 73x45mm, 45º, ref. DT 34490, fab. DUTOTEC ou similar </v>
          </cell>
          <cell r="C8829" t="str">
            <v>ud</v>
          </cell>
          <cell r="D8829">
            <v>0</v>
          </cell>
          <cell r="E8829">
            <v>44.01</v>
          </cell>
          <cell r="F8829">
            <v>44.01</v>
          </cell>
        </row>
        <row r="8830">
          <cell r="A8830" t="str">
            <v>422303</v>
          </cell>
          <cell r="B8830" t="str">
            <v xml:space="preserve">Curva para canaleta 73x45mm, 90º, ref. DT 35440, fab. DUTOTEC ou similar </v>
          </cell>
          <cell r="C8830" t="str">
            <v>ud</v>
          </cell>
          <cell r="D8830">
            <v>0</v>
          </cell>
          <cell r="E8830">
            <v>51.6</v>
          </cell>
          <cell r="F8830">
            <v>51.6</v>
          </cell>
        </row>
        <row r="8831">
          <cell r="A8831" t="str">
            <v>422304</v>
          </cell>
          <cell r="B8831" t="str">
            <v xml:space="preserve">Curva vertical 73X45mm, em alumínio injetado, cor branca, para duto duplo, 90º, ref. DT37440, fab. DUTOTEC ou similar </v>
          </cell>
          <cell r="C8831" t="str">
            <v>ud</v>
          </cell>
          <cell r="D8831">
            <v>0</v>
          </cell>
          <cell r="E8831">
            <v>41.03</v>
          </cell>
          <cell r="F8831">
            <v>41.03</v>
          </cell>
        </row>
        <row r="8832">
          <cell r="A8832" t="str">
            <v>422306</v>
          </cell>
          <cell r="B8832" t="str">
            <v>Curva vertical externa 90º, 38x76mm, de aço galvanizado a fogo, ref. DP-604, fab. DISPAN ou similar</v>
          </cell>
          <cell r="C8832" t="str">
            <v>ud</v>
          </cell>
          <cell r="D8832">
            <v>0</v>
          </cell>
          <cell r="E8832">
            <v>14.94</v>
          </cell>
          <cell r="F8832">
            <v>14.94</v>
          </cell>
        </row>
        <row r="8833">
          <cell r="A8833" t="str">
            <v>422307</v>
          </cell>
          <cell r="B8833" t="str">
            <v>Terminal de fechamento, de aço galvanizado a fogo,  ref. DP-737, fab. DISPAN ou similar, dimensão 50x100mm</v>
          </cell>
          <cell r="C8833" t="str">
            <v>ud</v>
          </cell>
          <cell r="D8833">
            <v>0</v>
          </cell>
          <cell r="E8833">
            <v>3.54</v>
          </cell>
          <cell r="F8833">
            <v>3.54</v>
          </cell>
        </row>
        <row r="8834">
          <cell r="A8834" t="str">
            <v>422308</v>
          </cell>
          <cell r="B8834" t="str">
            <v>Terminal de fechamento, de aço galvanizado a fogo,  ref. DP-737, fab. DISPAN ou similar, dimensão 75x100mm</v>
          </cell>
          <cell r="C8834" t="str">
            <v>ud</v>
          </cell>
          <cell r="D8834">
            <v>0</v>
          </cell>
          <cell r="E8834">
            <v>5.6</v>
          </cell>
          <cell r="F8834">
            <v>5.6</v>
          </cell>
        </row>
        <row r="8835">
          <cell r="A8835" t="str">
            <v>422309</v>
          </cell>
          <cell r="B8835" t="str">
            <v>Terminal de fechamento, de aço galvanizado a fogo,  ref. DP-737, fab. DISPAN ou similar, dimensão 100x100mm</v>
          </cell>
          <cell r="C8835" t="str">
            <v>ud</v>
          </cell>
          <cell r="D8835">
            <v>0</v>
          </cell>
          <cell r="E8835">
            <v>5.09</v>
          </cell>
          <cell r="F8835">
            <v>5.09</v>
          </cell>
        </row>
        <row r="8836">
          <cell r="A8836" t="str">
            <v>422310</v>
          </cell>
          <cell r="B8836" t="str">
            <v>Terminal de fechamento, de aço galvanizado a fogo,  ref. DP-737, fab. DISPAN ou similar, dimensão 100x150mm</v>
          </cell>
          <cell r="C8836" t="str">
            <v>ud</v>
          </cell>
          <cell r="D8836">
            <v>0</v>
          </cell>
          <cell r="E8836">
            <v>5.94</v>
          </cell>
          <cell r="F8836">
            <v>5.94</v>
          </cell>
        </row>
        <row r="8837">
          <cell r="A8837" t="str">
            <v>422311</v>
          </cell>
          <cell r="B8837" t="str">
            <v>Terminal de fechamento, de aço galvanizado a fogo,  ref. DP-737, fab. DISPAN ou similar, dimensão 100x200mm</v>
          </cell>
          <cell r="C8837" t="str">
            <v>ud</v>
          </cell>
          <cell r="D8837">
            <v>0</v>
          </cell>
          <cell r="E8837">
            <v>9.35</v>
          </cell>
          <cell r="F8837">
            <v>9.35</v>
          </cell>
        </row>
        <row r="8838">
          <cell r="A8838" t="str">
            <v>422312</v>
          </cell>
          <cell r="B8838" t="str">
            <v>Terminal de fechamento, de aço galvanizado a fogo,  ref. DP-737, fab. DISPAN ou similar, dimensão 100x300mm</v>
          </cell>
          <cell r="C8838" t="str">
            <v>ud</v>
          </cell>
          <cell r="D8838">
            <v>0</v>
          </cell>
          <cell r="E8838">
            <v>9.9700000000000006</v>
          </cell>
          <cell r="F8838">
            <v>9.9700000000000006</v>
          </cell>
        </row>
        <row r="8839">
          <cell r="A8839" t="str">
            <v>422313</v>
          </cell>
          <cell r="B8839" t="str">
            <v>Eletrocalha em aço galvanizado a fogo, chapa 18 MSG lisa, ref. DP700,  com tampa normal, comprimento 3,0 m, fab. DISPAN ou similar, dimensões 50x150mm</v>
          </cell>
          <cell r="C8839" t="str">
            <v>ud</v>
          </cell>
          <cell r="D8839">
            <v>0</v>
          </cell>
          <cell r="E8839">
            <v>100.55</v>
          </cell>
          <cell r="F8839">
            <v>100.55</v>
          </cell>
        </row>
        <row r="8840">
          <cell r="A8840" t="str">
            <v>422314</v>
          </cell>
          <cell r="B8840" t="str">
            <v>Eletrocalha em aço galvanizado a fogo, chapa 18 MSG lisa, ref. DP700,  com tampa normal, comprimento 3,0 m, fab. DISPAN ou similar, dimensões 50x200mm</v>
          </cell>
          <cell r="C8840" t="str">
            <v>ud</v>
          </cell>
          <cell r="D8840">
            <v>0</v>
          </cell>
          <cell r="E8840">
            <v>122.58</v>
          </cell>
          <cell r="F8840">
            <v>122.58</v>
          </cell>
        </row>
        <row r="8841">
          <cell r="A8841" t="str">
            <v>422315</v>
          </cell>
          <cell r="B8841" t="str">
            <v>Eletrocalha em aço galvanizado a fogo, chapa 18 MSG lisa, ref. DP700,  com tampa normal, comprimento 3,0 m, fab. DISPAN ou similar, dimensões 50x300mm</v>
          </cell>
          <cell r="C8841" t="str">
            <v>ud</v>
          </cell>
          <cell r="D8841">
            <v>0</v>
          </cell>
          <cell r="E8841">
            <v>166.4</v>
          </cell>
          <cell r="F8841">
            <v>166.4</v>
          </cell>
        </row>
        <row r="8842">
          <cell r="A8842" t="str">
            <v>422316</v>
          </cell>
          <cell r="B8842" t="str">
            <v>Eletrocalha em aço galvanizado a fogo, chapa 18 MSG lisa, ref. DP700,  com tampa normal, comprimento 3,0 m, fab. DISPAN ou similar, dimensões 75x150mm</v>
          </cell>
          <cell r="C8842" t="str">
            <v>ud</v>
          </cell>
          <cell r="D8842">
            <v>0</v>
          </cell>
          <cell r="E8842">
            <v>114.52</v>
          </cell>
          <cell r="F8842">
            <v>114.52</v>
          </cell>
        </row>
        <row r="8843">
          <cell r="A8843" t="str">
            <v>422317</v>
          </cell>
          <cell r="B8843" t="str">
            <v>Eletrocalha em aço galvanizado a fogo, chapa 18 MSG lisa, ref. DP700,  com tampa normal, comprimento 3,0 m, fab. DISPAN ou similar, dimensões 75x200mm</v>
          </cell>
          <cell r="C8843" t="str">
            <v>ud</v>
          </cell>
          <cell r="D8843">
            <v>0</v>
          </cell>
          <cell r="E8843">
            <v>136.44999999999999</v>
          </cell>
          <cell r="F8843">
            <v>136.44999999999999</v>
          </cell>
        </row>
        <row r="8844">
          <cell r="A8844" t="str">
            <v>422318</v>
          </cell>
          <cell r="B8844" t="str">
            <v>Eletrocalha em aço galvanizado a fogo, chapa 18 MSG lisa, ref. DP700,  com tampa normal, comprimento 3,0 m, fab. DISPAN ou similar, dimensões 75x300mm</v>
          </cell>
          <cell r="C8844" t="str">
            <v>ud</v>
          </cell>
          <cell r="D8844">
            <v>0</v>
          </cell>
          <cell r="E8844">
            <v>180.28</v>
          </cell>
          <cell r="F8844">
            <v>180.28</v>
          </cell>
        </row>
        <row r="8845">
          <cell r="A8845" t="str">
            <v>422319</v>
          </cell>
          <cell r="B8845" t="str">
            <v>Eletrocalha em aço galvanizado a fogo, chapa 16 MSG lisa, ref. DP700,  com tampa normal, comprimento 3,0 m, fab. DISPAN ou similar, dimensões 100x400mm</v>
          </cell>
          <cell r="C8845" t="str">
            <v>ud</v>
          </cell>
          <cell r="D8845">
            <v>0</v>
          </cell>
          <cell r="E8845">
            <v>266.32</v>
          </cell>
          <cell r="F8845">
            <v>266.32</v>
          </cell>
        </row>
        <row r="8846">
          <cell r="A8846" t="str">
            <v>422320</v>
          </cell>
          <cell r="B8846" t="str">
            <v>Eletrocalha em aço galvanizado a fogo, chapa 16 MSG lisa, ref. DP700,  com tampa normal, comprimento 3,0 m, fab. DISPAN ou similar, dimensões 100x500mm</v>
          </cell>
          <cell r="C8846" t="str">
            <v>ud</v>
          </cell>
          <cell r="D8846">
            <v>0</v>
          </cell>
          <cell r="E8846">
            <v>341.79</v>
          </cell>
          <cell r="F8846">
            <v>341.79</v>
          </cell>
        </row>
        <row r="8847">
          <cell r="A8847" t="str">
            <v>422321</v>
          </cell>
          <cell r="B8847" t="str">
            <v>Eletrocalha em aço galvanizado a fogo, chapa 18 MSG lisa, com virola, ref. DP701,  com tampa normal, comprimento 3,0 m, fab. DISPAN ou similar, dimensões 50x100mm</v>
          </cell>
          <cell r="C8847" t="str">
            <v>ud</v>
          </cell>
          <cell r="D8847">
            <v>0</v>
          </cell>
          <cell r="E8847">
            <v>81.2</v>
          </cell>
          <cell r="F8847">
            <v>81.2</v>
          </cell>
        </row>
        <row r="8848">
          <cell r="A8848" t="str">
            <v>422322</v>
          </cell>
          <cell r="B8848" t="str">
            <v>Eletrocalha em aço galvanizado a fogo, chapa 18 MSG lisa, com virola, ref. DP701,  com tampa normal, comprimento 3,0 m, fab. DISPAN ou similar, dimensões 50x150mm (298656)</v>
          </cell>
          <cell r="C8848" t="str">
            <v>ud</v>
          </cell>
          <cell r="D8848">
            <v>0</v>
          </cell>
          <cell r="E8848">
            <v>103.11</v>
          </cell>
          <cell r="F8848">
            <v>103.11</v>
          </cell>
        </row>
        <row r="8849">
          <cell r="A8849" t="str">
            <v>422323</v>
          </cell>
          <cell r="B8849" t="str">
            <v>Eletrocalha em aço galvanizado a fogo, chapa 18 MSG lisa, com virola, ref. DP701,  com tampa normal, comprimento 3,0 m, fab. DISPAN ou similar, dimensões 50x200mm</v>
          </cell>
          <cell r="C8849" t="str">
            <v>ud</v>
          </cell>
          <cell r="D8849">
            <v>0</v>
          </cell>
          <cell r="E8849">
            <v>125.12</v>
          </cell>
          <cell r="F8849">
            <v>125.12</v>
          </cell>
        </row>
        <row r="8850">
          <cell r="A8850" t="str">
            <v>422324</v>
          </cell>
          <cell r="B8850" t="str">
            <v>Eletrocalha em aço galvanizado a fogo, chapa 18 MSG lisa, com virola, ref. DP701,  com tampa normal, comprimento 3,0 m, fab. DISPAN ou similar, dimensões 50x300mm</v>
          </cell>
          <cell r="C8850" t="str">
            <v>ud</v>
          </cell>
          <cell r="D8850">
            <v>0</v>
          </cell>
          <cell r="E8850">
            <v>168.93</v>
          </cell>
          <cell r="F8850">
            <v>168.93</v>
          </cell>
        </row>
        <row r="8851">
          <cell r="A8851" t="str">
            <v>422325</v>
          </cell>
          <cell r="B8851" t="str">
            <v>Eletrocalha em aço galvanizado a fogo, chapa 18 MSG lisa, com virola, ref. DP701,  com tampa normal, comprimento 3,0 m, fab. DISPAN ou similar, dimensões 75x100mm</v>
          </cell>
          <cell r="C8851" t="str">
            <v>ud</v>
          </cell>
          <cell r="D8851">
            <v>0</v>
          </cell>
          <cell r="E8851">
            <v>95.07</v>
          </cell>
          <cell r="F8851">
            <v>95.07</v>
          </cell>
        </row>
        <row r="8852">
          <cell r="A8852" t="str">
            <v>422326</v>
          </cell>
          <cell r="B8852" t="str">
            <v>Eletrocalha em aço galvanizado a fogo, chapa 18 MSG lisa, com virola, ref. DP701,  com tampa normal, comprimento 3,0 m, fab. DISPAN ou similar, dimensões 75x150mm</v>
          </cell>
          <cell r="C8852" t="str">
            <v>ud</v>
          </cell>
          <cell r="D8852">
            <v>0</v>
          </cell>
          <cell r="E8852">
            <v>117.04</v>
          </cell>
          <cell r="F8852">
            <v>117.04</v>
          </cell>
        </row>
        <row r="8853">
          <cell r="A8853" t="str">
            <v>422327</v>
          </cell>
          <cell r="B8853" t="str">
            <v>Eletrocalha em aço galvanizado a fogo, chapa 18 MSG lisa, com virola, ref. DP701,  com tampa normal, comprimento 3,0 m, fab. DISPAN ou similar, dimensões 75x200mm</v>
          </cell>
          <cell r="C8853" t="str">
            <v>ud</v>
          </cell>
          <cell r="D8853">
            <v>0</v>
          </cell>
          <cell r="E8853">
            <v>139</v>
          </cell>
          <cell r="F8853">
            <v>139</v>
          </cell>
        </row>
        <row r="8854">
          <cell r="A8854" t="str">
            <v>422328</v>
          </cell>
          <cell r="B8854" t="str">
            <v>Eletrocalha em aço galvanizado a fogo, chapa 18 MSG lisa, com virola, ref. DP701,  com tampa normal, comprimento 3,0 m, fab. DISPAN ou similar, dimensões 75x300mm</v>
          </cell>
          <cell r="C8854" t="str">
            <v>ud</v>
          </cell>
          <cell r="D8854">
            <v>0</v>
          </cell>
          <cell r="E8854">
            <v>182.81</v>
          </cell>
          <cell r="F8854">
            <v>182.81</v>
          </cell>
        </row>
        <row r="8855">
          <cell r="A8855" t="str">
            <v>422329</v>
          </cell>
          <cell r="B8855" t="str">
            <v>Eletrocalha em aço galvanizado a fogo, chapa 18 MSG lisa, com virola, ref. DP701,  com tampa normal, comprimento 3,0 m, fab. DISPAN ou similar, dimensões 100x100mm</v>
          </cell>
          <cell r="C8855" t="str">
            <v>ud</v>
          </cell>
          <cell r="D8855">
            <v>0</v>
          </cell>
          <cell r="E8855">
            <v>105.31</v>
          </cell>
          <cell r="F8855">
            <v>105.31</v>
          </cell>
        </row>
        <row r="8856">
          <cell r="A8856" t="str">
            <v>422330</v>
          </cell>
          <cell r="B8856" t="str">
            <v>Eletrocalha em aço galvanizado a fogo, chapa 18 MSG lisa, com virola, ref. DP701,  com tampa normal, comprimento 3,0 m, fab. DISPAN ou similar, dimensões 100x150mm</v>
          </cell>
          <cell r="C8856" t="str">
            <v>ud</v>
          </cell>
          <cell r="D8856">
            <v>0</v>
          </cell>
          <cell r="E8856">
            <v>127.2</v>
          </cell>
          <cell r="F8856">
            <v>127.2</v>
          </cell>
        </row>
        <row r="8857">
          <cell r="A8857" t="str">
            <v>422331</v>
          </cell>
          <cell r="B8857" t="str">
            <v>Eletrocalha em aço galvanizado a fogo, chapa 18 MSG lisa, com virola, ref. DP701,  com tampa normal, comprimento 3,0 m, fab. DISPAN ou similar, dimensões 100x200mm</v>
          </cell>
          <cell r="C8857" t="str">
            <v>ud</v>
          </cell>
          <cell r="D8857">
            <v>0</v>
          </cell>
          <cell r="E8857">
            <v>149.22999999999999</v>
          </cell>
          <cell r="F8857">
            <v>149.22999999999999</v>
          </cell>
        </row>
        <row r="8858">
          <cell r="A8858" t="str">
            <v>422332</v>
          </cell>
          <cell r="B8858" t="str">
            <v>Eletrocalha em aço galvanizado a fogo, chapa 16 MSG lisa, com virola, ref. DP701,  com tampa normal, comprimento 3,0 m, fab. DISPAN ou similar, dimensões 100x300mm</v>
          </cell>
          <cell r="C8858" t="str">
            <v>ud</v>
          </cell>
          <cell r="D8858">
            <v>0</v>
          </cell>
          <cell r="E8858">
            <v>220.21</v>
          </cell>
          <cell r="F8858">
            <v>220.21</v>
          </cell>
        </row>
        <row r="8859">
          <cell r="A8859" t="str">
            <v>422333</v>
          </cell>
          <cell r="B8859" t="str">
            <v>Eletrocalha em aço galvanizado a fogo, chapa 16 MSG lisa, com virola, ref. DP701,  com tampa normal, comprimento 3,0 m, fab. DISPAN ou similar, dimensões 100x400mm</v>
          </cell>
          <cell r="C8859" t="str">
            <v>ud</v>
          </cell>
          <cell r="D8859">
            <v>0</v>
          </cell>
          <cell r="E8859">
            <v>269.36</v>
          </cell>
          <cell r="F8859">
            <v>269.36</v>
          </cell>
        </row>
        <row r="8860">
          <cell r="A8860" t="str">
            <v>422334</v>
          </cell>
          <cell r="B8860" t="str">
            <v>Eletrocalha em aço galvanizado a fogo, chapa 16 MSG lisa, com virola, ref. DP701,  com tampa normal, comprimento 3,0 m, fab. DISPAN ou similar, dimensões 100x500mm</v>
          </cell>
          <cell r="C8860" t="str">
            <v>ud</v>
          </cell>
          <cell r="D8860">
            <v>0</v>
          </cell>
          <cell r="E8860">
            <v>344.93</v>
          </cell>
          <cell r="F8860">
            <v>344.93</v>
          </cell>
        </row>
        <row r="8861">
          <cell r="A8861" t="str">
            <v>422335</v>
          </cell>
          <cell r="B8861" t="str">
            <v>Eletrocalha em aço galvanizado a fogo, chapa 18 MSG perfurada, ref. DP702,  com tampa normal, comprimento 3,0 m, fab. DISPAN ou similar, dimensões 50x100mm (297291)</v>
          </cell>
          <cell r="C8861" t="str">
            <v>ud</v>
          </cell>
          <cell r="D8861">
            <v>0</v>
          </cell>
          <cell r="E8861">
            <v>69.510000000000005</v>
          </cell>
          <cell r="F8861">
            <v>69.510000000000005</v>
          </cell>
        </row>
        <row r="8862">
          <cell r="A8862" t="str">
            <v>422336</v>
          </cell>
          <cell r="B8862" t="str">
            <v>Eletrocalha em aço galvanizado a fogo, chapa 18 MSG perfurada, ref. DP702,  com tampa normal, comprimento 3,0 m, fab. DISPAN ou similar, dimensões 50x150mm</v>
          </cell>
          <cell r="C8862" t="str">
            <v>ud</v>
          </cell>
          <cell r="D8862">
            <v>0</v>
          </cell>
          <cell r="E8862">
            <v>89.29</v>
          </cell>
          <cell r="F8862">
            <v>89.29</v>
          </cell>
        </row>
        <row r="8863">
          <cell r="A8863" t="str">
            <v>422337</v>
          </cell>
          <cell r="B8863" t="str">
            <v>Eletrocalha em aço galvanizado a fogo, chapa 18 MSG perfurada, ref. DP702,  com tampa normal, comprimento 3,0 m, fab. DISPAN ou similar, dimensões 50x200mm</v>
          </cell>
          <cell r="C8863" t="str">
            <v>ud</v>
          </cell>
          <cell r="D8863">
            <v>0</v>
          </cell>
          <cell r="E8863">
            <v>122.58</v>
          </cell>
          <cell r="F8863">
            <v>122.58</v>
          </cell>
        </row>
        <row r="8864">
          <cell r="A8864" t="str">
            <v>422338</v>
          </cell>
          <cell r="B8864" t="str">
            <v>Eletrocalha em aço galvanizado a fogo, chapa 18 MSG perfurada, ref. DP702,  com tampa normal, comprimento 3,0 m, fab. DISPAN ou similar, dimensões 50x300mm (297240)</v>
          </cell>
          <cell r="C8864" t="str">
            <v>ud</v>
          </cell>
          <cell r="D8864">
            <v>0</v>
          </cell>
          <cell r="E8864">
            <v>166.4</v>
          </cell>
          <cell r="F8864">
            <v>166.4</v>
          </cell>
        </row>
        <row r="8865">
          <cell r="A8865" t="str">
            <v>422339</v>
          </cell>
          <cell r="B8865" t="str">
            <v>Eletrocalha em aço galvanizado a fogo, chapa 18 MSG perfurada, ref. DP702,  com tampa normal, comprimento 3,0 m, fab. DISPAN ou similar, dimensões 75x150mm</v>
          </cell>
          <cell r="C8865" t="str">
            <v>ud</v>
          </cell>
          <cell r="D8865">
            <v>0</v>
          </cell>
          <cell r="E8865">
            <v>116.5</v>
          </cell>
          <cell r="F8865">
            <v>116.5</v>
          </cell>
        </row>
        <row r="8866">
          <cell r="A8866" t="str">
            <v>422340</v>
          </cell>
          <cell r="B8866" t="str">
            <v>Eletrocalha em aço galvanizado a fogo, chapa 18 MSG perfurada, ref. DP702,  com tampa normal, comprimento 3,0 m, fab. DISPAN ou similar, dimensões 75x200mm</v>
          </cell>
          <cell r="C8866" t="str">
            <v>ud</v>
          </cell>
          <cell r="D8866">
            <v>0</v>
          </cell>
          <cell r="E8866">
            <v>136.44999999999999</v>
          </cell>
          <cell r="F8866">
            <v>136.44999999999999</v>
          </cell>
        </row>
        <row r="8867">
          <cell r="A8867" t="str">
            <v>422341</v>
          </cell>
          <cell r="B8867" t="str">
            <v>Eletrocalha em aço galvanizado a fogo, chapa 18 MSG perfurada, ref. DP702,  com tampa normal, comprimento 3,0 m, fab. DISPAN ou similar, dimensões 75x300mm</v>
          </cell>
          <cell r="C8867" t="str">
            <v>ud</v>
          </cell>
          <cell r="D8867">
            <v>0</v>
          </cell>
          <cell r="E8867">
            <v>180.28</v>
          </cell>
          <cell r="F8867">
            <v>180.28</v>
          </cell>
        </row>
        <row r="8868">
          <cell r="A8868" t="str">
            <v>422342</v>
          </cell>
          <cell r="B8868" t="str">
            <v>Eletrocalha em aço galvanizado a fogo, chapa 16 MSG perfurada, ref. DP702,  com tampa normal, comprimento 3,0 m, fab. DISPAN ou similar, dimensões 100x300mm</v>
          </cell>
          <cell r="C8868" t="str">
            <v>ud</v>
          </cell>
          <cell r="D8868">
            <v>0</v>
          </cell>
          <cell r="E8868">
            <v>199.81</v>
          </cell>
          <cell r="F8868">
            <v>199.81</v>
          </cell>
        </row>
        <row r="8869">
          <cell r="A8869" t="str">
            <v>422343</v>
          </cell>
          <cell r="B8869" t="str">
            <v>Eletrocalha em aço galvanizado a fogo, chapa 16 MSG perfurada, ref. DP702,  com tampa normal, comprimento 3,0 m, fab. DISPAN ou similar, dimensões 100x400mm</v>
          </cell>
          <cell r="C8869" t="str">
            <v>ud</v>
          </cell>
          <cell r="D8869">
            <v>0</v>
          </cell>
          <cell r="E8869">
            <v>266.62</v>
          </cell>
          <cell r="F8869">
            <v>266.62</v>
          </cell>
        </row>
        <row r="8870">
          <cell r="A8870" t="str">
            <v>422344</v>
          </cell>
          <cell r="B8870" t="str">
            <v>Eletrocalha em aço galvanizado a fogo, chapa 16 MSG perfurada, ref. DP702,  com tampa normal, comprimento 3,0 m, fab. DISPAN ou similar, dimensões 100x500mm</v>
          </cell>
          <cell r="C8870" t="str">
            <v>ud</v>
          </cell>
          <cell r="D8870">
            <v>0</v>
          </cell>
          <cell r="E8870">
            <v>317.67</v>
          </cell>
          <cell r="F8870">
            <v>317.67</v>
          </cell>
        </row>
        <row r="8871">
          <cell r="A8871" t="str">
            <v>422345</v>
          </cell>
          <cell r="B8871" t="str">
            <v>Leito para cabos leve, em aço galvanizado a fogo, com 2 longarinas paralelas de 60x19mm, virolas na parte externa, 200 x 3000mm,  travessas cravadas 10x30mm, espaçadas c/ 200mm, ref. DP800, fab. DISPAN ou similar</v>
          </cell>
          <cell r="C8871" t="str">
            <v>ud</v>
          </cell>
          <cell r="D8871">
            <v>0</v>
          </cell>
          <cell r="E8871">
            <v>104.88</v>
          </cell>
          <cell r="F8871">
            <v>104.88</v>
          </cell>
        </row>
        <row r="8872">
          <cell r="A8872" t="str">
            <v>422346</v>
          </cell>
          <cell r="B8872" t="str">
            <v>Leito para cabos leve, em aço galvanizado a fogo, com 2 longarinas paralelas de 60x19mm, virolas na parte externa, 400 x 3.000mm, travessas cravadas 10x30mm, espaçadas c/ 200mm, ref. DP800, fab. DISPAN ou similar</v>
          </cell>
          <cell r="C8872" t="str">
            <v>ud</v>
          </cell>
          <cell r="D8872">
            <v>0</v>
          </cell>
          <cell r="E8872">
            <v>129.55000000000001</v>
          </cell>
          <cell r="F8872">
            <v>129.55000000000001</v>
          </cell>
        </row>
        <row r="8873">
          <cell r="A8873" t="str">
            <v>422347</v>
          </cell>
          <cell r="B8873" t="str">
            <v>Leito para cabos  semi pesado, em aço galvanizado a fogo, com 2 longarinas paralelas de 75x19, virolas na parte externa, 200 x 3000mm, travessas cravadas 19x38mm, espaçadas c/ 250mm, ref. DP802, fab. DISPAN ou similar</v>
          </cell>
          <cell r="C8873" t="str">
            <v>ud</v>
          </cell>
          <cell r="D8873">
            <v>0</v>
          </cell>
          <cell r="E8873">
            <v>117.82</v>
          </cell>
          <cell r="F8873">
            <v>117.82</v>
          </cell>
        </row>
        <row r="8874">
          <cell r="A8874" t="str">
            <v>422348</v>
          </cell>
          <cell r="B8874" t="str">
            <v>Leito para cabos  semi pesado, em aço galvanizado a fogo, com 2 longarinas paralelas de 75x19, virolas na parte externa, 400 x 3000mm, travessas cravadas 19x38mm, espaçadas c/ 250mm, ref. DP802, fab. DISPAN ou similar</v>
          </cell>
          <cell r="C8874" t="str">
            <v>ud</v>
          </cell>
          <cell r="D8874">
            <v>0</v>
          </cell>
          <cell r="E8874">
            <v>148.16999999999999</v>
          </cell>
          <cell r="F8874">
            <v>148.16999999999999</v>
          </cell>
        </row>
        <row r="8875">
          <cell r="A8875" t="str">
            <v>422349</v>
          </cell>
          <cell r="B8875" t="str">
            <v>Leito para cabos  semi pesado, em aço galvanizado a fogo, com 2 longarinas paralelas de 75x19, virolas na parte externa, 600 x 3000mm, travessas cravadas 19x38mm, espaçadas c/ 250mm, ref. DP802, fab. DISPAN ou similar</v>
          </cell>
          <cell r="C8875" t="str">
            <v>ud</v>
          </cell>
          <cell r="D8875">
            <v>0</v>
          </cell>
          <cell r="E8875">
            <v>178.5</v>
          </cell>
          <cell r="F8875">
            <v>178.5</v>
          </cell>
        </row>
        <row r="8876">
          <cell r="A8876" t="str">
            <v>422350</v>
          </cell>
          <cell r="B8876" t="str">
            <v>Leito para cabos  semi pesado, em aço galvanizado a fogo, com 2 longarinas paralelas de 75x19, virolas na parte externa, 700 x 3000mm, travessas cravadas 19x38mm, espaçadas c/ 250mm, ref. DP802, fab. DISPAN ou similar</v>
          </cell>
          <cell r="C8876" t="str">
            <v>ud</v>
          </cell>
          <cell r="D8876">
            <v>0</v>
          </cell>
          <cell r="E8876">
            <v>212.88</v>
          </cell>
          <cell r="F8876">
            <v>212.88</v>
          </cell>
        </row>
        <row r="8877">
          <cell r="A8877" t="str">
            <v>422351</v>
          </cell>
          <cell r="B8877" t="str">
            <v>Leito para cabos  semi pesado, em aço galvanizado a fogo, com 2 longarinas paralelas de 75x19, virolas na parte externa, 800 x 3000mm, travessas cravadas 19x38mm, espaçadas c/ 250mm, ref. DP802, fab. DISPAN ou similar</v>
          </cell>
          <cell r="C8877" t="str">
            <v>ud</v>
          </cell>
          <cell r="D8877">
            <v>0</v>
          </cell>
          <cell r="E8877">
            <v>253.77</v>
          </cell>
          <cell r="F8877">
            <v>253.77</v>
          </cell>
        </row>
        <row r="8878">
          <cell r="A8878" t="str">
            <v>422352</v>
          </cell>
          <cell r="B8878" t="str">
            <v>Leito para cabos semi pesado, em aço galvanizado a fogo, com 2 longarinas paralelas de 100x19, c/virolas na parte externa, 200 x 3000mm,  travessas cravadas 19x38mm, espaçadas c/ 250mm, ref. DP803, fab. DISPAN ou similar</v>
          </cell>
          <cell r="C8878" t="str">
            <v>ud</v>
          </cell>
          <cell r="D8878">
            <v>0</v>
          </cell>
          <cell r="E8878">
            <v>137.30000000000001</v>
          </cell>
          <cell r="F8878">
            <v>137.30000000000001</v>
          </cell>
        </row>
        <row r="8879">
          <cell r="A8879" t="str">
            <v>422353</v>
          </cell>
          <cell r="B8879" t="str">
            <v>Leito para cabos semi pesado, em aço galvanizado a fogo, com 2 longarinas paralelas de 100x19, c/virolas na parte externa, 300 x 3000mm,  travessas cravadas 19x38mm, espaçadas c/ 250mm, ref. DP803, fab. DISPAN ou similar</v>
          </cell>
          <cell r="C8879" t="str">
            <v>ud</v>
          </cell>
          <cell r="D8879">
            <v>0</v>
          </cell>
          <cell r="E8879">
            <v>152.46</v>
          </cell>
          <cell r="F8879">
            <v>152.46</v>
          </cell>
        </row>
        <row r="8880">
          <cell r="A8880" t="str">
            <v>422354</v>
          </cell>
          <cell r="B8880" t="str">
            <v>Leito para cabos semi pesado, em aço galvanizado a fogo, com 2 longarinas paralelas de 100x19, c/virolas na parte externa, 400 x 3000mm,  travessas cravadas 19x38mm, espaçadas c/ 250mm, ref. DP803, fab. DISPAN ou similar</v>
          </cell>
          <cell r="C8880" t="str">
            <v>ud</v>
          </cell>
          <cell r="D8880">
            <v>0</v>
          </cell>
          <cell r="E8880">
            <v>167.59</v>
          </cell>
          <cell r="F8880">
            <v>167.59</v>
          </cell>
        </row>
        <row r="8881">
          <cell r="A8881" t="str">
            <v>422355</v>
          </cell>
          <cell r="B8881" t="str">
            <v>Leito para cabos semi pesado, em aço galvanizado a fogo, com 2 longarinas paralelas de 100x19, c/virolas na parte externa, 500 x 3000mm,  travessas cravadas 19x38mm, espaçadas c/ 250mm, ref. DP803, fab. DISPAN ou similar</v>
          </cell>
          <cell r="C8881" t="str">
            <v>ud</v>
          </cell>
          <cell r="D8881">
            <v>0</v>
          </cell>
          <cell r="E8881">
            <v>182.78</v>
          </cell>
          <cell r="F8881">
            <v>182.78</v>
          </cell>
        </row>
        <row r="8882">
          <cell r="A8882" t="str">
            <v>422356</v>
          </cell>
          <cell r="B8882" t="str">
            <v>Leito para cabos semi pesado, em aço galvanizado a fogo, com 2 longarinas paralelas de 100x19, c/virolas na parte externa, 600 x 3000mm,  travessas cravadas 19x38mm, espaçadas c/ 250mm, ref. DP803, fab. DISPAN ou similar</v>
          </cell>
          <cell r="C8882" t="str">
            <v>ud</v>
          </cell>
          <cell r="D8882">
            <v>0</v>
          </cell>
          <cell r="E8882">
            <v>197.93</v>
          </cell>
          <cell r="F8882">
            <v>197.93</v>
          </cell>
        </row>
        <row r="8883">
          <cell r="A8883" t="str">
            <v>422357</v>
          </cell>
          <cell r="B8883" t="str">
            <v>Leito para cabos semi pesado, em aço galvanizado a fogo, com 2 longarinas paralelas de 100x19, c/virolas na parte externa, 700 x.3000mm,  travessas cravadas 19x38mm, espaçadas c/ 250mm, ref. DP803, fab. DISPAN ou similar</v>
          </cell>
          <cell r="C8883" t="str">
            <v>ud</v>
          </cell>
          <cell r="D8883">
            <v>0</v>
          </cell>
          <cell r="E8883">
            <v>236.58</v>
          </cell>
          <cell r="F8883">
            <v>236.58</v>
          </cell>
        </row>
        <row r="8884">
          <cell r="A8884" t="str">
            <v>422358</v>
          </cell>
          <cell r="B8884" t="str">
            <v>Leito para cabos semi pesado, em aço galvanizado a fogo, com 2 longarinas paralelas de 100x19, c/virolas na parte externa, 800 x 3000mm,  travessas cravadas 19x38mm, espaçadas c/ 250mm, ref. DP803, fab. DISPAN ou similar</v>
          </cell>
          <cell r="C8884" t="str">
            <v>ud</v>
          </cell>
          <cell r="D8884">
            <v>0</v>
          </cell>
          <cell r="E8884">
            <v>277.52</v>
          </cell>
          <cell r="F8884">
            <v>277.52</v>
          </cell>
        </row>
        <row r="8885">
          <cell r="A8885" t="str">
            <v>422359</v>
          </cell>
          <cell r="B8885" t="str">
            <v>Leito para cabos pesado, em aço galvanizado a fogo, com 2 longarinas paralelas de 100x19, c/virolas na parte externa, 500 x 3000mm, travessas cravadas  38x38mm, espaçadas c/ 500mm, ref. DP804, fab. DISPAN ou similar</v>
          </cell>
          <cell r="C8885" t="str">
            <v>ud</v>
          </cell>
          <cell r="D8885">
            <v>0</v>
          </cell>
          <cell r="E8885">
            <v>215.22</v>
          </cell>
          <cell r="F8885">
            <v>215.22</v>
          </cell>
        </row>
        <row r="8886">
          <cell r="A8886" t="str">
            <v>422360</v>
          </cell>
          <cell r="B8886" t="str">
            <v>Leito para cabos pesado, em aço galvanizado a fogo, com 2 longarinas paralelas de 100x19, c/virolas na parte externa, 600 x 3000mm, travessas cravadas  38x38mm, espaçadas c/ 500mm, ref. DP804, fab. DISPAN ou similar</v>
          </cell>
          <cell r="C8886" t="str">
            <v>ud</v>
          </cell>
          <cell r="D8886">
            <v>0</v>
          </cell>
          <cell r="E8886">
            <v>226.97</v>
          </cell>
          <cell r="F8886">
            <v>226.97</v>
          </cell>
        </row>
        <row r="8887">
          <cell r="A8887" t="str">
            <v>422361</v>
          </cell>
          <cell r="B8887" t="str">
            <v>Leito para cabos pesado, em aço galvanizado a fogo, com 2 longarinas paralelas de 100x19, c/virolas na parte externa, 700 x 3000mm, travessas cravadas  38x38mm, espaçadas c/ 500mm, ref. DP804, fab. DISPAN ou similar</v>
          </cell>
          <cell r="C8887" t="str">
            <v>ud</v>
          </cell>
          <cell r="D8887">
            <v>0</v>
          </cell>
          <cell r="E8887">
            <v>238.69</v>
          </cell>
          <cell r="F8887">
            <v>238.69</v>
          </cell>
        </row>
        <row r="8888">
          <cell r="A8888" t="str">
            <v>422362</v>
          </cell>
          <cell r="B8888" t="str">
            <v>Leito para cabos pesado, em aço galvanizado a fogo, com 2 longarinas paralelas de 100x19, c/virolas na parte externa, 800 x 3000mm, travessas cravadas  38x38mm, espaçadas c/ 500mm, ref. DP804, fab. DISPAN ou similar</v>
          </cell>
          <cell r="C8888" t="str">
            <v>ud</v>
          </cell>
          <cell r="D8888">
            <v>0</v>
          </cell>
          <cell r="E8888">
            <v>344.39</v>
          </cell>
          <cell r="F8888">
            <v>344.39</v>
          </cell>
        </row>
        <row r="8889">
          <cell r="A8889" t="str">
            <v>422363</v>
          </cell>
          <cell r="B8889" t="str">
            <v>Acoplamento para painel, de aço galvanizado a fogo,  ref. DP-734, fab. DISPAN ou similar, dimensões 50x150mm</v>
          </cell>
          <cell r="C8889" t="str">
            <v>ud</v>
          </cell>
          <cell r="D8889">
            <v>0</v>
          </cell>
          <cell r="E8889">
            <v>8.99</v>
          </cell>
          <cell r="F8889">
            <v>8.99</v>
          </cell>
        </row>
        <row r="8890">
          <cell r="A8890" t="str">
            <v>422364</v>
          </cell>
          <cell r="B8890" t="str">
            <v>Acoplamento para painel, de aço galvanizado a fogo,  ref. DP-734, fab. DISPAN ou similar, dimensões 50x200mm</v>
          </cell>
          <cell r="C8890" t="str">
            <v>ud</v>
          </cell>
          <cell r="D8890">
            <v>0</v>
          </cell>
          <cell r="E8890">
            <v>10.79</v>
          </cell>
          <cell r="F8890">
            <v>10.79</v>
          </cell>
        </row>
        <row r="8891">
          <cell r="A8891" t="str">
            <v>422365</v>
          </cell>
          <cell r="B8891" t="str">
            <v>Acoplamento para painel, de aço galvanizado a fogo,  ref. DP-734, fab. DISPAN ou similar, dimensões 50x300mm</v>
          </cell>
          <cell r="C8891" t="str">
            <v>ud</v>
          </cell>
          <cell r="D8891">
            <v>0</v>
          </cell>
          <cell r="E8891">
            <v>16.23</v>
          </cell>
          <cell r="F8891">
            <v>16.23</v>
          </cell>
        </row>
        <row r="8892">
          <cell r="A8892" t="str">
            <v>422366</v>
          </cell>
          <cell r="B8892" t="str">
            <v>Acoplamento para painel, de aço galvanizado a fogo,  ref. DP-734, fab. DISPAN ou similar, dimensões 100x400mm</v>
          </cell>
          <cell r="C8892" t="str">
            <v>ud</v>
          </cell>
          <cell r="D8892">
            <v>0</v>
          </cell>
          <cell r="E8892">
            <v>24.36</v>
          </cell>
          <cell r="F8892">
            <v>24.36</v>
          </cell>
        </row>
        <row r="8893">
          <cell r="A8893" t="str">
            <v>422367</v>
          </cell>
          <cell r="B8893" t="str">
            <v>Acoplamento para painel, de aço galvanizado a fogo,  ref. DP-734, fab. DISPAN ou similar, dimensões 100x500mm</v>
          </cell>
          <cell r="C8893" t="str">
            <v>ud</v>
          </cell>
          <cell r="D8893">
            <v>0</v>
          </cell>
          <cell r="E8893">
            <v>28.42</v>
          </cell>
          <cell r="F8893">
            <v>28.42</v>
          </cell>
        </row>
        <row r="8894">
          <cell r="A8894" t="str">
            <v>422368</v>
          </cell>
          <cell r="B8894" t="str">
            <v>Curva horizontal 90º lisa, de aço galvanizado a fogo, ref. DP-710, com tampa, fab. DISPAN ou similar, dimensões 50x150mm (298658)</v>
          </cell>
          <cell r="C8894" t="str">
            <v>ud</v>
          </cell>
          <cell r="D8894">
            <v>0</v>
          </cell>
          <cell r="E8894">
            <v>53.62</v>
          </cell>
          <cell r="F8894">
            <v>53.62</v>
          </cell>
        </row>
        <row r="8895">
          <cell r="A8895" t="str">
            <v>422369</v>
          </cell>
          <cell r="B8895" t="str">
            <v>Curva horizontal 90º lisa, de aço galvanizado a fogo, ref. DP-710, com tampa, fab. DISPAN ou similar, dimensões 50x200mm</v>
          </cell>
          <cell r="C8895" t="str">
            <v>ud</v>
          </cell>
          <cell r="D8895">
            <v>0</v>
          </cell>
          <cell r="E8895">
            <v>66.08</v>
          </cell>
          <cell r="F8895">
            <v>66.08</v>
          </cell>
        </row>
        <row r="8896">
          <cell r="A8896" t="str">
            <v>422370</v>
          </cell>
          <cell r="B8896" t="str">
            <v>Curva horizontal 90º lisa, de aço galvanizado a fogo, ref. DP-710, com tampa, fab. DISPAN ou similar, dimensões 50x300mm (297178)</v>
          </cell>
          <cell r="C8896" t="str">
            <v>ud</v>
          </cell>
          <cell r="D8896">
            <v>0</v>
          </cell>
          <cell r="E8896">
            <v>104.17</v>
          </cell>
          <cell r="F8896">
            <v>104.17</v>
          </cell>
        </row>
        <row r="8897">
          <cell r="A8897" t="str">
            <v>422371</v>
          </cell>
          <cell r="B8897" t="str">
            <v>Curva horizontal 90º lisa, de aço galvanizado a fogo, ref. DP-710, com tampa, fab. DISPAN ou similar, dimensões 75x150mm</v>
          </cell>
          <cell r="C8897" t="str">
            <v>ud</v>
          </cell>
          <cell r="D8897">
            <v>0</v>
          </cell>
          <cell r="E8897">
            <v>60.38</v>
          </cell>
          <cell r="F8897">
            <v>60.38</v>
          </cell>
        </row>
        <row r="8898">
          <cell r="A8898" t="str">
            <v>422372</v>
          </cell>
          <cell r="B8898" t="str">
            <v>Curva horizontal 90º lisa, de aço galvanizado a fogo, ref. DP-710, com tampa, fab. DISPAN ou similar, dimensões 75x200mm</v>
          </cell>
          <cell r="C8898" t="str">
            <v>ud</v>
          </cell>
          <cell r="D8898">
            <v>0</v>
          </cell>
          <cell r="E8898">
            <v>72.81</v>
          </cell>
          <cell r="F8898">
            <v>72.81</v>
          </cell>
        </row>
        <row r="8899">
          <cell r="A8899" t="str">
            <v>422373</v>
          </cell>
          <cell r="B8899" t="str">
            <v>Curva horizontal 90º lisa, de aço galvanizado a fogo, ref. DP-710, com tampa, fab. DISPAN ou similar, dimensões 75x300mm</v>
          </cell>
          <cell r="C8899" t="str">
            <v>ud</v>
          </cell>
          <cell r="D8899">
            <v>0</v>
          </cell>
          <cell r="E8899">
            <v>111.79</v>
          </cell>
          <cell r="F8899">
            <v>111.79</v>
          </cell>
        </row>
        <row r="8900">
          <cell r="A8900" t="str">
            <v>422374</v>
          </cell>
          <cell r="B8900" t="str">
            <v>Curva vertical externa 90º lisa, de aço galvanizado a fogo, ref. DP-712, com tampa, fab. DISPAN ou similar, dimensões 50x150mm</v>
          </cell>
          <cell r="C8900" t="str">
            <v>ud</v>
          </cell>
          <cell r="D8900">
            <v>0</v>
          </cell>
          <cell r="E8900">
            <v>58.11</v>
          </cell>
          <cell r="F8900">
            <v>58.11</v>
          </cell>
        </row>
        <row r="8901">
          <cell r="A8901" t="str">
            <v>422375</v>
          </cell>
          <cell r="B8901" t="str">
            <v>Curva vertical externa 90º lisa, de aço galvanizado a fogo, ref. DP-712, com tampa, fab. DISPAN ou similar, dimensões 50x200mm</v>
          </cell>
          <cell r="C8901" t="str">
            <v>ud</v>
          </cell>
          <cell r="D8901">
            <v>0</v>
          </cell>
          <cell r="E8901">
            <v>71.599999999999994</v>
          </cell>
          <cell r="F8901">
            <v>71.599999999999994</v>
          </cell>
        </row>
        <row r="8902">
          <cell r="A8902" t="str">
            <v>422376</v>
          </cell>
          <cell r="B8902" t="str">
            <v>Curva vertical externa 90º lisa, de aço galvanizado a fogo, ref. DP-712, com tampa, fab. DISPAN ou similar, dimensões 50x300mm</v>
          </cell>
          <cell r="C8902" t="str">
            <v>ud</v>
          </cell>
          <cell r="D8902">
            <v>0</v>
          </cell>
          <cell r="E8902">
            <v>112.84</v>
          </cell>
          <cell r="F8902">
            <v>112.84</v>
          </cell>
        </row>
        <row r="8903">
          <cell r="A8903" t="str">
            <v>422377</v>
          </cell>
          <cell r="B8903" t="str">
            <v>Curva vertical externa 90º lisa, de aço galvanizado a fogo, ref. DP-712, com tampa, fab. DISPAN ou similar, dimensões 75x150mm</v>
          </cell>
          <cell r="C8903" t="str">
            <v>ud</v>
          </cell>
          <cell r="D8903">
            <v>0</v>
          </cell>
          <cell r="E8903">
            <v>65.42</v>
          </cell>
          <cell r="F8903">
            <v>65.42</v>
          </cell>
        </row>
        <row r="8904">
          <cell r="A8904" t="str">
            <v>422378</v>
          </cell>
          <cell r="B8904" t="str">
            <v>Curva vertical externa 90º lisa, de aço galvanizado a fogo, ref. DP-712, com tampa, fab. DISPAN ou similar, dimensões 75x200mm</v>
          </cell>
          <cell r="C8904" t="str">
            <v>ud</v>
          </cell>
          <cell r="D8904">
            <v>0</v>
          </cell>
          <cell r="E8904">
            <v>78.88</v>
          </cell>
          <cell r="F8904">
            <v>78.88</v>
          </cell>
        </row>
        <row r="8905">
          <cell r="A8905" t="str">
            <v>422379</v>
          </cell>
          <cell r="B8905" t="str">
            <v>Curva vertical externa 90º lisa, de aço galvanizado a fogo, ref. DP-712, com tampa, fab. DISPAN ou similar, dimensões 75x300mm</v>
          </cell>
          <cell r="C8905" t="str">
            <v>ud</v>
          </cell>
          <cell r="D8905">
            <v>0</v>
          </cell>
          <cell r="E8905">
            <v>121.11</v>
          </cell>
          <cell r="F8905">
            <v>121.11</v>
          </cell>
        </row>
        <row r="8906">
          <cell r="A8906" t="str">
            <v>422380</v>
          </cell>
          <cell r="B8906" t="str">
            <v>Curva vertical externa 90º lisa, de aço galvanizado a fogo, ref. DP-712, com tampa, fab. DISPAN ou similar, dimensões 100x400mm</v>
          </cell>
          <cell r="C8906" t="str">
            <v>ud</v>
          </cell>
          <cell r="D8906">
            <v>0</v>
          </cell>
          <cell r="E8906">
            <v>168.16</v>
          </cell>
          <cell r="F8906">
            <v>168.16</v>
          </cell>
        </row>
        <row r="8907">
          <cell r="A8907" t="str">
            <v>422381</v>
          </cell>
          <cell r="B8907" t="str">
            <v>Curva vertical externa 90º lisa, de aço galvanizado a fogo, ref. DP-712, com tampa, fab. DISPAN ou similar, dimensões 100x500mm</v>
          </cell>
          <cell r="C8907" t="str">
            <v>ud</v>
          </cell>
          <cell r="D8907">
            <v>0</v>
          </cell>
          <cell r="E8907">
            <v>200.95</v>
          </cell>
          <cell r="F8907">
            <v>200.95</v>
          </cell>
        </row>
        <row r="8908">
          <cell r="A8908" t="str">
            <v>422382</v>
          </cell>
          <cell r="B8908" t="str">
            <v>Curva vertical interna 90º lisa, de aço galvanizado a fogo, ref. DP-714, com tampa, fab. DISPAN ou similar, dimensões 50x150mm</v>
          </cell>
          <cell r="C8908" t="str">
            <v>ud</v>
          </cell>
          <cell r="D8908">
            <v>0</v>
          </cell>
          <cell r="E8908">
            <v>58.09</v>
          </cell>
          <cell r="F8908">
            <v>58.09</v>
          </cell>
        </row>
        <row r="8909">
          <cell r="A8909" t="str">
            <v>422383</v>
          </cell>
          <cell r="B8909" t="str">
            <v>Curva vertical interna 90º lisa, de aço galvanizado a fogo, ref. DP-714, com tampa, fab. DISPAN ou similar, dimensões 50x200mm</v>
          </cell>
          <cell r="C8909" t="str">
            <v>ud</v>
          </cell>
          <cell r="D8909">
            <v>0</v>
          </cell>
          <cell r="E8909">
            <v>71.61</v>
          </cell>
          <cell r="F8909">
            <v>71.61</v>
          </cell>
        </row>
        <row r="8910">
          <cell r="A8910" t="str">
            <v>422384</v>
          </cell>
          <cell r="B8910" t="str">
            <v>Curva vertical interna 90º lisa, de aço galvanizado a fogo, ref. DP-714, com tampa, fab. DISPAN ou similar, dimensões 50x300mm</v>
          </cell>
          <cell r="C8910" t="str">
            <v>ud</v>
          </cell>
          <cell r="D8910">
            <v>0</v>
          </cell>
          <cell r="E8910">
            <v>43.87</v>
          </cell>
          <cell r="F8910">
            <v>43.87</v>
          </cell>
        </row>
        <row r="8911">
          <cell r="A8911" t="str">
            <v>422385</v>
          </cell>
          <cell r="B8911" t="str">
            <v>Curva vertical interna 90º lisa, de aço galvanizado a fogo, ref. DP-714, com tampa, fab. DISPAN ou similar, dimensões 75x150mm</v>
          </cell>
          <cell r="C8911" t="str">
            <v>ud</v>
          </cell>
          <cell r="D8911">
            <v>0</v>
          </cell>
          <cell r="E8911">
            <v>29.07</v>
          </cell>
          <cell r="F8911">
            <v>29.07</v>
          </cell>
        </row>
        <row r="8912">
          <cell r="A8912" t="str">
            <v>422386</v>
          </cell>
          <cell r="B8912" t="str">
            <v>Curva vertical interna 90º lisa, de aço galvanizado a fogo, ref. DP-714, com tampa, fab. DISPAN ou similar, dimensões 75x200mm</v>
          </cell>
          <cell r="C8912" t="str">
            <v>ud</v>
          </cell>
          <cell r="D8912">
            <v>0</v>
          </cell>
          <cell r="E8912">
            <v>34.26</v>
          </cell>
          <cell r="F8912">
            <v>34.26</v>
          </cell>
        </row>
        <row r="8913">
          <cell r="A8913" t="str">
            <v>422387</v>
          </cell>
          <cell r="B8913" t="str">
            <v>Curva vertical interna 90º lisa, de aço galvanizado a fogo, ref. DP-714, com tampa, fab. DISPAN ou similar, dimensões 75x300mm</v>
          </cell>
          <cell r="C8913" t="str">
            <v>ud</v>
          </cell>
          <cell r="D8913">
            <v>0</v>
          </cell>
          <cell r="E8913">
            <v>36.33</v>
          </cell>
          <cell r="F8913">
            <v>36.33</v>
          </cell>
        </row>
        <row r="8914">
          <cell r="A8914" t="str">
            <v>422388</v>
          </cell>
          <cell r="B8914" t="str">
            <v>Curva vertical interna 90º lisa, de aço galvanizado a fogo, ref. DP-714, com tampa, fab. DISPAN ou similar, dimensões 100x400mm</v>
          </cell>
          <cell r="C8914" t="str">
            <v>ud</v>
          </cell>
          <cell r="D8914">
            <v>0</v>
          </cell>
          <cell r="E8914">
            <v>56</v>
          </cell>
          <cell r="F8914">
            <v>56</v>
          </cell>
        </row>
        <row r="8915">
          <cell r="A8915" t="str">
            <v>422389</v>
          </cell>
          <cell r="B8915" t="str">
            <v>Curva vertical interna 90º lisa, de aço galvanizado a fogo, ref. DP-714, com tampa, fab. DISPAN ou similar, dimensões 100x500mm</v>
          </cell>
          <cell r="C8915" t="str">
            <v>ud</v>
          </cell>
          <cell r="D8915">
            <v>0</v>
          </cell>
          <cell r="E8915">
            <v>67.87</v>
          </cell>
          <cell r="F8915">
            <v>67.87</v>
          </cell>
        </row>
        <row r="8916">
          <cell r="A8916" t="str">
            <v>422390</v>
          </cell>
          <cell r="B8916" t="str">
            <v xml:space="preserve">Divisor de eletrocalha lisa aba = 75mm,  comp. = 3000mm, galvanizada a fogo, ref. DP709, fab. DISPAN ou similar </v>
          </cell>
          <cell r="C8916" t="str">
            <v>ud</v>
          </cell>
          <cell r="D8916">
            <v>0</v>
          </cell>
          <cell r="E8916">
            <v>31.98</v>
          </cell>
          <cell r="F8916">
            <v>31.98</v>
          </cell>
        </row>
        <row r="8917">
          <cell r="A8917" t="str">
            <v>422391</v>
          </cell>
          <cell r="B8917" t="str">
            <v xml:space="preserve">Divisor de eletrocalha lisa aba = 100mm,  comp. = 3000mm, galvanizada a fogo, ref. DP709, fab. DISPAN ou similar </v>
          </cell>
          <cell r="C8917" t="str">
            <v>ud</v>
          </cell>
          <cell r="D8917">
            <v>0</v>
          </cell>
          <cell r="E8917">
            <v>39.97</v>
          </cell>
          <cell r="F8917">
            <v>39.97</v>
          </cell>
        </row>
        <row r="8918">
          <cell r="A8918" t="str">
            <v>422392</v>
          </cell>
          <cell r="B8918" t="str">
            <v>Emenda interna "I" 38x38mm, de aço galvanizado a fogo, ref. DP-519, fab. DISPAN ou similar  (290395)</v>
          </cell>
          <cell r="C8918" t="str">
            <v>ud</v>
          </cell>
          <cell r="D8918">
            <v>0</v>
          </cell>
          <cell r="E8918">
            <v>2.4900000000000002</v>
          </cell>
          <cell r="F8918">
            <v>2.4900000000000002</v>
          </cell>
        </row>
        <row r="8919">
          <cell r="A8919" t="str">
            <v>422393</v>
          </cell>
          <cell r="B8919" t="str">
            <v>Emenda interna "L" 38x38mm, de aço galvanizado a fogo, ref. DP-520, fab. DISPAN ou similar  (291751)</v>
          </cell>
          <cell r="C8919" t="str">
            <v>ud</v>
          </cell>
          <cell r="D8919">
            <v>0</v>
          </cell>
          <cell r="E8919">
            <v>4.3099999999999996</v>
          </cell>
          <cell r="F8919">
            <v>4.3099999999999996</v>
          </cell>
        </row>
        <row r="8920">
          <cell r="A8920" t="str">
            <v>422394</v>
          </cell>
          <cell r="B8920" t="str">
            <v xml:space="preserve">Emenda interna "T" 38x76mm, de aço galvanizado a fogo, ref. DP-559, fab. DISPAN ou similar </v>
          </cell>
          <cell r="C8920" t="str">
            <v>ud</v>
          </cell>
          <cell r="D8920">
            <v>0</v>
          </cell>
          <cell r="E8920">
            <v>9.02</v>
          </cell>
          <cell r="F8920">
            <v>9.02</v>
          </cell>
        </row>
        <row r="8921">
          <cell r="A8921" t="str">
            <v>422395</v>
          </cell>
          <cell r="B8921" t="str">
            <v>Emenda interna "T" 38x38mm, de aço galvanizado a fogo, ref. DP-521, fab. DISPAN ou similar  (291750)</v>
          </cell>
          <cell r="C8921" t="str">
            <v>ud</v>
          </cell>
          <cell r="D8921">
            <v>0</v>
          </cell>
          <cell r="E8921">
            <v>4.95</v>
          </cell>
          <cell r="F8921">
            <v>4.95</v>
          </cell>
        </row>
        <row r="8922">
          <cell r="A8922" t="str">
            <v>422396</v>
          </cell>
          <cell r="B8922" t="str">
            <v xml:space="preserve">Emenda interna "X" 38x76mm, de aço galvanizado a fogo, ref. DP-560, fab. DISPAN ou similar </v>
          </cell>
          <cell r="C8922" t="str">
            <v>ud</v>
          </cell>
          <cell r="D8922">
            <v>0</v>
          </cell>
          <cell r="E8922">
            <v>10.18</v>
          </cell>
          <cell r="F8922">
            <v>10.18</v>
          </cell>
        </row>
        <row r="8923">
          <cell r="A8923" t="str">
            <v>422397</v>
          </cell>
          <cell r="B8923" t="str">
            <v>Emenda interna "X" 38x38mm, de aço galvanizado a fogo, ref. DP-522, fab. DISPAN ou similar  (295864)</v>
          </cell>
          <cell r="C8923" t="str">
            <v>ud</v>
          </cell>
          <cell r="D8923">
            <v>0</v>
          </cell>
          <cell r="E8923">
            <v>5.68</v>
          </cell>
          <cell r="F8923">
            <v>5.68</v>
          </cell>
        </row>
        <row r="8924">
          <cell r="A8924" t="str">
            <v>422398</v>
          </cell>
          <cell r="B8924" t="str">
            <v>Junção angular 90°, em aço galvanizado a fogo, para leito aba 100mm, (90x25x80mm), ref. DP-852, fab. DISPAN ou similar</v>
          </cell>
          <cell r="C8924" t="str">
            <v>ud</v>
          </cell>
          <cell r="D8924">
            <v>0</v>
          </cell>
          <cell r="E8924">
            <v>4.8</v>
          </cell>
          <cell r="F8924">
            <v>4.8</v>
          </cell>
        </row>
        <row r="8925">
          <cell r="A8925" t="str">
            <v>422399</v>
          </cell>
          <cell r="B8925" t="str">
            <v>Junção angular 90°, em aço galvanizado a fogo, para leito aba 75mm (65x25x80mm), ref. DP-852, fab. DISPAN ou similar</v>
          </cell>
          <cell r="C8925" t="str">
            <v>ud</v>
          </cell>
          <cell r="D8925">
            <v>0</v>
          </cell>
          <cell r="E8925">
            <v>3.95</v>
          </cell>
          <cell r="F8925">
            <v>3.95</v>
          </cell>
        </row>
        <row r="8926">
          <cell r="A8926" t="str">
            <v>4224</v>
          </cell>
          <cell r="B8926" t="str">
            <v>ELETRODUTOS DE AÇO GALVANIZADO, INOX E CONEXÕES</v>
          </cell>
          <cell r="C8926">
            <v>0</v>
          </cell>
          <cell r="D8926">
            <v>0</v>
          </cell>
          <cell r="E8926">
            <v>0</v>
          </cell>
          <cell r="F8926">
            <v>0</v>
          </cell>
        </row>
        <row r="8927">
          <cell r="A8927" t="str">
            <v>422401</v>
          </cell>
          <cell r="B8927" t="str">
            <v>Eletroduto de aço galvanizado à fogo, pesado, barras de 3m, NBR-5598, fab. CARBINOX ou similar, bitola 3/4"</v>
          </cell>
          <cell r="C8927" t="str">
            <v>ud</v>
          </cell>
          <cell r="D8927">
            <v>0</v>
          </cell>
          <cell r="E8927">
            <v>24.45</v>
          </cell>
          <cell r="F8927">
            <v>24.45</v>
          </cell>
        </row>
        <row r="8928">
          <cell r="A8928" t="str">
            <v>422402</v>
          </cell>
          <cell r="B8928" t="str">
            <v>Eletroduto de aço galvanizado à fogo, pesado, barras de 3m, NBR-5598, fab. CARBINOX ou similar, bitola 1"</v>
          </cell>
          <cell r="C8928" t="str">
            <v>ud</v>
          </cell>
          <cell r="D8928">
            <v>0</v>
          </cell>
          <cell r="E8928">
            <v>32.65</v>
          </cell>
          <cell r="F8928">
            <v>32.65</v>
          </cell>
        </row>
        <row r="8929">
          <cell r="A8929" t="str">
            <v>422403</v>
          </cell>
          <cell r="B8929" t="str">
            <v>Eletroduto de aço galvanizado à fogo, pesado, barras de 3m, NBR-5598, fab. CARBINOX ou similar, bitola 1.1/4"</v>
          </cell>
          <cell r="C8929" t="str">
            <v>ud</v>
          </cell>
          <cell r="D8929">
            <v>0</v>
          </cell>
          <cell r="E8929">
            <v>43.42</v>
          </cell>
          <cell r="F8929">
            <v>43.42</v>
          </cell>
        </row>
        <row r="8930">
          <cell r="A8930" t="str">
            <v>422404</v>
          </cell>
          <cell r="B8930" t="str">
            <v>Eletroduto de aço galvanizado à fogo, pesado, barras de 3m, NBR-5598, fab. CARBINOX ou similar, bitola 1.1/2"</v>
          </cell>
          <cell r="C8930" t="str">
            <v>ud</v>
          </cell>
          <cell r="D8930">
            <v>0</v>
          </cell>
          <cell r="E8930">
            <v>55.24</v>
          </cell>
          <cell r="F8930">
            <v>55.24</v>
          </cell>
        </row>
        <row r="8931">
          <cell r="A8931" t="str">
            <v>422405</v>
          </cell>
          <cell r="B8931" t="str">
            <v>Eletroduto de aço galvanizado à fogo, pesado, barras de 3m, NBR-5598, fab. CARBINOX ou similar, bitola 2"</v>
          </cell>
          <cell r="C8931" t="str">
            <v>ud</v>
          </cell>
          <cell r="D8931">
            <v>0</v>
          </cell>
          <cell r="E8931">
            <v>73.08</v>
          </cell>
          <cell r="F8931">
            <v>73.08</v>
          </cell>
        </row>
        <row r="8932">
          <cell r="A8932" t="str">
            <v>422406</v>
          </cell>
          <cell r="B8932" t="str">
            <v>Eletroduto de aço galvanizado à fogo, pesado, barras de 3m, NBR-5598, fab. CARBINOX ou similar, bitola 2.1/2"</v>
          </cell>
          <cell r="C8932" t="str">
            <v>ud</v>
          </cell>
          <cell r="D8932">
            <v>0</v>
          </cell>
          <cell r="E8932">
            <v>111.08</v>
          </cell>
          <cell r="F8932">
            <v>111.08</v>
          </cell>
        </row>
        <row r="8933">
          <cell r="A8933" t="str">
            <v>422407</v>
          </cell>
          <cell r="B8933" t="str">
            <v>Eletroduto de aço galvanizado à fogo, pesado, barras de 3m, NBR-5598, fab. CARBINOX ou similar, bitola 3"</v>
          </cell>
          <cell r="C8933" t="str">
            <v>ud</v>
          </cell>
          <cell r="D8933">
            <v>0</v>
          </cell>
          <cell r="E8933">
            <v>131.71</v>
          </cell>
          <cell r="F8933">
            <v>131.71</v>
          </cell>
        </row>
        <row r="8934">
          <cell r="A8934" t="str">
            <v>422408</v>
          </cell>
          <cell r="B8934" t="str">
            <v>Eletroduto de aço galvanizado à fogo, pesado, barras de 3m, NBR-5598, fab. CARBINOX ou similar, bitola 4"</v>
          </cell>
          <cell r="C8934" t="str">
            <v>ud</v>
          </cell>
          <cell r="D8934">
            <v>0</v>
          </cell>
          <cell r="E8934">
            <v>185.24</v>
          </cell>
          <cell r="F8934">
            <v>185.24</v>
          </cell>
        </row>
        <row r="8935">
          <cell r="A8935" t="str">
            <v>422409</v>
          </cell>
          <cell r="B8935" t="str">
            <v>Eletroduto de aço galvanizado à fogo, pesado, barras de 3m, NBR-5624, fab. CARBINOX ou similar, bitola 3/4"</v>
          </cell>
          <cell r="C8935" t="str">
            <v>ud</v>
          </cell>
          <cell r="D8935">
            <v>0</v>
          </cell>
          <cell r="E8935">
            <v>26.16</v>
          </cell>
          <cell r="F8935">
            <v>26.16</v>
          </cell>
        </row>
        <row r="8936">
          <cell r="A8936" t="str">
            <v>422410</v>
          </cell>
          <cell r="B8936" t="str">
            <v>Eletroduto de aço galvanizado à fogo, pesado, barras de 3m, NBR-5624, fab. CARBINOX ou similar, bitola 1"</v>
          </cell>
          <cell r="C8936" t="str">
            <v>ud</v>
          </cell>
          <cell r="D8936">
            <v>0</v>
          </cell>
          <cell r="E8936">
            <v>33.07</v>
          </cell>
          <cell r="F8936">
            <v>33.07</v>
          </cell>
        </row>
        <row r="8937">
          <cell r="A8937" t="str">
            <v>422411</v>
          </cell>
          <cell r="B8937" t="str">
            <v>Eletroduto de aço galvanizado à fogo, pesado, barras de 3m, NBR-5624, fab. CARBINOX ou similar, bitola 1.1/4"</v>
          </cell>
          <cell r="C8937" t="str">
            <v>ud</v>
          </cell>
          <cell r="D8937">
            <v>0</v>
          </cell>
          <cell r="E8937">
            <v>46.71</v>
          </cell>
          <cell r="F8937">
            <v>46.71</v>
          </cell>
        </row>
        <row r="8938">
          <cell r="A8938" t="str">
            <v>422412</v>
          </cell>
          <cell r="B8938" t="str">
            <v>Eletroduto de aço galvanizado à fogo, pesado, barras de 3m, NBR-5624, fab. CARBINOX ou similar, bitola 1.1/2"</v>
          </cell>
          <cell r="C8938" t="str">
            <v>ud</v>
          </cell>
          <cell r="D8938">
            <v>0</v>
          </cell>
          <cell r="E8938">
            <v>54.45</v>
          </cell>
          <cell r="F8938">
            <v>54.45</v>
          </cell>
        </row>
        <row r="8939">
          <cell r="A8939" t="str">
            <v>422413</v>
          </cell>
          <cell r="B8939" t="str">
            <v>Eletroduto de aço galvanizado à fogo, pesado, barras de 3m, NBR-5624, fab. CARBINOX ou similar, bitola 2"</v>
          </cell>
          <cell r="C8939" t="str">
            <v>ud</v>
          </cell>
          <cell r="D8939">
            <v>0</v>
          </cell>
          <cell r="E8939">
            <v>68.38</v>
          </cell>
          <cell r="F8939">
            <v>68.38</v>
          </cell>
        </row>
        <row r="8940">
          <cell r="A8940" t="str">
            <v>422414</v>
          </cell>
          <cell r="B8940" t="str">
            <v>Eletroduto de aço galvanizado à fogo, pesado, barras de 3m, NBR-5624, fab. CARBINOX ou similar, bitola 2.1/2"</v>
          </cell>
          <cell r="C8940" t="str">
            <v>ud</v>
          </cell>
          <cell r="D8940">
            <v>0</v>
          </cell>
          <cell r="E8940">
            <v>98.78</v>
          </cell>
          <cell r="F8940">
            <v>98.78</v>
          </cell>
        </row>
        <row r="8941">
          <cell r="A8941" t="str">
            <v>422415</v>
          </cell>
          <cell r="B8941" t="str">
            <v>Eletroduto de aço galvanizado à fogo, pesado, barras de 3m, NBR-5624, fab. CARBINOX ou similar, bitola 3"</v>
          </cell>
          <cell r="C8941" t="str">
            <v>ud</v>
          </cell>
          <cell r="D8941">
            <v>0</v>
          </cell>
          <cell r="E8941">
            <v>116.16</v>
          </cell>
          <cell r="F8941">
            <v>116.16</v>
          </cell>
        </row>
        <row r="8942">
          <cell r="A8942" t="str">
            <v>422416</v>
          </cell>
          <cell r="B8942" t="str">
            <v>Eletroduto de aço galvanizado à fogo, pesado, barras de 3m, NBR-5624, fab. CARBINOX ou similar, bitola 4"</v>
          </cell>
          <cell r="C8942" t="str">
            <v>ud</v>
          </cell>
          <cell r="D8942">
            <v>0</v>
          </cell>
          <cell r="E8942">
            <v>156.19999999999999</v>
          </cell>
          <cell r="F8942">
            <v>156.19999999999999</v>
          </cell>
        </row>
        <row r="8943">
          <cell r="A8943" t="str">
            <v>422417</v>
          </cell>
          <cell r="B8943" t="str">
            <v>Eletroduto de aço inox, Schedule-40, barra de 3m, com rosca nas extremidades (BSP), com luva, fab. CARBINOX ou similar, bitola 1/2"</v>
          </cell>
          <cell r="C8943" t="str">
            <v>ud</v>
          </cell>
          <cell r="D8943">
            <v>0</v>
          </cell>
          <cell r="E8943">
            <v>138.25</v>
          </cell>
          <cell r="F8943">
            <v>138.25</v>
          </cell>
        </row>
        <row r="8944">
          <cell r="A8944" t="str">
            <v>422418</v>
          </cell>
          <cell r="B8944" t="str">
            <v>Eletroduto de aço inox, Schedule-40, barra de 3m, com rosca nas extremidades (BSP), com luva, fab. CARBINOX ou similar, bitola 3/4"</v>
          </cell>
          <cell r="C8944" t="str">
            <v>ud</v>
          </cell>
          <cell r="D8944">
            <v>0</v>
          </cell>
          <cell r="E8944">
            <v>176.98</v>
          </cell>
          <cell r="F8944">
            <v>176.98</v>
          </cell>
        </row>
        <row r="8945">
          <cell r="A8945" t="str">
            <v>422419</v>
          </cell>
          <cell r="B8945" t="str">
            <v>Eletroduto de aço inox, Schedule-40, barra de 3m, com rosca nas extremidades (BSP), com luva, fab. CARBINOX ou similar, bitola 1"</v>
          </cell>
          <cell r="C8945" t="str">
            <v>ud</v>
          </cell>
          <cell r="D8945">
            <v>0</v>
          </cell>
          <cell r="E8945">
            <v>256.91000000000003</v>
          </cell>
          <cell r="F8945">
            <v>256.91000000000003</v>
          </cell>
        </row>
        <row r="8946">
          <cell r="A8946" t="str">
            <v>422420</v>
          </cell>
          <cell r="B8946" t="str">
            <v>Eletroduto de aço inox, Schedule-40, barra de 3m, com rosca nas extremidades (BSP), com luva, fab. CARBINOX ou similar, bitola 1.1/4"</v>
          </cell>
          <cell r="C8946" t="str">
            <v>ud</v>
          </cell>
          <cell r="D8946">
            <v>0</v>
          </cell>
          <cell r="E8946">
            <v>384.68</v>
          </cell>
          <cell r="F8946">
            <v>384.68</v>
          </cell>
        </row>
        <row r="8947">
          <cell r="A8947" t="str">
            <v>422421</v>
          </cell>
          <cell r="B8947" t="str">
            <v>Eletroduto de aço inox, Schedule-40, barra de 3m, com rosca nas extremidades (BSP), com luva, fab. CARBINOX ou similar, bitola 1.1/2"</v>
          </cell>
          <cell r="C8947" t="str">
            <v>ud</v>
          </cell>
          <cell r="D8947">
            <v>0</v>
          </cell>
          <cell r="E8947">
            <v>452.34</v>
          </cell>
          <cell r="F8947">
            <v>452.34</v>
          </cell>
        </row>
        <row r="8948">
          <cell r="A8948" t="str">
            <v>422422</v>
          </cell>
          <cell r="B8948" t="str">
            <v>Eletroduto de aço inox, Schedule-40, barra de 3m, com rosca nas extremidades (BSP), com luva, fab. CARBINOX ou similar, bitola 2"</v>
          </cell>
          <cell r="C8948" t="str">
            <v>ud</v>
          </cell>
          <cell r="D8948">
            <v>0</v>
          </cell>
          <cell r="E8948">
            <v>753.6</v>
          </cell>
          <cell r="F8948">
            <v>753.6</v>
          </cell>
        </row>
        <row r="8949">
          <cell r="A8949" t="str">
            <v>422423</v>
          </cell>
          <cell r="B8949" t="str">
            <v>Eletroduto de aço inox, Schedule-40, barra de 3m, com rosca nas extremidades (BSP), com luva, fab. CARBINOX ou similar, bitola 2.1/2"</v>
          </cell>
          <cell r="C8949" t="str">
            <v>ud</v>
          </cell>
          <cell r="D8949">
            <v>0</v>
          </cell>
          <cell r="E8949">
            <v>931.65</v>
          </cell>
          <cell r="F8949">
            <v>931.65</v>
          </cell>
        </row>
        <row r="8950">
          <cell r="A8950" t="str">
            <v>422424</v>
          </cell>
          <cell r="B8950" t="str">
            <v>Eletroduto de aço inox, Schedule-40, barra de 3m, com rosca nas extremidades (BSP), com luva, fab. CARBINOX ou similar, bitola 3"</v>
          </cell>
          <cell r="C8950" t="str">
            <v>ud</v>
          </cell>
          <cell r="D8950">
            <v>0</v>
          </cell>
          <cell r="E8950">
            <v>1142.8800000000001</v>
          </cell>
          <cell r="F8950">
            <v>1142.8800000000001</v>
          </cell>
        </row>
        <row r="8951">
          <cell r="A8951" t="str">
            <v>422425</v>
          </cell>
          <cell r="B8951" t="str">
            <v>Eletroduto de aço inox, Schedule-40, barra de 3m, com rosca nas extremidades (BSP), com luva, fab. CARBINOX ou similar, bitola 4"</v>
          </cell>
          <cell r="C8951" t="str">
            <v>ud</v>
          </cell>
          <cell r="D8951">
            <v>0</v>
          </cell>
          <cell r="E8951">
            <v>1665.61</v>
          </cell>
          <cell r="F8951">
            <v>1665.61</v>
          </cell>
        </row>
        <row r="8952">
          <cell r="A8952" t="str">
            <v>422426</v>
          </cell>
          <cell r="B8952" t="str">
            <v>Curva de aço galvanizado à fogo, 90º, pesado, NBR-5624, fab. CARBINOX ou similar, bitola 3/4"  (293472)</v>
          </cell>
          <cell r="C8952" t="str">
            <v>ud</v>
          </cell>
          <cell r="D8952">
            <v>0</v>
          </cell>
          <cell r="E8952">
            <v>3.02</v>
          </cell>
          <cell r="F8952">
            <v>3.02</v>
          </cell>
        </row>
        <row r="8953">
          <cell r="A8953" t="str">
            <v>422427</v>
          </cell>
          <cell r="B8953" t="str">
            <v>Curva de aço galvanizado à fogo, 90º, pesado, NBR-5624, fab. CARBINOX ou similar, bitola 1"</v>
          </cell>
          <cell r="C8953" t="str">
            <v>ud</v>
          </cell>
          <cell r="D8953">
            <v>0</v>
          </cell>
          <cell r="E8953">
            <v>4.08</v>
          </cell>
          <cell r="F8953">
            <v>4.08</v>
          </cell>
        </row>
        <row r="8954">
          <cell r="A8954" t="str">
            <v>422428</v>
          </cell>
          <cell r="B8954" t="str">
            <v>Curva de aço galvanizado à fogo, 90º, pesado, NBR-5624, fab. CARBINOX ou similar, bitola 1.1/4"</v>
          </cell>
          <cell r="C8954" t="str">
            <v>ud</v>
          </cell>
          <cell r="D8954">
            <v>0</v>
          </cell>
          <cell r="E8954">
            <v>8.3699999999999992</v>
          </cell>
          <cell r="F8954">
            <v>8.3699999999999992</v>
          </cell>
        </row>
        <row r="8955">
          <cell r="A8955" t="str">
            <v>422429</v>
          </cell>
          <cell r="B8955" t="str">
            <v>Curva de aço galvanizado à fogo, 90º, pesado, NBR-5624, fab. CARBINOX ou similar, bitola 1.1/2"</v>
          </cell>
          <cell r="C8955" t="str">
            <v>ud</v>
          </cell>
          <cell r="D8955">
            <v>0</v>
          </cell>
          <cell r="E8955">
            <v>11.07</v>
          </cell>
          <cell r="F8955">
            <v>11.07</v>
          </cell>
        </row>
        <row r="8956">
          <cell r="A8956" t="str">
            <v>422430</v>
          </cell>
          <cell r="B8956" t="str">
            <v>Curva de aço galvanizado à fogo, 90º, pesado, NBR-5624, fab. CARBINOX ou similar, bitola 2"</v>
          </cell>
          <cell r="C8956" t="str">
            <v>ud</v>
          </cell>
          <cell r="D8956">
            <v>0</v>
          </cell>
          <cell r="E8956">
            <v>17.05</v>
          </cell>
          <cell r="F8956">
            <v>17.05</v>
          </cell>
        </row>
        <row r="8957">
          <cell r="A8957" t="str">
            <v>422431</v>
          </cell>
          <cell r="B8957" t="str">
            <v>Curva de aço galvanizado à fogo, 90º, pesado, NBR-5624, fab. CARBINOX ou similar, bitola 2.1/2"</v>
          </cell>
          <cell r="C8957" t="str">
            <v>ud</v>
          </cell>
          <cell r="D8957">
            <v>0</v>
          </cell>
          <cell r="E8957">
            <v>37.369999999999997</v>
          </cell>
          <cell r="F8957">
            <v>37.369999999999997</v>
          </cell>
        </row>
        <row r="8958">
          <cell r="A8958" t="str">
            <v>422432</v>
          </cell>
          <cell r="B8958" t="str">
            <v>Curva de aço galvanizado à fogo, 90º, pesado, NBR-5624, fab. CARBINOX ou similar, bitola 3"</v>
          </cell>
          <cell r="C8958" t="str">
            <v>ud</v>
          </cell>
          <cell r="D8958">
            <v>0</v>
          </cell>
          <cell r="E8958">
            <v>49.23</v>
          </cell>
          <cell r="F8958">
            <v>49.23</v>
          </cell>
        </row>
        <row r="8959">
          <cell r="A8959" t="str">
            <v>422433</v>
          </cell>
          <cell r="B8959" t="str">
            <v>Curva de aço galvanizado à fogo, 90º, pesado, NBR-5624, fab. CARBINOX ou similar, bitolla 4"</v>
          </cell>
          <cell r="C8959" t="str">
            <v>ud</v>
          </cell>
          <cell r="D8959">
            <v>0</v>
          </cell>
          <cell r="E8959">
            <v>80.3</v>
          </cell>
          <cell r="F8959">
            <v>80.3</v>
          </cell>
        </row>
        <row r="8960">
          <cell r="A8960" t="str">
            <v>422434</v>
          </cell>
          <cell r="B8960" t="str">
            <v>Curva de aço galvanizado à fogo, 135º, pesado, NBR-5624, fab. CARBINOX ou similar , bitola 3/4"</v>
          </cell>
          <cell r="C8960" t="str">
            <v>ud</v>
          </cell>
          <cell r="D8960">
            <v>0</v>
          </cell>
          <cell r="E8960">
            <v>4.13</v>
          </cell>
          <cell r="F8960">
            <v>4.13</v>
          </cell>
        </row>
        <row r="8961">
          <cell r="A8961" t="str">
            <v>422435</v>
          </cell>
          <cell r="B8961" t="str">
            <v>Curva de aço galvanizado à fogo, 135º, pesado, NBR-5624, fab. CARBINOX ou similar , bitola 1"</v>
          </cell>
          <cell r="C8961" t="str">
            <v>ud</v>
          </cell>
          <cell r="D8961">
            <v>0</v>
          </cell>
          <cell r="E8961">
            <v>6.7</v>
          </cell>
          <cell r="F8961">
            <v>6.7</v>
          </cell>
        </row>
        <row r="8962">
          <cell r="A8962" t="str">
            <v>422436</v>
          </cell>
          <cell r="B8962" t="str">
            <v>Curva de aço galvanizado à fogo, 135º, pesado, NBR-5624, fab. CARBINOX ou similar , bitola 1.1/4"</v>
          </cell>
          <cell r="C8962" t="str">
            <v>ud</v>
          </cell>
          <cell r="D8962">
            <v>0</v>
          </cell>
          <cell r="E8962">
            <v>15.5</v>
          </cell>
          <cell r="F8962">
            <v>15.5</v>
          </cell>
        </row>
        <row r="8963">
          <cell r="A8963" t="str">
            <v>422437</v>
          </cell>
          <cell r="B8963" t="str">
            <v>Curva de aço galvanizado à fogo, 135º, pesado, NBR-5624, fab. CARBINOX ou similar , bitola 1.1/2"</v>
          </cell>
          <cell r="C8963" t="str">
            <v>ud</v>
          </cell>
          <cell r="D8963">
            <v>0</v>
          </cell>
          <cell r="E8963">
            <v>23.53</v>
          </cell>
          <cell r="F8963">
            <v>23.53</v>
          </cell>
        </row>
        <row r="8964">
          <cell r="A8964" t="str">
            <v>422438</v>
          </cell>
          <cell r="B8964" t="str">
            <v>Curva de aço galvanizado à fogo, 135º, pesado, NBR-5624, fab. CARBINOX ou similar , bitola 2"</v>
          </cell>
          <cell r="C8964" t="str">
            <v>ud</v>
          </cell>
          <cell r="D8964">
            <v>0</v>
          </cell>
          <cell r="E8964">
            <v>35.21</v>
          </cell>
          <cell r="F8964">
            <v>35.21</v>
          </cell>
        </row>
        <row r="8965">
          <cell r="A8965" t="str">
            <v>422439</v>
          </cell>
          <cell r="B8965" t="str">
            <v>Curva de aço galvanizado à fogo, 135º, pesado, NBR-5624, fab. CARBINOX ou similar , bitola 2.1/2"</v>
          </cell>
          <cell r="C8965" t="str">
            <v>ud</v>
          </cell>
          <cell r="D8965">
            <v>0</v>
          </cell>
          <cell r="E8965">
            <v>57.25</v>
          </cell>
          <cell r="F8965">
            <v>57.25</v>
          </cell>
        </row>
        <row r="8966">
          <cell r="A8966" t="str">
            <v>422440</v>
          </cell>
          <cell r="B8966" t="str">
            <v>Curva de aço galvanizado à fogo, 135º, pesado, NBR-5624, fab. CARBINOX ou similar , bitola 3"</v>
          </cell>
          <cell r="C8966" t="str">
            <v>ud</v>
          </cell>
          <cell r="D8966">
            <v>0</v>
          </cell>
          <cell r="E8966">
            <v>70.42</v>
          </cell>
          <cell r="F8966">
            <v>70.42</v>
          </cell>
        </row>
        <row r="8967">
          <cell r="A8967" t="str">
            <v>422441</v>
          </cell>
          <cell r="B8967" t="str">
            <v>Curva de aço galvanizado à fogo, 135º, pesado, NBR-5624, fab. CARBINOX ou similar , bitola 4"</v>
          </cell>
          <cell r="C8967" t="str">
            <v>ud</v>
          </cell>
          <cell r="D8967">
            <v>0</v>
          </cell>
          <cell r="E8967">
            <v>140.27000000000001</v>
          </cell>
          <cell r="F8967">
            <v>140.27000000000001</v>
          </cell>
        </row>
        <row r="8968">
          <cell r="A8968" t="str">
            <v>422442</v>
          </cell>
          <cell r="B8968" t="str">
            <v>Luva de aço galvanizado à fogo, pesado, NBR-5598, fab. CARBINOX ou similar, bitola 3/4"</v>
          </cell>
          <cell r="C8968" t="str">
            <v>ud</v>
          </cell>
          <cell r="D8968">
            <v>0</v>
          </cell>
          <cell r="E8968">
            <v>1.79</v>
          </cell>
          <cell r="F8968">
            <v>1.79</v>
          </cell>
        </row>
        <row r="8969">
          <cell r="A8969" t="str">
            <v>422443</v>
          </cell>
          <cell r="B8969" t="str">
            <v>Luva de aço galvanizado à fogo, pesado, NBR-5598, fab. CARBINOX ou similar, bitola 1"</v>
          </cell>
          <cell r="C8969" t="str">
            <v>ud</v>
          </cell>
          <cell r="D8969">
            <v>0</v>
          </cell>
          <cell r="E8969">
            <v>2.27</v>
          </cell>
          <cell r="F8969">
            <v>2.27</v>
          </cell>
        </row>
        <row r="8970">
          <cell r="A8970" t="str">
            <v>422444</v>
          </cell>
          <cell r="B8970" t="str">
            <v>Luva de aço galvanizado à fogo, pesado, NBR-5598, fab. CARBINOX ou similar, bitola 1.1/4"</v>
          </cell>
          <cell r="C8970" t="str">
            <v>ud</v>
          </cell>
          <cell r="D8970">
            <v>0</v>
          </cell>
          <cell r="E8970">
            <v>3.98</v>
          </cell>
          <cell r="F8970">
            <v>3.98</v>
          </cell>
        </row>
        <row r="8971">
          <cell r="A8971" t="str">
            <v>422445</v>
          </cell>
          <cell r="B8971" t="str">
            <v>Luva de aço galvanizado à fogo, pesado, NBR-5598, fab. CARBINOX ou similar, bitola 1.1/2"</v>
          </cell>
          <cell r="C8971" t="str">
            <v>ud</v>
          </cell>
          <cell r="D8971">
            <v>0</v>
          </cell>
          <cell r="E8971">
            <v>4.9800000000000004</v>
          </cell>
          <cell r="F8971">
            <v>4.9800000000000004</v>
          </cell>
        </row>
        <row r="8972">
          <cell r="A8972" t="str">
            <v>422446</v>
          </cell>
          <cell r="B8972" t="str">
            <v>Luva de aço galvanizado à fogo, pesado, NBR-5598, fab. CARBINOX ou similar, bitola 2"</v>
          </cell>
          <cell r="C8972" t="str">
            <v>ud</v>
          </cell>
          <cell r="D8972">
            <v>0</v>
          </cell>
          <cell r="E8972">
            <v>6.79</v>
          </cell>
          <cell r="F8972">
            <v>6.79</v>
          </cell>
        </row>
        <row r="8973">
          <cell r="A8973" t="str">
            <v>422447</v>
          </cell>
          <cell r="B8973" t="str">
            <v>Luva de aço galvanizado à fogo, pesado, NBR-5598, fab. CARBINOX ou similar, bitola 2.1/2"</v>
          </cell>
          <cell r="C8973" t="str">
            <v>ud</v>
          </cell>
          <cell r="D8973">
            <v>0</v>
          </cell>
          <cell r="E8973">
            <v>14.45</v>
          </cell>
          <cell r="F8973">
            <v>14.45</v>
          </cell>
        </row>
        <row r="8974">
          <cell r="A8974" t="str">
            <v>422448</v>
          </cell>
          <cell r="B8974" t="str">
            <v>Luva de aço galvanizado à fogo, pesado, NBR-5598, fab. CARBINOX ou similar, bitola 3"</v>
          </cell>
          <cell r="C8974" t="str">
            <v>ud</v>
          </cell>
          <cell r="D8974">
            <v>0</v>
          </cell>
          <cell r="E8974">
            <v>17.399999999999999</v>
          </cell>
          <cell r="F8974">
            <v>17.399999999999999</v>
          </cell>
        </row>
        <row r="8975">
          <cell r="A8975" t="str">
            <v>422449</v>
          </cell>
          <cell r="B8975" t="str">
            <v>Luva de aço galvanizado à fogo, pesado, NBR-5598, fab. CARBINOX ou similar, bitola 4"</v>
          </cell>
          <cell r="C8975" t="str">
            <v>ud</v>
          </cell>
          <cell r="D8975">
            <v>0</v>
          </cell>
          <cell r="E8975">
            <v>25.47</v>
          </cell>
          <cell r="F8975">
            <v>25.47</v>
          </cell>
        </row>
        <row r="8976">
          <cell r="A8976" t="str">
            <v>422450</v>
          </cell>
          <cell r="B8976" t="str">
            <v>Luva de aço galvanizado à fogo, pesado, NBR-5624, fab. CARBINOX ou similar, bitola 3/4"</v>
          </cell>
          <cell r="C8976" t="str">
            <v>ud</v>
          </cell>
          <cell r="D8976">
            <v>0</v>
          </cell>
          <cell r="E8976">
            <v>0.78</v>
          </cell>
          <cell r="F8976">
            <v>0.78</v>
          </cell>
        </row>
        <row r="8977">
          <cell r="A8977" t="str">
            <v>422451</v>
          </cell>
          <cell r="B8977" t="str">
            <v>Luva de aço galvanizado à fogo, pesado, NBR-5624, fab. CARBINOX ou similar, bitola 1"</v>
          </cell>
          <cell r="C8977" t="str">
            <v>ud</v>
          </cell>
          <cell r="D8977">
            <v>0</v>
          </cell>
          <cell r="E8977">
            <v>0.97</v>
          </cell>
          <cell r="F8977">
            <v>0.97</v>
          </cell>
        </row>
        <row r="8978">
          <cell r="A8978" t="str">
            <v>422452</v>
          </cell>
          <cell r="B8978" t="str">
            <v>Luva de aço galvanizado à fogo, pesado, NBR-5624, fab. CARBINOX ou similar, bitola 1.1/4"</v>
          </cell>
          <cell r="C8978" t="str">
            <v>ud</v>
          </cell>
          <cell r="D8978">
            <v>0</v>
          </cell>
          <cell r="E8978">
            <v>1.38</v>
          </cell>
          <cell r="F8978">
            <v>1.38</v>
          </cell>
        </row>
        <row r="8979">
          <cell r="A8979" t="str">
            <v>422453</v>
          </cell>
          <cell r="B8979" t="str">
            <v>Luva de aço galvanizado à fogo, pesado, NBR-5624, fab. CARBINOX ou similar, bitola 1.1/2"</v>
          </cell>
          <cell r="C8979" t="str">
            <v>ud</v>
          </cell>
          <cell r="D8979">
            <v>0</v>
          </cell>
          <cell r="E8979">
            <v>1.92</v>
          </cell>
          <cell r="F8979">
            <v>1.92</v>
          </cell>
        </row>
        <row r="8980">
          <cell r="A8980" t="str">
            <v>422454</v>
          </cell>
          <cell r="B8980" t="str">
            <v>Luva de aço galvanizado à fogo, pesado, NBR-5624, fab. CARBINOX ou similar, bitola 2"</v>
          </cell>
          <cell r="C8980" t="str">
            <v>ud</v>
          </cell>
          <cell r="D8980">
            <v>0</v>
          </cell>
          <cell r="E8980">
            <v>2.76</v>
          </cell>
          <cell r="F8980">
            <v>2.76</v>
          </cell>
        </row>
        <row r="8981">
          <cell r="A8981" t="str">
            <v>422455</v>
          </cell>
          <cell r="B8981" t="str">
            <v>Luva de aço galvanizado à fogo, pesado, NBR-5624, fab. CARBINOX ou similar, bitola 2.1/2"</v>
          </cell>
          <cell r="C8981" t="str">
            <v>ud</v>
          </cell>
          <cell r="D8981">
            <v>0</v>
          </cell>
          <cell r="E8981">
            <v>4.58</v>
          </cell>
          <cell r="F8981">
            <v>4.58</v>
          </cell>
        </row>
        <row r="8982">
          <cell r="A8982" t="str">
            <v>422456</v>
          </cell>
          <cell r="B8982" t="str">
            <v>Luva de aço galvanizado à fogo, pesado, NBR-5624, fab. CARBINOX ou similar, bitola 3"</v>
          </cell>
          <cell r="C8982" t="str">
            <v>ud</v>
          </cell>
          <cell r="D8982">
            <v>0</v>
          </cell>
          <cell r="E8982">
            <v>6.44</v>
          </cell>
          <cell r="F8982">
            <v>6.44</v>
          </cell>
        </row>
        <row r="8983">
          <cell r="A8983" t="str">
            <v>422457</v>
          </cell>
          <cell r="B8983" t="str">
            <v>Luva de aço galvanizado à fogo, pesado, NBR-5624, fab. CARBINOX ou similar, bitola 4"</v>
          </cell>
          <cell r="C8983" t="str">
            <v>ud</v>
          </cell>
          <cell r="D8983">
            <v>0</v>
          </cell>
          <cell r="E8983">
            <v>9.75</v>
          </cell>
          <cell r="F8983">
            <v>9.75</v>
          </cell>
        </row>
        <row r="8984">
          <cell r="A8984" t="str">
            <v>422458</v>
          </cell>
          <cell r="B8984" t="str">
            <v>Luva de aço inox, 304/L,  fab. CARBINOX ou similar, bitola 3/4"</v>
          </cell>
          <cell r="C8984" t="str">
            <v>ud</v>
          </cell>
          <cell r="D8984">
            <v>0</v>
          </cell>
          <cell r="E8984">
            <v>13.96</v>
          </cell>
          <cell r="F8984">
            <v>13.96</v>
          </cell>
        </row>
        <row r="8985">
          <cell r="A8985" t="str">
            <v>422459</v>
          </cell>
          <cell r="B8985" t="str">
            <v>Luva de aço inox, 304/L,  fab. CARBINOX ou similar, bitola 1"</v>
          </cell>
          <cell r="C8985" t="str">
            <v>ud</v>
          </cell>
          <cell r="D8985">
            <v>0</v>
          </cell>
          <cell r="E8985">
            <v>20.93</v>
          </cell>
          <cell r="F8985">
            <v>20.93</v>
          </cell>
        </row>
        <row r="8986">
          <cell r="A8986" t="str">
            <v>422460</v>
          </cell>
          <cell r="B8986" t="str">
            <v>Luva de aço inox, 304/L,  fab. CARBINOX ou similar, bitola 1.1/4"</v>
          </cell>
          <cell r="C8986" t="str">
            <v>ud</v>
          </cell>
          <cell r="D8986">
            <v>0</v>
          </cell>
          <cell r="E8986">
            <v>26.17</v>
          </cell>
          <cell r="F8986">
            <v>26.17</v>
          </cell>
        </row>
        <row r="8987">
          <cell r="A8987" t="str">
            <v>422461</v>
          </cell>
          <cell r="B8987" t="str">
            <v>Luva de aço inox, 304/L,  fab. CARBINOX ou similar, bitola 1.1/2"</v>
          </cell>
          <cell r="C8987" t="str">
            <v>ud</v>
          </cell>
          <cell r="D8987">
            <v>0</v>
          </cell>
          <cell r="E8987">
            <v>31.4</v>
          </cell>
          <cell r="F8987">
            <v>31.4</v>
          </cell>
        </row>
        <row r="8988">
          <cell r="A8988" t="str">
            <v>422462</v>
          </cell>
          <cell r="B8988" t="str">
            <v>Luva de aço inox, 304/L,  fab. CARBINOX ou similar, bitola 2"</v>
          </cell>
          <cell r="C8988" t="str">
            <v>ud</v>
          </cell>
          <cell r="D8988">
            <v>0</v>
          </cell>
          <cell r="E8988">
            <v>43.61</v>
          </cell>
          <cell r="F8988">
            <v>43.61</v>
          </cell>
        </row>
        <row r="8989">
          <cell r="A8989" t="str">
            <v>422463</v>
          </cell>
          <cell r="B8989" t="str">
            <v>Luva de aço inox, 304/L,  fab. CARBINOX ou similar, bitola 2.1/2"</v>
          </cell>
          <cell r="C8989" t="str">
            <v>ud</v>
          </cell>
          <cell r="D8989">
            <v>0</v>
          </cell>
          <cell r="E8989">
            <v>104.66</v>
          </cell>
          <cell r="F8989">
            <v>104.66</v>
          </cell>
        </row>
        <row r="8990">
          <cell r="A8990" t="str">
            <v>422464</v>
          </cell>
          <cell r="B8990" t="str">
            <v>Luva de aço inox, 304/L,  fab. CARBINOX ou similar, bitola 3"</v>
          </cell>
          <cell r="C8990" t="str">
            <v>ud</v>
          </cell>
          <cell r="D8990">
            <v>0</v>
          </cell>
          <cell r="E8990">
            <v>122.11</v>
          </cell>
          <cell r="F8990">
            <v>122.11</v>
          </cell>
        </row>
        <row r="8991">
          <cell r="A8991" t="str">
            <v>422465</v>
          </cell>
          <cell r="B8991" t="str">
            <v>Luva de aço inox, 304/L,  fab. CARBINOX ou similar, bitola 4"</v>
          </cell>
          <cell r="C8991" t="str">
            <v>ud</v>
          </cell>
          <cell r="D8991">
            <v>0</v>
          </cell>
          <cell r="E8991">
            <v>139.55000000000001</v>
          </cell>
          <cell r="F8991">
            <v>139.55000000000001</v>
          </cell>
        </row>
        <row r="8992">
          <cell r="A8992" t="str">
            <v>4225</v>
          </cell>
          <cell r="B8992" t="str">
            <v>ELETRODUTOS DE ALUMINIO E CONEXÕES</v>
          </cell>
          <cell r="C8992">
            <v>0</v>
          </cell>
          <cell r="D8992">
            <v>0</v>
          </cell>
          <cell r="E8992">
            <v>0</v>
          </cell>
          <cell r="F8992">
            <v>0</v>
          </cell>
        </row>
        <row r="8993">
          <cell r="A8993" t="str">
            <v>422501</v>
          </cell>
          <cell r="B8993" t="str">
            <v>Eletroduto de alumínio, pesado, com luva, barra de 3m,  fab. ELECON ou similar, bitola 3/4"  (292581)</v>
          </cell>
          <cell r="C8993" t="str">
            <v>ud</v>
          </cell>
          <cell r="D8993">
            <v>0</v>
          </cell>
          <cell r="E8993">
            <v>39.32</v>
          </cell>
          <cell r="F8993">
            <v>39.32</v>
          </cell>
        </row>
        <row r="8994">
          <cell r="A8994" t="str">
            <v>422502</v>
          </cell>
          <cell r="B8994" t="str">
            <v>Eletroduto de alumínio, pesado, com luva, barra de 3m,  fab. ELECON ou similar, bitola 1"  (289991)</v>
          </cell>
          <cell r="C8994" t="str">
            <v>ud</v>
          </cell>
          <cell r="D8994">
            <v>0</v>
          </cell>
          <cell r="E8994">
            <v>55.97</v>
          </cell>
          <cell r="F8994">
            <v>55.97</v>
          </cell>
        </row>
        <row r="8995">
          <cell r="A8995" t="str">
            <v>422503</v>
          </cell>
          <cell r="B8995" t="str">
            <v>Eletroduto de alumínio, pesado, com luva, barra de 3m,  fab. ELECON ou similar, bitola 1.1/4"</v>
          </cell>
          <cell r="C8995" t="str">
            <v>ud</v>
          </cell>
          <cell r="D8995">
            <v>0</v>
          </cell>
          <cell r="E8995">
            <v>71.78</v>
          </cell>
          <cell r="F8995">
            <v>71.78</v>
          </cell>
        </row>
        <row r="8996">
          <cell r="A8996" t="str">
            <v>422504</v>
          </cell>
          <cell r="B8996" t="str">
            <v>Eletroduto de alumínio, pesado, com luva, barra de 3m,  fab. ELECON ou similar, bitola 1.1/2"</v>
          </cell>
          <cell r="C8996" t="str">
            <v>ud</v>
          </cell>
          <cell r="D8996">
            <v>0</v>
          </cell>
          <cell r="E8996">
            <v>89.01</v>
          </cell>
          <cell r="F8996">
            <v>89.01</v>
          </cell>
        </row>
        <row r="8997">
          <cell r="A8997" t="str">
            <v>422505</v>
          </cell>
          <cell r="B8997" t="str">
            <v>Eletroduto de alumínio, pesado, com luva, barra de 3m,  fab. ELECON ou similar, bitola 2"  (292577)</v>
          </cell>
          <cell r="C8997" t="str">
            <v>ud</v>
          </cell>
          <cell r="D8997">
            <v>0</v>
          </cell>
          <cell r="E8997">
            <v>120.6</v>
          </cell>
          <cell r="F8997">
            <v>120.6</v>
          </cell>
        </row>
        <row r="8998">
          <cell r="A8998" t="str">
            <v>422506</v>
          </cell>
          <cell r="B8998" t="str">
            <v>Eletroduto de alumínio, pesado, com luva, barra de 3m,  fab. ELECON ou similar, bitola 2.1/2"</v>
          </cell>
          <cell r="C8998" t="str">
            <v>ud</v>
          </cell>
          <cell r="D8998">
            <v>0</v>
          </cell>
          <cell r="E8998">
            <v>157.11000000000001</v>
          </cell>
          <cell r="F8998">
            <v>157.11000000000001</v>
          </cell>
        </row>
        <row r="8999">
          <cell r="A8999" t="str">
            <v>422507</v>
          </cell>
          <cell r="B8999" t="str">
            <v>Eletroduto de alumínio, pesado, com luva, barra de 3m,  fab. ELECON ou similar, bitola 3"  (289992)</v>
          </cell>
          <cell r="C8999" t="str">
            <v>ud</v>
          </cell>
          <cell r="D8999">
            <v>0</v>
          </cell>
          <cell r="E8999">
            <v>288.51</v>
          </cell>
          <cell r="F8999">
            <v>288.51</v>
          </cell>
        </row>
        <row r="9000">
          <cell r="A9000" t="str">
            <v>422508</v>
          </cell>
          <cell r="B9000" t="str">
            <v>Eletroduto de alumínio, pesado, com luva, barra de 3m,  fab. ELECON ou similar, bitola 4"  (299338)</v>
          </cell>
          <cell r="C9000" t="str">
            <v>ud</v>
          </cell>
          <cell r="D9000">
            <v>0</v>
          </cell>
          <cell r="E9000">
            <v>418.98</v>
          </cell>
          <cell r="F9000">
            <v>418.98</v>
          </cell>
        </row>
        <row r="9001">
          <cell r="A9001" t="str">
            <v>422509</v>
          </cell>
          <cell r="B9001" t="str">
            <v>Curva em alumínio, pesado, 90º,  fab. CARBINOX ou similar, bitola 3/4"</v>
          </cell>
          <cell r="C9001" t="str">
            <v>ud</v>
          </cell>
          <cell r="D9001">
            <v>0</v>
          </cell>
          <cell r="E9001">
            <v>5.91</v>
          </cell>
          <cell r="F9001">
            <v>5.91</v>
          </cell>
        </row>
        <row r="9002">
          <cell r="A9002" t="str">
            <v>422510</v>
          </cell>
          <cell r="B9002" t="str">
            <v>Curva em alumínio, pesado, 90º,  fab. CARBINOX ou similar, bitola 1"</v>
          </cell>
          <cell r="C9002" t="str">
            <v>ud</v>
          </cell>
          <cell r="D9002">
            <v>0</v>
          </cell>
          <cell r="E9002">
            <v>10.9</v>
          </cell>
          <cell r="F9002">
            <v>10.9</v>
          </cell>
        </row>
        <row r="9003">
          <cell r="A9003" t="str">
            <v>422511</v>
          </cell>
          <cell r="B9003" t="str">
            <v>Curva em alumínio, pesado, 90º,  fab. CARBINOX ou similar, bitola 1.1/4"</v>
          </cell>
          <cell r="C9003" t="str">
            <v>ud</v>
          </cell>
          <cell r="D9003">
            <v>0</v>
          </cell>
          <cell r="E9003">
            <v>19.95</v>
          </cell>
          <cell r="F9003">
            <v>19.95</v>
          </cell>
        </row>
        <row r="9004">
          <cell r="A9004" t="str">
            <v>422512</v>
          </cell>
          <cell r="B9004" t="str">
            <v>Curva em alumínio, pesado, 90º,  fab. CARBINOX ou similar, bitola 1.1/2"</v>
          </cell>
          <cell r="C9004" t="str">
            <v>ud</v>
          </cell>
          <cell r="D9004">
            <v>0</v>
          </cell>
          <cell r="E9004">
            <v>21.64</v>
          </cell>
          <cell r="F9004">
            <v>21.64</v>
          </cell>
        </row>
        <row r="9005">
          <cell r="A9005" t="str">
            <v>422513</v>
          </cell>
          <cell r="B9005" t="str">
            <v>Curva em alumínio, pesado, 90º,  fab. CARBINOX ou similar, bitola 2"</v>
          </cell>
          <cell r="C9005" t="str">
            <v>ud</v>
          </cell>
          <cell r="D9005">
            <v>0</v>
          </cell>
          <cell r="E9005">
            <v>41.11</v>
          </cell>
          <cell r="F9005">
            <v>41.11</v>
          </cell>
        </row>
        <row r="9006">
          <cell r="A9006" t="str">
            <v>422514</v>
          </cell>
          <cell r="B9006" t="str">
            <v>Curva em alumínio, pesado, 90º,  fab. CARBINOX ou similar, bitola 2.1/2"</v>
          </cell>
          <cell r="C9006" t="str">
            <v>ud</v>
          </cell>
          <cell r="D9006">
            <v>0</v>
          </cell>
          <cell r="E9006">
            <v>55.5</v>
          </cell>
          <cell r="F9006">
            <v>55.5</v>
          </cell>
        </row>
        <row r="9007">
          <cell r="A9007" t="str">
            <v>422515</v>
          </cell>
          <cell r="B9007" t="str">
            <v>Curva em alumínio, pesado, 90º,  fab. CARBINOX ou similar, bitola 3"</v>
          </cell>
          <cell r="C9007" t="str">
            <v>ud</v>
          </cell>
          <cell r="D9007">
            <v>0</v>
          </cell>
          <cell r="E9007">
            <v>97.83</v>
          </cell>
          <cell r="F9007">
            <v>97.83</v>
          </cell>
        </row>
        <row r="9008">
          <cell r="A9008" t="str">
            <v>422516</v>
          </cell>
          <cell r="B9008" t="str">
            <v>Curva em alumínio, pesado, 90º,  fab. CARBINOX ou similar, bitola 4"</v>
          </cell>
          <cell r="C9008" t="str">
            <v>ud</v>
          </cell>
          <cell r="D9008">
            <v>0</v>
          </cell>
          <cell r="E9008">
            <v>124.57</v>
          </cell>
          <cell r="F9008">
            <v>124.57</v>
          </cell>
        </row>
        <row r="9009">
          <cell r="A9009" t="str">
            <v>422517</v>
          </cell>
          <cell r="B9009" t="str">
            <v>Curva em alumínio, pesado, 135º,  fab. CARBINOX ou similar, bitola 3/4"</v>
          </cell>
          <cell r="C9009" t="str">
            <v>ud</v>
          </cell>
          <cell r="D9009">
            <v>0</v>
          </cell>
          <cell r="E9009">
            <v>6.14</v>
          </cell>
          <cell r="F9009">
            <v>6.14</v>
          </cell>
        </row>
        <row r="9010">
          <cell r="A9010" t="str">
            <v>422518</v>
          </cell>
          <cell r="B9010" t="str">
            <v>Curva em alumínio, pesado, 135º,  fab. CARBINOX ou similar, bitola 1"</v>
          </cell>
          <cell r="C9010" t="str">
            <v>ud</v>
          </cell>
          <cell r="D9010">
            <v>0</v>
          </cell>
          <cell r="E9010">
            <v>10.99</v>
          </cell>
          <cell r="F9010">
            <v>10.99</v>
          </cell>
        </row>
        <row r="9011">
          <cell r="A9011" t="str">
            <v>422519</v>
          </cell>
          <cell r="B9011" t="str">
            <v>Curva em alumínio, pesado, 135º,  fab. CARBINOX ou similar, bitola 1.1/4"</v>
          </cell>
          <cell r="C9011" t="str">
            <v>ud</v>
          </cell>
          <cell r="D9011">
            <v>0</v>
          </cell>
          <cell r="E9011">
            <v>19.68</v>
          </cell>
          <cell r="F9011">
            <v>19.68</v>
          </cell>
        </row>
        <row r="9012">
          <cell r="A9012" t="str">
            <v>422520</v>
          </cell>
          <cell r="B9012" t="str">
            <v>Curva em alumínio, pesado, 135º,  fab. CARBINOX ou similar, bitola 1.1/2"</v>
          </cell>
          <cell r="C9012" t="str">
            <v>ud</v>
          </cell>
          <cell r="D9012">
            <v>0</v>
          </cell>
          <cell r="E9012">
            <v>31.64</v>
          </cell>
          <cell r="F9012">
            <v>31.64</v>
          </cell>
        </row>
        <row r="9013">
          <cell r="A9013" t="str">
            <v>422521</v>
          </cell>
          <cell r="B9013" t="str">
            <v>Curva em alumínio, pesado, 135º,  fab. CARBINOX ou similar, bitola 2"</v>
          </cell>
          <cell r="C9013" t="str">
            <v>ud</v>
          </cell>
          <cell r="D9013">
            <v>0</v>
          </cell>
          <cell r="E9013">
            <v>45.85</v>
          </cell>
          <cell r="F9013">
            <v>45.85</v>
          </cell>
        </row>
        <row r="9014">
          <cell r="A9014" t="str">
            <v>422522</v>
          </cell>
          <cell r="B9014" t="str">
            <v>Curva em alumínio, pesado, 135º,  fab. CARBINOX ou similar, bitola 2.1/2"</v>
          </cell>
          <cell r="C9014" t="str">
            <v>ud</v>
          </cell>
          <cell r="D9014">
            <v>0</v>
          </cell>
          <cell r="E9014">
            <v>91.93</v>
          </cell>
          <cell r="F9014">
            <v>91.93</v>
          </cell>
        </row>
        <row r="9015">
          <cell r="A9015" t="str">
            <v>422523</v>
          </cell>
          <cell r="B9015" t="str">
            <v>Curva em alumínio, pesado, 135º,  fab. CARBINOX ou similar, bitola 3"</v>
          </cell>
          <cell r="C9015" t="str">
            <v>ud</v>
          </cell>
          <cell r="D9015">
            <v>0</v>
          </cell>
          <cell r="E9015">
            <v>114.69</v>
          </cell>
          <cell r="F9015">
            <v>114.69</v>
          </cell>
        </row>
        <row r="9016">
          <cell r="A9016" t="str">
            <v>422524</v>
          </cell>
          <cell r="B9016" t="str">
            <v>Curva em alumínio, pesado, 135º,  fab. CARBINOX ou similar, bitola 4"</v>
          </cell>
          <cell r="C9016" t="str">
            <v>ud</v>
          </cell>
          <cell r="D9016">
            <v>0</v>
          </cell>
          <cell r="E9016">
            <v>247.68</v>
          </cell>
          <cell r="F9016">
            <v>247.68</v>
          </cell>
        </row>
        <row r="9017">
          <cell r="A9017" t="str">
            <v>422526</v>
          </cell>
          <cell r="B9017" t="str">
            <v>Luva de alumínio, pesado, fab. CARBINOX ou similar, bitola 3/4"</v>
          </cell>
          <cell r="C9017" t="str">
            <v>ud</v>
          </cell>
          <cell r="D9017">
            <v>0</v>
          </cell>
          <cell r="E9017">
            <v>2.96</v>
          </cell>
          <cell r="F9017">
            <v>2.96</v>
          </cell>
        </row>
        <row r="9018">
          <cell r="A9018" t="str">
            <v>422527</v>
          </cell>
          <cell r="B9018" t="str">
            <v>Luva de alumínio, pesado, fab. CARBINOX ou similar, bitola 1"</v>
          </cell>
          <cell r="C9018" t="str">
            <v>ud</v>
          </cell>
          <cell r="D9018">
            <v>0</v>
          </cell>
          <cell r="E9018">
            <v>4.51</v>
          </cell>
          <cell r="F9018">
            <v>4.51</v>
          </cell>
        </row>
        <row r="9019">
          <cell r="A9019" t="str">
            <v>422528</v>
          </cell>
          <cell r="B9019" t="str">
            <v>Luva de alumínio, pesado, fab. CARBINOX ou similar, bitola 1.1/4"</v>
          </cell>
          <cell r="C9019" t="str">
            <v>ud</v>
          </cell>
          <cell r="D9019">
            <v>0</v>
          </cell>
          <cell r="E9019">
            <v>4.6100000000000003</v>
          </cell>
          <cell r="F9019">
            <v>4.6100000000000003</v>
          </cell>
        </row>
        <row r="9020">
          <cell r="A9020" t="str">
            <v>422529</v>
          </cell>
          <cell r="B9020" t="str">
            <v>Luva de alumínio, pesado, fab. CARBINOX ou similar, bitola 1.1/2"</v>
          </cell>
          <cell r="C9020" t="str">
            <v>ud</v>
          </cell>
          <cell r="D9020">
            <v>0</v>
          </cell>
          <cell r="E9020">
            <v>7.83</v>
          </cell>
          <cell r="F9020">
            <v>7.83</v>
          </cell>
        </row>
        <row r="9021">
          <cell r="A9021" t="str">
            <v>422530</v>
          </cell>
          <cell r="B9021" t="str">
            <v>Luva de alumínio, pesado, fab. CARBINOX ou similar, bitola 2"</v>
          </cell>
          <cell r="C9021" t="str">
            <v>ud</v>
          </cell>
          <cell r="D9021">
            <v>0</v>
          </cell>
          <cell r="E9021">
            <v>13.12</v>
          </cell>
          <cell r="F9021">
            <v>13.12</v>
          </cell>
        </row>
        <row r="9022">
          <cell r="A9022" t="str">
            <v>422531</v>
          </cell>
          <cell r="B9022" t="str">
            <v>Luva de alumínio, pesado, fab. CARBINOX ou similar, bitola 2.1/2"</v>
          </cell>
          <cell r="C9022" t="str">
            <v>ud</v>
          </cell>
          <cell r="D9022">
            <v>0</v>
          </cell>
          <cell r="E9022">
            <v>15.06</v>
          </cell>
          <cell r="F9022">
            <v>15.06</v>
          </cell>
        </row>
        <row r="9023">
          <cell r="A9023" t="str">
            <v>422532</v>
          </cell>
          <cell r="B9023" t="str">
            <v>Luva de alumínio, pesado, fab. CARBINOX ou similar, bitola 3"</v>
          </cell>
          <cell r="C9023" t="str">
            <v>ud</v>
          </cell>
          <cell r="D9023">
            <v>0</v>
          </cell>
          <cell r="E9023">
            <v>25.79</v>
          </cell>
          <cell r="F9023">
            <v>25.79</v>
          </cell>
        </row>
        <row r="9024">
          <cell r="A9024" t="str">
            <v>422533</v>
          </cell>
          <cell r="B9024" t="str">
            <v>Luva de alumínio, pesado, fab. CARBINOX ou similar, bitola 4"</v>
          </cell>
          <cell r="C9024" t="str">
            <v>ud</v>
          </cell>
          <cell r="D9024">
            <v>0</v>
          </cell>
          <cell r="E9024">
            <v>36.369999999999997</v>
          </cell>
          <cell r="F9024">
            <v>36.369999999999997</v>
          </cell>
        </row>
        <row r="9025">
          <cell r="A9025" t="str">
            <v>422534</v>
          </cell>
          <cell r="B9025" t="str">
            <v>Unidut cônico, instalação ao tempo, em liga de alumínio, tipo de instalação (D-S-PA), ref. UCT, fab. DAISA ou similar, bitola 3/4"</v>
          </cell>
          <cell r="C9025" t="str">
            <v>ud</v>
          </cell>
          <cell r="D9025">
            <v>0</v>
          </cell>
          <cell r="E9025">
            <v>3.64</v>
          </cell>
          <cell r="F9025">
            <v>3.64</v>
          </cell>
        </row>
        <row r="9026">
          <cell r="A9026" t="str">
            <v>422535</v>
          </cell>
          <cell r="B9026" t="str">
            <v>Unidut cônico, instalação ao tempo, em liga de alumínio, tipo de instalação (D-S-PA), ref. UCT, fab. DAISA ou similar, nas bitola 1"</v>
          </cell>
          <cell r="C9026" t="str">
            <v>ud</v>
          </cell>
          <cell r="D9026">
            <v>0</v>
          </cell>
          <cell r="E9026">
            <v>5.38</v>
          </cell>
          <cell r="F9026">
            <v>5.38</v>
          </cell>
        </row>
        <row r="9027">
          <cell r="A9027" t="str">
            <v>422536</v>
          </cell>
          <cell r="B9027" t="str">
            <v>Unidut cônico, instalação ao tempo, em liga de alumínio, tipo de instalação (D-S-PA), ref. UCT, fab. DAISA ou similar,  bitola 1.1/4"</v>
          </cell>
          <cell r="C9027" t="str">
            <v>ud</v>
          </cell>
          <cell r="D9027">
            <v>0</v>
          </cell>
          <cell r="E9027">
            <v>9.06</v>
          </cell>
          <cell r="F9027">
            <v>9.06</v>
          </cell>
        </row>
        <row r="9028">
          <cell r="A9028" t="str">
            <v>422537</v>
          </cell>
          <cell r="B9028" t="str">
            <v>Unidut cônico, instalação ao tempo, em liga de alumínio, tipo de instalação (D-S-PA), ref. UCT, fab. DAISA ou similar,  bitola 1.1/2"</v>
          </cell>
          <cell r="C9028" t="str">
            <v>ud</v>
          </cell>
          <cell r="D9028">
            <v>0</v>
          </cell>
          <cell r="E9028">
            <v>12.14</v>
          </cell>
          <cell r="F9028">
            <v>12.14</v>
          </cell>
        </row>
        <row r="9029">
          <cell r="A9029" t="str">
            <v>422538</v>
          </cell>
          <cell r="B9029" t="str">
            <v>Unidut cônico, instalação ao tempo, em liga de alumínio, tipo de instalação (D-S-PA), ref. UCT, fab. DAISA ou similar,  bitola 2" (295607)</v>
          </cell>
          <cell r="C9029" t="str">
            <v>ud</v>
          </cell>
          <cell r="D9029">
            <v>0</v>
          </cell>
          <cell r="E9029">
            <v>17.25</v>
          </cell>
          <cell r="F9029">
            <v>17.25</v>
          </cell>
        </row>
        <row r="9030">
          <cell r="A9030" t="str">
            <v>422539</v>
          </cell>
          <cell r="B9030" t="str">
            <v>Unidut cônico, instalação ao tempo, em liga de alumínio, tipo de instalação (D-S-PA), ref. UCT, fab. DAISA ou similar,  bitola 2.1/2"</v>
          </cell>
          <cell r="C9030" t="str">
            <v>ud</v>
          </cell>
          <cell r="D9030">
            <v>0</v>
          </cell>
          <cell r="E9030">
            <v>31.56</v>
          </cell>
          <cell r="F9030">
            <v>31.56</v>
          </cell>
        </row>
        <row r="9031">
          <cell r="A9031" t="str">
            <v>422540</v>
          </cell>
          <cell r="B9031" t="str">
            <v>Unidut cônico, instalação ao tempo, em liga de alumínio, tipo de instalação (D-S-PA), ref. UCT, fab. DAISA ou similar,  bitola 3"</v>
          </cell>
          <cell r="C9031" t="str">
            <v>ud</v>
          </cell>
          <cell r="D9031">
            <v>0</v>
          </cell>
          <cell r="E9031">
            <v>37.42</v>
          </cell>
          <cell r="F9031">
            <v>37.42</v>
          </cell>
        </row>
        <row r="9032">
          <cell r="A9032" t="str">
            <v>422541</v>
          </cell>
          <cell r="B9032" t="str">
            <v>Unidut cônico, instalação ao tempo, em liga de alumínio, tipo de instalação (D-S-PA), ref. UCT, fab. DAISA ou similar,  bitola 4"</v>
          </cell>
          <cell r="C9032" t="str">
            <v>ud</v>
          </cell>
          <cell r="D9032">
            <v>0</v>
          </cell>
          <cell r="E9032">
            <v>68.73</v>
          </cell>
          <cell r="F9032">
            <v>68.73</v>
          </cell>
        </row>
        <row r="9033">
          <cell r="A9033" t="str">
            <v>422542</v>
          </cell>
          <cell r="B9033" t="str">
            <v>Curva em alumínio, pesado, 180º,  fab. ELECON ou similar, bitola  1.1/2"</v>
          </cell>
          <cell r="C9033" t="str">
            <v>ud</v>
          </cell>
          <cell r="D9033">
            <v>0</v>
          </cell>
          <cell r="E9033">
            <v>40.26</v>
          </cell>
          <cell r="F9033">
            <v>40.26</v>
          </cell>
        </row>
        <row r="9034">
          <cell r="A9034" t="str">
            <v>422543</v>
          </cell>
          <cell r="B9034" t="str">
            <v>Curva em alumínio, pesado, 180º,  fab. ELECOM ou similar, bitola  2"</v>
          </cell>
          <cell r="C9034" t="str">
            <v>ud</v>
          </cell>
          <cell r="D9034">
            <v>0</v>
          </cell>
          <cell r="E9034">
            <v>58.11</v>
          </cell>
          <cell r="F9034">
            <v>58.11</v>
          </cell>
        </row>
        <row r="9035">
          <cell r="A9035" t="str">
            <v>4226</v>
          </cell>
          <cell r="B9035" t="str">
            <v>ELETRODUTOS DE PVC, KANAFLEX E CONEXÕES</v>
          </cell>
          <cell r="C9035">
            <v>0</v>
          </cell>
          <cell r="D9035">
            <v>0</v>
          </cell>
          <cell r="E9035">
            <v>0</v>
          </cell>
          <cell r="F9035">
            <v>0</v>
          </cell>
        </row>
        <row r="9036">
          <cell r="A9036" t="str">
            <v>422601</v>
          </cell>
          <cell r="B9036" t="str">
            <v>Anel para fixação de eletroduto tipo Kanalex  na caixa de alumínio, fab. KANAFLEX ou similar, bitola 40mm (1.1/2")</v>
          </cell>
          <cell r="C9036" t="str">
            <v>ud</v>
          </cell>
          <cell r="D9036">
            <v>0</v>
          </cell>
          <cell r="E9036">
            <v>9.85</v>
          </cell>
          <cell r="F9036">
            <v>9.85</v>
          </cell>
        </row>
        <row r="9037">
          <cell r="A9037" t="str">
            <v>422602</v>
          </cell>
          <cell r="B9037" t="str">
            <v>Anel para vedação, fab. KANAFLEX ou similar,  bitola 40mm (1.1/2")</v>
          </cell>
          <cell r="C9037" t="str">
            <v>ud</v>
          </cell>
          <cell r="D9037">
            <v>0</v>
          </cell>
          <cell r="E9037">
            <v>3.13</v>
          </cell>
          <cell r="F9037">
            <v>3.13</v>
          </cell>
        </row>
        <row r="9038">
          <cell r="A9038" t="str">
            <v>422603</v>
          </cell>
          <cell r="B9038" t="str">
            <v>Conector (terminal) para sealtubo, tipo macho giratório em aço galvanizado, ref TMG, fab. TECNO-FLEX ou similar, bitola 1/2" (294555)</v>
          </cell>
          <cell r="C9038" t="str">
            <v>ud</v>
          </cell>
          <cell r="D9038">
            <v>0</v>
          </cell>
          <cell r="E9038">
            <v>6.15</v>
          </cell>
          <cell r="F9038">
            <v>6.15</v>
          </cell>
        </row>
        <row r="9039">
          <cell r="A9039" t="str">
            <v>422604</v>
          </cell>
          <cell r="B9039" t="str">
            <v>Conector (terminal) para sealtubo, tipo macho giratório em aço galvanizado, ref TMG, fab. TECNO-FLEX ou similar, bitola 3/4"</v>
          </cell>
          <cell r="C9039" t="str">
            <v>ud</v>
          </cell>
          <cell r="D9039">
            <v>0</v>
          </cell>
          <cell r="E9039">
            <v>7.8</v>
          </cell>
          <cell r="F9039">
            <v>7.8</v>
          </cell>
        </row>
        <row r="9040">
          <cell r="A9040" t="str">
            <v>422605</v>
          </cell>
          <cell r="B9040" t="str">
            <v>Conector (terminal) para sealtubo, tipo macho giratório em aço galvanizado, ref TMG, fab. TECNO-FLEX ou similar, bitola 1" (294778)</v>
          </cell>
          <cell r="C9040" t="str">
            <v>ud</v>
          </cell>
          <cell r="D9040">
            <v>0</v>
          </cell>
          <cell r="E9040">
            <v>11.3</v>
          </cell>
          <cell r="F9040">
            <v>11.3</v>
          </cell>
        </row>
        <row r="9041">
          <cell r="A9041" t="str">
            <v>422606</v>
          </cell>
          <cell r="B9041" t="str">
            <v>Conector (terminal) para sealtubo, tipo macho giratório em aço galvanizado, ref TMG, fab. TECNO-FLEX ou similar, bitola 1.1/4"</v>
          </cell>
          <cell r="C9041" t="str">
            <v>ud</v>
          </cell>
          <cell r="D9041">
            <v>0</v>
          </cell>
          <cell r="E9041">
            <v>21.56</v>
          </cell>
          <cell r="F9041">
            <v>21.56</v>
          </cell>
        </row>
        <row r="9042">
          <cell r="A9042" t="str">
            <v>422607</v>
          </cell>
          <cell r="B9042" t="str">
            <v>Conector (terminal) para sealtubo, tipo macho giratório em aço galvanizado, ref TMG, fab. TECNO-FLEX ou similar, bitola 1.1/2"</v>
          </cell>
          <cell r="C9042" t="str">
            <v>ud</v>
          </cell>
          <cell r="D9042">
            <v>0</v>
          </cell>
          <cell r="E9042">
            <v>25</v>
          </cell>
          <cell r="F9042">
            <v>25</v>
          </cell>
        </row>
        <row r="9043">
          <cell r="A9043" t="str">
            <v>422608</v>
          </cell>
          <cell r="B9043" t="str">
            <v>Conector (terminal) para sealtubo, tipo macho giratório em aço galvanizado, ref TMG, fab. TECNO-FLEX ou similar, bitola 2" (296843)</v>
          </cell>
          <cell r="C9043" t="str">
            <v>ud</v>
          </cell>
          <cell r="D9043">
            <v>0</v>
          </cell>
          <cell r="E9043">
            <v>34.08</v>
          </cell>
          <cell r="F9043">
            <v>34.08</v>
          </cell>
        </row>
        <row r="9044">
          <cell r="A9044" t="str">
            <v>422609</v>
          </cell>
          <cell r="B9044" t="str">
            <v>Conector (terminal) para sealtubo, tipo macho giratório em aço galvanizado, ref TMG, fab. TECNO-FLEX ou similar, bitola 2.1/2"</v>
          </cell>
          <cell r="C9044" t="str">
            <v>ud</v>
          </cell>
          <cell r="D9044">
            <v>0</v>
          </cell>
          <cell r="E9044">
            <v>58.62</v>
          </cell>
          <cell r="F9044">
            <v>58.62</v>
          </cell>
        </row>
        <row r="9045">
          <cell r="A9045" t="str">
            <v>422610</v>
          </cell>
          <cell r="B9045" t="str">
            <v>Conector (terminal) para sealtubo, tipo macho giratório em aço galvanizado, ref TMG, fab. TECNO-FLEX ou similar, bitola 3" (298877)</v>
          </cell>
          <cell r="C9045" t="str">
            <v>ud</v>
          </cell>
          <cell r="D9045">
            <v>0</v>
          </cell>
          <cell r="E9045">
            <v>68.709999999999994</v>
          </cell>
          <cell r="F9045">
            <v>68.709999999999994</v>
          </cell>
        </row>
        <row r="9046">
          <cell r="A9046" t="str">
            <v>422611</v>
          </cell>
          <cell r="B9046" t="str">
            <v>Conector (terminal) para sealtubo, tipo macho giratório em aço galvanizado, ref TMG, fab. TECNO-FLEX ou similar, bitola 4"</v>
          </cell>
          <cell r="C9046" t="str">
            <v>ud</v>
          </cell>
          <cell r="D9046">
            <v>0</v>
          </cell>
          <cell r="E9046">
            <v>101.69</v>
          </cell>
          <cell r="F9046">
            <v>101.69</v>
          </cell>
        </row>
        <row r="9047">
          <cell r="A9047" t="str">
            <v>422612</v>
          </cell>
          <cell r="B9047" t="str">
            <v>Conector (terminal) para sealtubo, tipo macho fixo em aço galvanizado, ref. TMF fab. TECNO-FLEX ou similar, na bitola 1/2"</v>
          </cell>
          <cell r="C9047" t="str">
            <v>ud</v>
          </cell>
          <cell r="D9047">
            <v>0</v>
          </cell>
          <cell r="E9047">
            <v>3.55</v>
          </cell>
          <cell r="F9047">
            <v>3.55</v>
          </cell>
        </row>
        <row r="9048">
          <cell r="A9048" t="str">
            <v>422613</v>
          </cell>
          <cell r="B9048" t="str">
            <v>Conector (terminal) para sealtubo, tipo macho fixo em aço galvanizado, ref. TMF fab. TECNO-FLEX ou similar, na bitola 3/4"</v>
          </cell>
          <cell r="C9048" t="str">
            <v>ud</v>
          </cell>
          <cell r="D9048">
            <v>0</v>
          </cell>
          <cell r="E9048">
            <v>5.26</v>
          </cell>
          <cell r="F9048">
            <v>5.26</v>
          </cell>
        </row>
        <row r="9049">
          <cell r="A9049" t="str">
            <v>422614</v>
          </cell>
          <cell r="B9049" t="str">
            <v>Conector (terminal) para sealtubo, tipo macho fixo em aço galvanizado, ref. TMF fab. TECNO-FLEX ou similar, na bitola 1"</v>
          </cell>
          <cell r="C9049" t="str">
            <v>ud</v>
          </cell>
          <cell r="D9049">
            <v>0</v>
          </cell>
          <cell r="E9049">
            <v>8.65</v>
          </cell>
          <cell r="F9049">
            <v>8.65</v>
          </cell>
        </row>
        <row r="9050">
          <cell r="A9050" t="str">
            <v>422615</v>
          </cell>
          <cell r="B9050" t="str">
            <v>Conector (terminal) para sealtubo, tipo macho fixo em aço galvanizado, ref. TMF fab. TECNO-FLEX ou similar, na bitola 1.1/4"</v>
          </cell>
          <cell r="C9050" t="str">
            <v>ud</v>
          </cell>
          <cell r="D9050">
            <v>0</v>
          </cell>
          <cell r="E9050">
            <v>20.309999999999999</v>
          </cell>
          <cell r="F9050">
            <v>20.309999999999999</v>
          </cell>
        </row>
        <row r="9051">
          <cell r="A9051" t="str">
            <v>422616</v>
          </cell>
          <cell r="B9051" t="str">
            <v>Conector (terminal) para sealtubo, tipo macho fixo em aço galvanizado, ref. TMF fab. TECNO-FLEX ou similar, na bitola 1.1/2"</v>
          </cell>
          <cell r="C9051" t="str">
            <v>ud</v>
          </cell>
          <cell r="D9051">
            <v>0</v>
          </cell>
          <cell r="E9051">
            <v>23.86</v>
          </cell>
          <cell r="F9051">
            <v>23.86</v>
          </cell>
        </row>
        <row r="9052">
          <cell r="A9052" t="str">
            <v>422617</v>
          </cell>
          <cell r="B9052" t="str">
            <v>Conector (terminal) para sealtubo, tipo macho fixo em aço galvanizado, ref. TMF fab. TECNO-FLEX ou similar, na bitola 2"</v>
          </cell>
          <cell r="C9052" t="str">
            <v>ud</v>
          </cell>
          <cell r="D9052">
            <v>0</v>
          </cell>
          <cell r="E9052">
            <v>34.51</v>
          </cell>
          <cell r="F9052">
            <v>34.51</v>
          </cell>
        </row>
        <row r="9053">
          <cell r="A9053" t="str">
            <v>422618</v>
          </cell>
          <cell r="B9053" t="str">
            <v>Conector (terminal) para sealtubo, tipo macho fixo em aço galvanizado, ref. TMF fab. TECNO-FLEX ou similar, na bitola 2.1/2"</v>
          </cell>
          <cell r="C9053" t="str">
            <v>ud</v>
          </cell>
          <cell r="D9053">
            <v>0</v>
          </cell>
          <cell r="E9053">
            <v>62.07</v>
          </cell>
          <cell r="F9053">
            <v>62.07</v>
          </cell>
        </row>
        <row r="9054">
          <cell r="A9054" t="str">
            <v>422619</v>
          </cell>
          <cell r="B9054" t="str">
            <v>Conector (terminal) para sealtubo, tipo macho fixo em aço galvanizado, ref. TMF fab. TECNO-FLEX ou similar, na bitola 3"</v>
          </cell>
          <cell r="C9054" t="str">
            <v>ud</v>
          </cell>
          <cell r="D9054">
            <v>0</v>
          </cell>
          <cell r="E9054">
            <v>77.989999999999995</v>
          </cell>
          <cell r="F9054">
            <v>77.989999999999995</v>
          </cell>
        </row>
        <row r="9055">
          <cell r="A9055" t="str">
            <v>422620</v>
          </cell>
          <cell r="B9055" t="str">
            <v>Conector (terminal) para sealtubo, tipo macho fixo em aço galvanizado, ref. TMF fab. TECNO-FLEX ou similar, na bitola 4"</v>
          </cell>
          <cell r="C9055" t="str">
            <v>ud</v>
          </cell>
          <cell r="D9055">
            <v>0</v>
          </cell>
          <cell r="E9055">
            <v>115.07</v>
          </cell>
          <cell r="F9055">
            <v>115.07</v>
          </cell>
        </row>
        <row r="9056">
          <cell r="A9056" t="str">
            <v>422621</v>
          </cell>
          <cell r="B9056" t="str">
            <v>Curva de PVC, roscável, anti-chama, 90º, cor cinza,  fab. TIGRE ou similar, bitola 3/4"  (288591)</v>
          </cell>
          <cell r="C9056" t="str">
            <v>ud</v>
          </cell>
          <cell r="D9056">
            <v>0</v>
          </cell>
          <cell r="E9056">
            <v>2.93</v>
          </cell>
          <cell r="F9056">
            <v>2.93</v>
          </cell>
        </row>
        <row r="9057">
          <cell r="A9057" t="str">
            <v>422622</v>
          </cell>
          <cell r="B9057" t="str">
            <v>Curva de PVC, roscável, anti-chama, 90º, cor cinza,  fab. TIGRE ou similar, bitola 1"  (79014)</v>
          </cell>
          <cell r="C9057" t="str">
            <v>ud</v>
          </cell>
          <cell r="D9057">
            <v>0</v>
          </cell>
          <cell r="E9057">
            <v>3.87</v>
          </cell>
          <cell r="F9057">
            <v>3.87</v>
          </cell>
        </row>
        <row r="9058">
          <cell r="A9058" t="str">
            <v>422623</v>
          </cell>
          <cell r="B9058" t="str">
            <v>Curva de PVC, roscável, anti-chama, 90º, fab. TIGRE ou similar, bitola 3/4"  (51160)</v>
          </cell>
          <cell r="C9058" t="str">
            <v>ud</v>
          </cell>
          <cell r="D9058">
            <v>0</v>
          </cell>
          <cell r="E9058">
            <v>1.9</v>
          </cell>
          <cell r="F9058">
            <v>1.9</v>
          </cell>
          <cell r="G9058">
            <v>1879</v>
          </cell>
        </row>
        <row r="9059">
          <cell r="A9059" t="str">
            <v>422624</v>
          </cell>
          <cell r="B9059" t="str">
            <v>Curva de PVC, roscável, anti-chama, 90º, fab. TIGRE ou similar, bitola 1"  (296722)</v>
          </cell>
          <cell r="C9059" t="str">
            <v>ud</v>
          </cell>
          <cell r="D9059">
            <v>0</v>
          </cell>
          <cell r="E9059">
            <v>2.88</v>
          </cell>
          <cell r="F9059">
            <v>2.88</v>
          </cell>
          <cell r="G9059">
            <v>1884</v>
          </cell>
        </row>
        <row r="9060">
          <cell r="A9060" t="str">
            <v>422625</v>
          </cell>
          <cell r="B9060" t="str">
            <v>Curva de PVC, roscável, anti-chama, 90º, fab. TIGRE ou similar, bitola 1.1/4"  (291957)</v>
          </cell>
          <cell r="C9060" t="str">
            <v>ud</v>
          </cell>
          <cell r="D9060">
            <v>0</v>
          </cell>
          <cell r="E9060">
            <v>3.25</v>
          </cell>
          <cell r="F9060">
            <v>3.25</v>
          </cell>
          <cell r="G9060">
            <v>1874</v>
          </cell>
        </row>
        <row r="9061">
          <cell r="A9061" t="str">
            <v>422626</v>
          </cell>
          <cell r="B9061" t="str">
            <v>Curva de PVC, roscável, anti-chama, 90º, fab. TIGRE ou similar, bitola 1.1/2"  (51187)</v>
          </cell>
          <cell r="C9061" t="str">
            <v>ud</v>
          </cell>
          <cell r="D9061">
            <v>0</v>
          </cell>
          <cell r="E9061">
            <v>3.94</v>
          </cell>
          <cell r="F9061">
            <v>3.94</v>
          </cell>
          <cell r="G9061">
            <v>1875</v>
          </cell>
        </row>
        <row r="9062">
          <cell r="A9062" t="str">
            <v>422627</v>
          </cell>
          <cell r="B9062" t="str">
            <v>Curva de PVC, roscável, anti-chama, 90º, fab. TIGRE ou similar, bitola 2"  (272388)</v>
          </cell>
          <cell r="C9062" t="str">
            <v>ud</v>
          </cell>
          <cell r="D9062">
            <v>0</v>
          </cell>
          <cell r="E9062">
            <v>6.4</v>
          </cell>
          <cell r="F9062">
            <v>6.4</v>
          </cell>
          <cell r="G9062">
            <v>1876</v>
          </cell>
        </row>
        <row r="9063">
          <cell r="A9063" t="str">
            <v>422628</v>
          </cell>
          <cell r="B9063" t="str">
            <v>Curva de PVC, roscável, anti-chama, 90º, fab. TIGRE ou similar, bitola 2.1/2"</v>
          </cell>
          <cell r="C9063" t="str">
            <v>ud</v>
          </cell>
          <cell r="D9063">
            <v>0</v>
          </cell>
          <cell r="E9063">
            <v>16.34</v>
          </cell>
          <cell r="F9063">
            <v>16.34</v>
          </cell>
          <cell r="G9063">
            <v>1887</v>
          </cell>
        </row>
        <row r="9064">
          <cell r="A9064" t="str">
            <v>422629</v>
          </cell>
          <cell r="B9064" t="str">
            <v>Curva de PVC, roscável, anti-chama, 90º, fab. TIGRE ou similar, bitola 3"  (64580)</v>
          </cell>
          <cell r="C9064" t="str">
            <v>ud</v>
          </cell>
          <cell r="D9064">
            <v>0</v>
          </cell>
          <cell r="E9064">
            <v>16.36</v>
          </cell>
          <cell r="F9064">
            <v>16.36</v>
          </cell>
          <cell r="G9064">
            <v>1877</v>
          </cell>
        </row>
        <row r="9065">
          <cell r="A9065" t="str">
            <v>422630</v>
          </cell>
          <cell r="B9065" t="str">
            <v>Curva de PVC, roscável, anti-chama, 90º, fab. TIGRE ou similar, bitola 4"  (123706)</v>
          </cell>
          <cell r="C9065" t="str">
            <v>ud</v>
          </cell>
          <cell r="D9065">
            <v>0</v>
          </cell>
          <cell r="E9065">
            <v>32.880000000000003</v>
          </cell>
          <cell r="F9065">
            <v>32.880000000000003</v>
          </cell>
          <cell r="G9065">
            <v>1878</v>
          </cell>
        </row>
        <row r="9066">
          <cell r="A9066" t="str">
            <v>422631</v>
          </cell>
          <cell r="B9066" t="str">
            <v>Curva de PVC, roscável, anti-chama, 135º, fab. TIGRE ou similar, bitola 3/4"  (287210)</v>
          </cell>
          <cell r="C9066" t="str">
            <v>ud</v>
          </cell>
          <cell r="D9066">
            <v>0</v>
          </cell>
          <cell r="E9066">
            <v>2.38</v>
          </cell>
          <cell r="F9066">
            <v>2.38</v>
          </cell>
        </row>
        <row r="9067">
          <cell r="A9067" t="str">
            <v>422632</v>
          </cell>
          <cell r="B9067" t="str">
            <v>Curva de PVC, roscável, anti-chama, 135º, fab. TIGRE ou similar, bitola 1"</v>
          </cell>
          <cell r="C9067" t="str">
            <v>ud</v>
          </cell>
          <cell r="D9067">
            <v>0</v>
          </cell>
          <cell r="E9067">
            <v>1.96</v>
          </cell>
          <cell r="F9067">
            <v>1.96</v>
          </cell>
        </row>
        <row r="9068">
          <cell r="A9068" t="str">
            <v>422633</v>
          </cell>
          <cell r="B9068" t="str">
            <v>Curva de PVC, roscável, anti-chama, 135º, fab. TIGRE ou similar, bitola 1.1/4"</v>
          </cell>
          <cell r="C9068" t="str">
            <v>ud</v>
          </cell>
          <cell r="D9068">
            <v>0</v>
          </cell>
          <cell r="E9068">
            <v>2.9</v>
          </cell>
          <cell r="F9068">
            <v>2.9</v>
          </cell>
        </row>
        <row r="9069">
          <cell r="A9069" t="str">
            <v>422634</v>
          </cell>
          <cell r="B9069" t="str">
            <v>Curva de PVC, roscável, anti-chama, 135º, fab. TIGRE ou similar, bitola 1.1/2"  (291493)</v>
          </cell>
          <cell r="C9069" t="str">
            <v>ud</v>
          </cell>
          <cell r="D9069">
            <v>0</v>
          </cell>
          <cell r="E9069">
            <v>3.42</v>
          </cell>
          <cell r="F9069">
            <v>3.42</v>
          </cell>
        </row>
        <row r="9070">
          <cell r="A9070" t="str">
            <v>422637</v>
          </cell>
          <cell r="B9070" t="str">
            <v>Eletroduto corrugado flexível, em PVC amarelo, tipo Tigreflex, bitola 3/4"  (288913)</v>
          </cell>
          <cell r="C9070" t="str">
            <v>m</v>
          </cell>
          <cell r="D9070">
            <v>0</v>
          </cell>
          <cell r="E9070">
            <v>1.5</v>
          </cell>
          <cell r="F9070">
            <v>1.5</v>
          </cell>
          <cell r="G9070">
            <v>2688</v>
          </cell>
        </row>
        <row r="9071">
          <cell r="A9071" t="str">
            <v>422638</v>
          </cell>
          <cell r="B9071" t="str">
            <v>Eletroduto corrugado flexível, em PVC amarelo, tipo Tigreflex, bitola 1"  (286751)</v>
          </cell>
          <cell r="C9071" t="str">
            <v>m</v>
          </cell>
          <cell r="D9071">
            <v>0</v>
          </cell>
          <cell r="E9071">
            <v>2.57</v>
          </cell>
          <cell r="F9071">
            <v>2.57</v>
          </cell>
          <cell r="G9071">
            <v>2690</v>
          </cell>
        </row>
        <row r="9072">
          <cell r="A9072" t="str">
            <v>422639</v>
          </cell>
          <cell r="B9072" t="str">
            <v>Eletroduto de PVC rígido, roscável, anti-chama, NBR-15465, em barras de 3m, fab. TIGRE ou similar, bitola 3/4"   (50180)</v>
          </cell>
          <cell r="C9072" t="str">
            <v>ud</v>
          </cell>
          <cell r="D9072">
            <v>0</v>
          </cell>
          <cell r="E9072">
            <v>7.86</v>
          </cell>
          <cell r="F9072">
            <v>7.86</v>
          </cell>
        </row>
        <row r="9073">
          <cell r="A9073" t="str">
            <v>422640</v>
          </cell>
          <cell r="B9073" t="str">
            <v>Eletroduto de PVC rígido, roscável, anti-chama, NBR-15465, em barras de 3m, fab. TIGRE ou similar, bitola 1"  (50199)</v>
          </cell>
          <cell r="C9073" t="str">
            <v>ud</v>
          </cell>
          <cell r="D9073">
            <v>0</v>
          </cell>
          <cell r="E9073">
            <v>12.3</v>
          </cell>
          <cell r="F9073">
            <v>12.3</v>
          </cell>
        </row>
        <row r="9074">
          <cell r="A9074" t="str">
            <v>422641</v>
          </cell>
          <cell r="B9074" t="str">
            <v>Eletroduto de PVC rígido, roscável, anti-chama, NBR-15465, em barras de 3m, fab. TIGRE ou similar, bitola 1.1/4"  (88293)</v>
          </cell>
          <cell r="C9074" t="str">
            <v>ud</v>
          </cell>
          <cell r="D9074">
            <v>0</v>
          </cell>
          <cell r="E9074">
            <v>17.79</v>
          </cell>
          <cell r="F9074">
            <v>17.79</v>
          </cell>
        </row>
        <row r="9075">
          <cell r="A9075" t="str">
            <v>422642</v>
          </cell>
          <cell r="B9075" t="str">
            <v>Eletroduto de PVC rígido, roscável, anti-chama, NBR-15465, em barras de 3m, fab. TIGRE ou similar, bitola 1.1/2"  (229601)</v>
          </cell>
          <cell r="C9075" t="str">
            <v>ud</v>
          </cell>
          <cell r="D9075">
            <v>0</v>
          </cell>
          <cell r="E9075">
            <v>22.7</v>
          </cell>
          <cell r="F9075">
            <v>22.7</v>
          </cell>
        </row>
        <row r="9076">
          <cell r="A9076" t="str">
            <v>422643</v>
          </cell>
          <cell r="B9076" t="str">
            <v>Eletroduto de PVC rígido, roscável, anti-chama, NBR-15465, em barras de 3m, fab. TIGRE ou similar, bitola 2"  (99481)</v>
          </cell>
          <cell r="C9076" t="str">
            <v>ud</v>
          </cell>
          <cell r="D9076">
            <v>0</v>
          </cell>
          <cell r="E9076">
            <v>28.71</v>
          </cell>
          <cell r="F9076">
            <v>28.71</v>
          </cell>
        </row>
        <row r="9077">
          <cell r="A9077" t="str">
            <v>422644</v>
          </cell>
          <cell r="B9077" t="str">
            <v>Eletroduto de PVC rígido, roscável, anti-chama, NBR-15465, em barras de 3m, fab. TIGRE ou similar, bitola 2.1/2"  (291506)</v>
          </cell>
          <cell r="C9077" t="str">
            <v>ud</v>
          </cell>
          <cell r="D9077">
            <v>0</v>
          </cell>
          <cell r="E9077">
            <v>50.24</v>
          </cell>
          <cell r="F9077">
            <v>50.24</v>
          </cell>
        </row>
        <row r="9078">
          <cell r="A9078" t="str">
            <v>422645</v>
          </cell>
          <cell r="B9078" t="str">
            <v>Eletroduto de PVC rígido, roscável, anti-chama, NBR-15465, em barras de 3m, fab. TIGRE ou similar, bitola 3"  (281942)</v>
          </cell>
          <cell r="C9078" t="str">
            <v>ud</v>
          </cell>
          <cell r="D9078">
            <v>0</v>
          </cell>
          <cell r="E9078">
            <v>75.09</v>
          </cell>
          <cell r="F9078">
            <v>75.09</v>
          </cell>
        </row>
        <row r="9079">
          <cell r="A9079" t="str">
            <v>422646</v>
          </cell>
          <cell r="B9079" t="str">
            <v>Eletroduto de PVC rígido, roscável, anti-chama, NBR-15465, em barras de 3m, fab. TIGRE ou similar, bitola 4"  (93203)</v>
          </cell>
          <cell r="C9079" t="str">
            <v>ud</v>
          </cell>
          <cell r="D9079">
            <v>0</v>
          </cell>
          <cell r="E9079">
            <v>118.8</v>
          </cell>
          <cell r="F9079">
            <v>118.8</v>
          </cell>
        </row>
        <row r="9080">
          <cell r="A9080" t="str">
            <v>422647</v>
          </cell>
          <cell r="B9080" t="str">
            <v>Eletroduto de PVC rígido, roscável, anti-chama, NBR-15465, em barras de 3m, cor cinza, fab. TIGRE ou similar, bitola 1/2"</v>
          </cell>
          <cell r="C9080" t="str">
            <v>ud</v>
          </cell>
          <cell r="D9080">
            <v>0</v>
          </cell>
          <cell r="E9080">
            <v>8.8699999999999992</v>
          </cell>
          <cell r="F9080">
            <v>8.8699999999999992</v>
          </cell>
        </row>
        <row r="9081">
          <cell r="A9081" t="str">
            <v>422648</v>
          </cell>
          <cell r="B9081" t="str">
            <v>Eletroduto de PVC rígido, roscável, anti-chama, NBR-15465, em barras de 3m, cor cinza, fab. TIGRE ou similar, bitola 3/4"  (288590)</v>
          </cell>
          <cell r="C9081" t="str">
            <v>ud</v>
          </cell>
          <cell r="D9081">
            <v>0</v>
          </cell>
          <cell r="E9081">
            <v>8.8699999999999992</v>
          </cell>
          <cell r="F9081">
            <v>8.8699999999999992</v>
          </cell>
        </row>
        <row r="9082">
          <cell r="A9082" t="str">
            <v>422649</v>
          </cell>
          <cell r="B9082" t="str">
            <v>Eletroduto de PVC rígido, roscável, anti-chama, NBR-15465, em barras de 3m, cor cinza, fab. TIGRE ou similar, bitola 1"  (295854)</v>
          </cell>
          <cell r="C9082" t="str">
            <v>ud</v>
          </cell>
          <cell r="D9082">
            <v>0</v>
          </cell>
          <cell r="E9082">
            <v>13.04</v>
          </cell>
          <cell r="F9082">
            <v>13.04</v>
          </cell>
        </row>
        <row r="9083">
          <cell r="A9083" t="str">
            <v>422650</v>
          </cell>
          <cell r="B9083" t="str">
            <v xml:space="preserve">Eletroduto Kanalex KL, fabricado em PEAD, corrugado, flexível, tipo KL , fab. Kanaflex ou similar, bitola 30mm </v>
          </cell>
          <cell r="C9083" t="str">
            <v>m</v>
          </cell>
          <cell r="D9083">
            <v>0</v>
          </cell>
          <cell r="E9083">
            <v>4.12</v>
          </cell>
          <cell r="F9083">
            <v>4.12</v>
          </cell>
        </row>
        <row r="9084">
          <cell r="A9084" t="str">
            <v>422651</v>
          </cell>
          <cell r="B9084" t="str">
            <v>Eletroduto Kanalex KL, fabricado em PEAD, corrugado, flexível, tipo KL , fab. Kanaflex ou similar, bitola 40mm</v>
          </cell>
          <cell r="C9084" t="str">
            <v>m</v>
          </cell>
          <cell r="D9084">
            <v>0</v>
          </cell>
          <cell r="E9084">
            <v>4.9400000000000004</v>
          </cell>
          <cell r="F9084">
            <v>4.9400000000000004</v>
          </cell>
        </row>
        <row r="9085">
          <cell r="A9085" t="str">
            <v>422652</v>
          </cell>
          <cell r="B9085" t="str">
            <v>Eletroduto Kanalex KL, fabricado em PEAD, corrugado, flexível, tipo KL , fab. Kanaflex ou similar, bitola 50mm</v>
          </cell>
          <cell r="C9085" t="str">
            <v>m</v>
          </cell>
          <cell r="D9085">
            <v>0</v>
          </cell>
          <cell r="E9085">
            <v>3.84</v>
          </cell>
          <cell r="F9085">
            <v>3.84</v>
          </cell>
          <cell r="G9085">
            <v>2446</v>
          </cell>
        </row>
        <row r="9086">
          <cell r="A9086" t="str">
            <v>422653</v>
          </cell>
          <cell r="B9086" t="str">
            <v xml:space="preserve">Eletroduto Kanalex KL, fabricado em PEAD, corrugado, flexível, tipo KL , fab. Kanaflex ou similar, bitola 75mm </v>
          </cell>
          <cell r="C9086" t="str">
            <v>m</v>
          </cell>
          <cell r="D9086">
            <v>0</v>
          </cell>
          <cell r="E9086">
            <v>5.38</v>
          </cell>
          <cell r="F9086">
            <v>5.38</v>
          </cell>
          <cell r="G9086">
            <v>2442</v>
          </cell>
        </row>
        <row r="9087">
          <cell r="A9087" t="str">
            <v>422654</v>
          </cell>
          <cell r="B9087" t="str">
            <v>Eletroduto Kanalex KL, fabricado em PEAD, corrugado, flexível, tipo KL , fab. Kanaflex ou similar, bitola 100mm</v>
          </cell>
          <cell r="C9087" t="str">
            <v>m</v>
          </cell>
          <cell r="D9087">
            <v>0</v>
          </cell>
          <cell r="E9087">
            <v>12.9</v>
          </cell>
          <cell r="F9087">
            <v>12.9</v>
          </cell>
        </row>
        <row r="9088">
          <cell r="A9088" t="str">
            <v>422655</v>
          </cell>
          <cell r="B9088" t="str">
            <v>Eletroduto Kanalex KL, fabricado em PEAD, corrugado, flexível, tipo KL , fab. Kanaflex ou similar, bitola 150mm</v>
          </cell>
          <cell r="C9088" t="str">
            <v>m</v>
          </cell>
          <cell r="D9088">
            <v>0</v>
          </cell>
          <cell r="E9088">
            <v>30.19</v>
          </cell>
          <cell r="F9088">
            <v>30.19</v>
          </cell>
        </row>
        <row r="9089">
          <cell r="A9089" t="str">
            <v>422656</v>
          </cell>
          <cell r="B9089" t="str">
            <v>Luva de PVC, roscável, anti-chama, NBR-15465 fab. TIGRE ou similar, bitola 3/4"  (49760)</v>
          </cell>
          <cell r="C9089" t="str">
            <v>ud</v>
          </cell>
          <cell r="D9089">
            <v>0</v>
          </cell>
          <cell r="E9089">
            <v>0.82</v>
          </cell>
          <cell r="F9089">
            <v>0.82</v>
          </cell>
          <cell r="G9089">
            <v>1891</v>
          </cell>
        </row>
        <row r="9090">
          <cell r="A9090" t="str">
            <v>422657</v>
          </cell>
          <cell r="B9090" t="str">
            <v>Luva de PVC, roscável, anti-chama, NBR-15465 fab. TIGRE ou similar, bitola 1"  (58688)</v>
          </cell>
          <cell r="C9090" t="str">
            <v>ud</v>
          </cell>
          <cell r="D9090">
            <v>0</v>
          </cell>
          <cell r="E9090">
            <v>1.1499999999999999</v>
          </cell>
          <cell r="F9090">
            <v>1.1499999999999999</v>
          </cell>
          <cell r="G9090">
            <v>1892</v>
          </cell>
        </row>
        <row r="9091">
          <cell r="A9091" t="str">
            <v>422658</v>
          </cell>
          <cell r="B9091" t="str">
            <v>Luva de PVC, roscável, anti-chama, NBR-15465 fab. TIGRE ou similar, bitola 1.1/4"  (49778)</v>
          </cell>
          <cell r="C9091" t="str">
            <v>ud</v>
          </cell>
          <cell r="D9091">
            <v>0</v>
          </cell>
          <cell r="E9091">
            <v>1.79</v>
          </cell>
          <cell r="F9091">
            <v>1.79</v>
          </cell>
          <cell r="G9091">
            <v>1902</v>
          </cell>
        </row>
        <row r="9092">
          <cell r="A9092" t="str">
            <v>422659</v>
          </cell>
          <cell r="B9092" t="str">
            <v>Luva de PVC, roscável, anti-chama, NBR-15465 fab. TIGRE ou similar, bitola 1.1/2"  (59145)</v>
          </cell>
          <cell r="C9092" t="str">
            <v>ud</v>
          </cell>
          <cell r="D9092">
            <v>0</v>
          </cell>
          <cell r="E9092">
            <v>2.46</v>
          </cell>
          <cell r="F9092">
            <v>2.46</v>
          </cell>
          <cell r="G9092">
            <v>1893</v>
          </cell>
        </row>
        <row r="9093">
          <cell r="A9093" t="str">
            <v>422660</v>
          </cell>
          <cell r="B9093" t="str">
            <v>Luva de PVC, roscável, anti-chama, NBR-15465 fab. TIGRE ou similar, bitola 2"  (140465)</v>
          </cell>
          <cell r="C9093" t="str">
            <v>ud</v>
          </cell>
          <cell r="D9093">
            <v>0</v>
          </cell>
          <cell r="E9093">
            <v>3.56</v>
          </cell>
          <cell r="F9093">
            <v>3.56</v>
          </cell>
          <cell r="G9093">
            <v>1894</v>
          </cell>
        </row>
        <row r="9094">
          <cell r="A9094" t="str">
            <v>422661</v>
          </cell>
          <cell r="B9094" t="str">
            <v>Luva de PVC, roscável, anti-chama, NBR-15465 fab. TIGRE ou similar, bitola 2.1/2"  (272370)</v>
          </cell>
          <cell r="C9094" t="str">
            <v>ud</v>
          </cell>
          <cell r="D9094">
            <v>0</v>
          </cell>
          <cell r="E9094">
            <v>7.92</v>
          </cell>
          <cell r="F9094">
            <v>7.92</v>
          </cell>
          <cell r="G9094">
            <v>1907</v>
          </cell>
        </row>
        <row r="9095">
          <cell r="A9095" t="str">
            <v>422662</v>
          </cell>
          <cell r="B9095" t="str">
            <v>Luva de PVC, roscável, anti-chama, NBR-15465 fab. TIGRE ou similar, bitola 3"  (123714)</v>
          </cell>
          <cell r="C9095" t="str">
            <v>ud</v>
          </cell>
          <cell r="D9095">
            <v>0</v>
          </cell>
          <cell r="E9095">
            <v>10.63</v>
          </cell>
          <cell r="F9095">
            <v>10.63</v>
          </cell>
          <cell r="G9095">
            <v>1896</v>
          </cell>
        </row>
        <row r="9096">
          <cell r="A9096" t="str">
            <v>422663</v>
          </cell>
          <cell r="B9096" t="str">
            <v>Luva de PVC, roscável, anti-chama, NBR-15465 fab. TIGRE ou similar, bitola 4"  (123722)</v>
          </cell>
          <cell r="C9096" t="str">
            <v>ud</v>
          </cell>
          <cell r="D9096">
            <v>0</v>
          </cell>
          <cell r="E9096">
            <v>18.690000000000001</v>
          </cell>
          <cell r="F9096">
            <v>18.690000000000001</v>
          </cell>
          <cell r="G9096">
            <v>1895</v>
          </cell>
        </row>
        <row r="9097">
          <cell r="A9097" t="str">
            <v>422664</v>
          </cell>
          <cell r="B9097" t="str">
            <v>Luva de PVC, roscável, anti-chama, NBR-15465, cor cinza,  fab. TIGRE ou similar, bitola 3/4"  (293298)</v>
          </cell>
          <cell r="C9097" t="str">
            <v>ud</v>
          </cell>
          <cell r="D9097">
            <v>0</v>
          </cell>
          <cell r="E9097">
            <v>1.28</v>
          </cell>
          <cell r="F9097">
            <v>1.28</v>
          </cell>
        </row>
        <row r="9098">
          <cell r="A9098" t="str">
            <v>422665</v>
          </cell>
          <cell r="B9098" t="str">
            <v>Luva de PVC, roscável, anti-chama, NBR-15465, cor cinza,  fab. TIGRE ou similar, bitola 1"  (70211)</v>
          </cell>
          <cell r="C9098" t="str">
            <v>ud</v>
          </cell>
          <cell r="D9098">
            <v>0</v>
          </cell>
          <cell r="E9098">
            <v>1.36</v>
          </cell>
          <cell r="F9098">
            <v>1.36</v>
          </cell>
        </row>
        <row r="9099">
          <cell r="A9099" t="str">
            <v>422666</v>
          </cell>
          <cell r="B9099" t="str">
            <v>Luva de PVC, roscável, anti-chama, NBR-15465 fab. TIGRE ou similar, bitola 1/2"  (144916)</v>
          </cell>
          <cell r="C9099" t="str">
            <v>ud</v>
          </cell>
          <cell r="D9099">
            <v>0</v>
          </cell>
          <cell r="E9099">
            <v>0.64</v>
          </cell>
          <cell r="F9099">
            <v>0.64</v>
          </cell>
        </row>
        <row r="9100">
          <cell r="A9100" t="str">
            <v>422676</v>
          </cell>
          <cell r="B9100" t="str">
            <v>Terminal para eletroduto Kanalex KL, fabricado em PEAD,  seção  circular  roscável, fab. KANAFLEX ou similar, bitola 30mm (1.1/4")</v>
          </cell>
          <cell r="C9100" t="str">
            <v>ud</v>
          </cell>
          <cell r="D9100">
            <v>0</v>
          </cell>
          <cell r="E9100">
            <v>7.61</v>
          </cell>
          <cell r="F9100">
            <v>7.61</v>
          </cell>
        </row>
        <row r="9101">
          <cell r="A9101" t="str">
            <v>422677</v>
          </cell>
          <cell r="B9101" t="str">
            <v>Terminal para eletroduto Kanalex KL, fabricado em PEAD,  seção  circular  roscável, fab. KANAFLEX ou similar, bitola 40mm (1.1/2")</v>
          </cell>
          <cell r="C9101" t="str">
            <v>ud</v>
          </cell>
          <cell r="D9101">
            <v>0</v>
          </cell>
          <cell r="E9101">
            <v>8.49</v>
          </cell>
          <cell r="F9101">
            <v>8.49</v>
          </cell>
        </row>
        <row r="9102">
          <cell r="A9102" t="str">
            <v>422678</v>
          </cell>
          <cell r="B9102" t="str">
            <v>Terminal para eletroduto Kanalex KL, fabricado em PEAD,  seção  circular  roscável, fab. KANAFLEX ou similar, bitola 50mm (2")  (106178)</v>
          </cell>
          <cell r="C9102" t="str">
            <v>ud</v>
          </cell>
          <cell r="D9102">
            <v>0</v>
          </cell>
          <cell r="E9102">
            <v>8.69</v>
          </cell>
          <cell r="F9102">
            <v>8.69</v>
          </cell>
        </row>
        <row r="9103">
          <cell r="A9103" t="str">
            <v>422679</v>
          </cell>
          <cell r="B9103" t="str">
            <v>Terminal para eletroduto Kanalex KL, fabricado em PEAD,  seção  circular  roscável, fab. KANAFLEX ou similar, bitola 75mm (3")</v>
          </cell>
          <cell r="C9103" t="str">
            <v>ud</v>
          </cell>
          <cell r="D9103">
            <v>0</v>
          </cell>
          <cell r="E9103">
            <v>12.83</v>
          </cell>
          <cell r="F9103">
            <v>12.83</v>
          </cell>
        </row>
        <row r="9104">
          <cell r="A9104" t="str">
            <v>422680</v>
          </cell>
          <cell r="B9104" t="str">
            <v>Terminal para eletroduto Kanalex KL, fabricado em PEAD,  seção  circular  roscável, fab. KANAFLEX ou similar, bitola 100mm (4")  (49794)</v>
          </cell>
          <cell r="C9104" t="str">
            <v>ud</v>
          </cell>
          <cell r="D9104">
            <v>0</v>
          </cell>
          <cell r="E9104">
            <v>17.62</v>
          </cell>
          <cell r="F9104">
            <v>17.62</v>
          </cell>
        </row>
        <row r="9105">
          <cell r="A9105" t="str">
            <v>422681</v>
          </cell>
          <cell r="B9105" t="str">
            <v>Terminal para eletroduto Kanalex KL, fabricado em PEAD,  seção  circular  roscável, fab. KANAFLEX ou similar, bitola 150mm (6")</v>
          </cell>
          <cell r="C9105" t="str">
            <v>ud</v>
          </cell>
          <cell r="D9105">
            <v>0</v>
          </cell>
          <cell r="E9105">
            <v>28.06</v>
          </cell>
          <cell r="F9105">
            <v>28.06</v>
          </cell>
        </row>
        <row r="9106">
          <cell r="A9106" t="str">
            <v>422682</v>
          </cell>
          <cell r="B9106" t="str">
            <v>Tubo metálico flexível (sealtubo), em fita de aço galvanizado revestido externamente em PVC preto, anti-chama ref. MGP-G fab, TECNO-FLEX ou similar, na bitola 1/2"</v>
          </cell>
          <cell r="C9106" t="str">
            <v>m</v>
          </cell>
          <cell r="D9106">
            <v>0</v>
          </cell>
          <cell r="E9106">
            <v>6.3</v>
          </cell>
          <cell r="F9106">
            <v>6.3</v>
          </cell>
        </row>
        <row r="9107">
          <cell r="A9107" t="str">
            <v>422683</v>
          </cell>
          <cell r="B9107" t="str">
            <v>Tubo metálico flexível (sealtubo), em fita de aço galvanizado revestido externamente em PVC preto, anti-chama ref. MGP-G fab, TECNO-FLEX ou similar, na bitola 3/4"</v>
          </cell>
          <cell r="C9107" t="str">
            <v>m</v>
          </cell>
          <cell r="D9107">
            <v>0</v>
          </cell>
          <cell r="E9107">
            <v>7.9</v>
          </cell>
          <cell r="F9107">
            <v>7.9</v>
          </cell>
        </row>
        <row r="9108">
          <cell r="A9108" t="str">
            <v>422684</v>
          </cell>
          <cell r="B9108" t="str">
            <v>Tubo metálico flexível (sealtubo), em fita de aço galvanizado revestido externamente em PVC preto, anti-chama ref. MGP-G fab, TECNO-FLEX ou similar, na bitola 1"</v>
          </cell>
          <cell r="C9108" t="str">
            <v>m</v>
          </cell>
          <cell r="D9108">
            <v>0</v>
          </cell>
          <cell r="E9108">
            <v>12.9</v>
          </cell>
          <cell r="F9108">
            <v>12.9</v>
          </cell>
        </row>
        <row r="9109">
          <cell r="A9109" t="str">
            <v>422685</v>
          </cell>
          <cell r="B9109" t="str">
            <v>Tubo metálico flexível (sealtubo), em fita de aço galvanizado revestido externamente em PVC preto, anti-chama ref. MGP-G fab, TECNO-FLEX ou similar, na bitola 1.1/4"</v>
          </cell>
          <cell r="C9109" t="str">
            <v>m</v>
          </cell>
          <cell r="D9109">
            <v>0</v>
          </cell>
          <cell r="E9109">
            <v>16.399999999999999</v>
          </cell>
          <cell r="F9109">
            <v>16.399999999999999</v>
          </cell>
        </row>
        <row r="9110">
          <cell r="A9110" t="str">
            <v>422686</v>
          </cell>
          <cell r="B9110" t="str">
            <v>Tubo metálico flexível (sealtubo), em fita de aço galvanizado revestido externamente em PVC preto, anti-chama ref. MGP-G fab, TECNO-FLEX ou similar, na bitola 1.1/2"</v>
          </cell>
          <cell r="C9110" t="str">
            <v>m</v>
          </cell>
          <cell r="D9110">
            <v>0</v>
          </cell>
          <cell r="E9110">
            <v>20.78</v>
          </cell>
          <cell r="F9110">
            <v>20.78</v>
          </cell>
        </row>
        <row r="9111">
          <cell r="A9111" t="str">
            <v>422687</v>
          </cell>
          <cell r="B9111" t="str">
            <v>Tubo metálico flexível (sealtubo), em fita de aço galvanizado revestido externamente em PVC preto, anti-chama ref. MGP-G fab, TECNO-FLEX ou similar, na bitola 2"</v>
          </cell>
          <cell r="C9111" t="str">
            <v>m</v>
          </cell>
          <cell r="D9111">
            <v>0</v>
          </cell>
          <cell r="E9111">
            <v>26.66</v>
          </cell>
          <cell r="F9111">
            <v>26.66</v>
          </cell>
        </row>
        <row r="9112">
          <cell r="A9112" t="str">
            <v>422688</v>
          </cell>
          <cell r="B9112" t="str">
            <v>Tubo metálico flexível (sealtubo), em fita de aço galvanizado revestido externamente em PVC preto, anti-chama ref. MGP-G fab, TECNO-FLEX ou similar, na bitola 2.1/2"</v>
          </cell>
          <cell r="C9112" t="str">
            <v>m</v>
          </cell>
          <cell r="D9112">
            <v>0</v>
          </cell>
          <cell r="E9112">
            <v>41.88</v>
          </cell>
          <cell r="F9112">
            <v>41.88</v>
          </cell>
        </row>
        <row r="9113">
          <cell r="A9113" t="str">
            <v>422689</v>
          </cell>
          <cell r="B9113" t="str">
            <v>Tubo metálico flexível (sealtubo), em fita de aço galvanizado revestido externamente em PVC preto, anti-chama ref. MGP-G fab, TECNO-FLEX ou similar, na bitola 3"</v>
          </cell>
          <cell r="C9113" t="str">
            <v>m</v>
          </cell>
          <cell r="D9113">
            <v>0</v>
          </cell>
          <cell r="E9113">
            <v>50.85</v>
          </cell>
          <cell r="F9113">
            <v>50.85</v>
          </cell>
        </row>
        <row r="9114">
          <cell r="A9114" t="str">
            <v>422690</v>
          </cell>
          <cell r="B9114" t="str">
            <v>Tubo metálico flexível (sealtubo), em fita de aço galvanizado revestido externamente em PVC preto, anti-chama ref. MGP-G fab, TECNO-FLEX ou similar, na bitola 4"</v>
          </cell>
          <cell r="C9114" t="str">
            <v>m</v>
          </cell>
          <cell r="D9114">
            <v>0</v>
          </cell>
          <cell r="E9114">
            <v>74.09</v>
          </cell>
          <cell r="F9114">
            <v>74.09</v>
          </cell>
        </row>
        <row r="9115">
          <cell r="A9115" t="str">
            <v>422691</v>
          </cell>
          <cell r="B9115" t="str">
            <v>Massa de calafetar, fab. 3M ou similar</v>
          </cell>
          <cell r="C9115" t="str">
            <v>kg</v>
          </cell>
          <cell r="D9115">
            <v>0</v>
          </cell>
          <cell r="E9115">
            <v>39.840000000000003</v>
          </cell>
          <cell r="F9115">
            <v>39.840000000000003</v>
          </cell>
        </row>
        <row r="9116">
          <cell r="A9116" t="str">
            <v>422692</v>
          </cell>
          <cell r="B9116" t="str">
            <v>Conexão em PEAD, de seção circular rosqueável, para união de dutos corrugados, dimensões: 37x46x70mm (dxDxL), bitola 30mm (1.1/4"), fab. KANAFLEX ou similar (297669)</v>
          </cell>
          <cell r="C9116" t="str">
            <v>ud</v>
          </cell>
          <cell r="D9116">
            <v>0</v>
          </cell>
          <cell r="E9116">
            <v>5.21</v>
          </cell>
          <cell r="F9116">
            <v>5.21</v>
          </cell>
        </row>
        <row r="9117">
          <cell r="A9117" t="str">
            <v>422693</v>
          </cell>
          <cell r="B9117" t="str">
            <v>Conexão em PEAD, de seção circular rosqueável, para união de dutos corrugados, dimensões: 50x62x75mm (dxDxL), bitola 40mm (1.1/2"), fab. KANAFLEX ou similar</v>
          </cell>
          <cell r="C9117" t="str">
            <v>ud</v>
          </cell>
          <cell r="D9117">
            <v>0</v>
          </cell>
          <cell r="E9117">
            <v>8.91</v>
          </cell>
          <cell r="F9117">
            <v>8.91</v>
          </cell>
        </row>
        <row r="9118">
          <cell r="A9118" t="str">
            <v>422694</v>
          </cell>
          <cell r="B9118" t="str">
            <v>Conexão em PEAD, de seção circular rosqueável, para união de dutos corrugados, dimensões: 58x71x100mm (dxDxL), bitola 50mm (2") , fab. KANAFLEX ou similar</v>
          </cell>
          <cell r="C9118" t="str">
            <v>ud</v>
          </cell>
          <cell r="D9118">
            <v>0</v>
          </cell>
          <cell r="E9118">
            <v>9.57</v>
          </cell>
          <cell r="F9118">
            <v>9.57</v>
          </cell>
        </row>
        <row r="9119">
          <cell r="A9119" t="str">
            <v>422695</v>
          </cell>
          <cell r="B9119" t="str">
            <v>Conexão em PEAD, de seção circular rosqueável, para união de dutos corrugados, dimensões: 82,5x102x150mm (dxDxL), bitola 75mm (3") , fab. KANAFLEX ou similar (297668)</v>
          </cell>
          <cell r="C9119" t="str">
            <v>ud</v>
          </cell>
          <cell r="D9119">
            <v>0</v>
          </cell>
          <cell r="E9119">
            <v>11.75</v>
          </cell>
          <cell r="F9119">
            <v>11.75</v>
          </cell>
        </row>
        <row r="9120">
          <cell r="A9120" t="str">
            <v>422696</v>
          </cell>
          <cell r="B9120" t="str">
            <v>Conexão em PEAD, de seção circular rosqueável, para união de dutos corrugados, dimensões: 109x128x180mm (dxDxL), bitola 100mm (4") , fab. KANAFLEX ou similar</v>
          </cell>
          <cell r="C9120" t="str">
            <v>ud</v>
          </cell>
          <cell r="D9120">
            <v>0</v>
          </cell>
          <cell r="E9120">
            <v>14.57</v>
          </cell>
          <cell r="F9120">
            <v>14.57</v>
          </cell>
        </row>
        <row r="9121">
          <cell r="A9121" t="str">
            <v>422697</v>
          </cell>
          <cell r="B9121" t="str">
            <v>Conexão em PEAD, de seção circular rosqueável, para união de dutos corrugados, dimensões: 137x161x210mm (dxDxL), bitola 125mm (5") , fab. KANAFLEX ou similar</v>
          </cell>
          <cell r="C9121" t="str">
            <v>ud</v>
          </cell>
          <cell r="D9121">
            <v>0</v>
          </cell>
          <cell r="E9121">
            <v>26.31</v>
          </cell>
          <cell r="F9121">
            <v>26.31</v>
          </cell>
        </row>
        <row r="9122">
          <cell r="A9122" t="str">
            <v>422698</v>
          </cell>
          <cell r="B9122" t="str">
            <v>Conexão em PEAD, de seção circular rosqueável, para união de dutos corrugados, dimensões: 165x195x235mm (dxDxL), bitola 150mm (6") , fab. KANAFLEX ou similar</v>
          </cell>
          <cell r="C9122" t="str">
            <v>ud</v>
          </cell>
          <cell r="D9122">
            <v>0</v>
          </cell>
          <cell r="E9122">
            <v>28.06</v>
          </cell>
          <cell r="F9122">
            <v>28.06</v>
          </cell>
        </row>
        <row r="9123">
          <cell r="A9123" t="str">
            <v>4227</v>
          </cell>
          <cell r="B9123" t="str">
            <v>MATERIAIS DE MÉDIA, BAIXA TENSÃO E ACESSÓRIOS</v>
          </cell>
          <cell r="C9123">
            <v>0</v>
          </cell>
          <cell r="D9123">
            <v>0</v>
          </cell>
          <cell r="E9123">
            <v>0</v>
          </cell>
          <cell r="F9123">
            <v>0</v>
          </cell>
        </row>
        <row r="9124">
          <cell r="A9124" t="str">
            <v>422701</v>
          </cell>
          <cell r="B9124" t="str">
            <v>Alça pré-formada de serviço, em aço carbono, para cabo de alumínio CA ou CAA, ref. SG, fab. PLP ou similar, bitola 2AWG</v>
          </cell>
          <cell r="C9124" t="str">
            <v>ud</v>
          </cell>
          <cell r="D9124">
            <v>0</v>
          </cell>
          <cell r="E9124">
            <v>3.75</v>
          </cell>
          <cell r="F9124">
            <v>3.75</v>
          </cell>
          <cell r="G9124">
            <v>11272</v>
          </cell>
        </row>
        <row r="9125">
          <cell r="A9125" t="str">
            <v>422702</v>
          </cell>
          <cell r="B9125" t="str">
            <v>Alça pré-formada de serviço, em aço carbono, para cabo de alumínio CA ou CAA, ref. SG, fab. PLP ou similar, bitola 4AWG</v>
          </cell>
          <cell r="C9125" t="str">
            <v>ud</v>
          </cell>
          <cell r="D9125">
            <v>0</v>
          </cell>
          <cell r="E9125">
            <v>1.5</v>
          </cell>
          <cell r="F9125">
            <v>1.5</v>
          </cell>
          <cell r="G9125">
            <v>11275</v>
          </cell>
        </row>
        <row r="9126">
          <cell r="A9126" t="str">
            <v>422703</v>
          </cell>
          <cell r="B9126" t="str">
            <v>Alça pré-formada de serviço, em aço carbono, para cabo de alumínio CA ou CAA, ref. SG, fab. PLP ou similar, bitola 1/0AWG</v>
          </cell>
          <cell r="C9126" t="str">
            <v>ud</v>
          </cell>
          <cell r="D9126">
            <v>0</v>
          </cell>
          <cell r="E9126">
            <v>6.22</v>
          </cell>
          <cell r="F9126">
            <v>6.22</v>
          </cell>
          <cell r="G9126">
            <v>11273</v>
          </cell>
        </row>
        <row r="9127">
          <cell r="A9127" t="str">
            <v>422704</v>
          </cell>
          <cell r="B9127" t="str">
            <v>Alça pré-formada de serviço, em aço carbono, para cabo de alumínio CA ou CAA, ref. SG, fab. PLP ou similar, bitola 2/0AWG</v>
          </cell>
          <cell r="C9127" t="str">
            <v>ud</v>
          </cell>
          <cell r="D9127">
            <v>0</v>
          </cell>
          <cell r="E9127">
            <v>3.13</v>
          </cell>
          <cell r="F9127">
            <v>3.13</v>
          </cell>
        </row>
        <row r="9128">
          <cell r="A9128" t="str">
            <v>422705</v>
          </cell>
          <cell r="B9128" t="str">
            <v>Alça pré-formada de serviço, em aço carbono, para cabo de alumínio CA ou CAA, ref. SG, fab. PLP ou similar, bitola 4/0AWG</v>
          </cell>
          <cell r="C9128" t="str">
            <v>ud</v>
          </cell>
          <cell r="D9128">
            <v>0</v>
          </cell>
          <cell r="E9128">
            <v>26.2</v>
          </cell>
          <cell r="F9128">
            <v>26.2</v>
          </cell>
        </row>
        <row r="9129">
          <cell r="A9129" t="str">
            <v>422711</v>
          </cell>
          <cell r="B9129" t="str">
            <v>Alça pré-formada para fio telefônico FE 100/160, em aço galvanizado, ref. DEMS-4195 fab. PLP ou similar (185183)</v>
          </cell>
          <cell r="C9129" t="str">
            <v>ud</v>
          </cell>
          <cell r="D9129">
            <v>0</v>
          </cell>
          <cell r="E9129">
            <v>1.52</v>
          </cell>
          <cell r="F9129">
            <v>1.52</v>
          </cell>
        </row>
        <row r="9130">
          <cell r="A9130" t="str">
            <v>422712</v>
          </cell>
          <cell r="B9130" t="str">
            <v>Alça pré-formada de estai p/ cordoalha 9,15mm, NTC 812042</v>
          </cell>
          <cell r="C9130" t="str">
            <v>ud</v>
          </cell>
          <cell r="D9130">
            <v>0</v>
          </cell>
          <cell r="E9130">
            <v>8.16</v>
          </cell>
          <cell r="F9130">
            <v>8.16</v>
          </cell>
        </row>
        <row r="9131">
          <cell r="A9131" t="str">
            <v>422713</v>
          </cell>
          <cell r="B9131" t="str">
            <v xml:space="preserve">Alça pré-formada, p/ cabos 70mm² XLPE, 35kV, fab. PLP ou similar, NTC 812157 </v>
          </cell>
          <cell r="C9131" t="str">
            <v>ud</v>
          </cell>
          <cell r="D9131">
            <v>0</v>
          </cell>
          <cell r="E9131">
            <v>12.35</v>
          </cell>
          <cell r="F9131">
            <v>12.35</v>
          </cell>
        </row>
        <row r="9132">
          <cell r="A9132" t="str">
            <v>422714</v>
          </cell>
          <cell r="B9132" t="str">
            <v xml:space="preserve">Chave fusível automática, classe distribuição, c/ ferragens para fixação em cruzeta de concreto, cartucho em fibra de vidro, NBI 95KV, 10KA, 300A, classe 15 KV, tipo "C", Fabricantes cadastrados na Copel </v>
          </cell>
          <cell r="C9132" t="str">
            <v>ud</v>
          </cell>
          <cell r="D9132">
            <v>0</v>
          </cell>
          <cell r="E9132">
            <v>154.65</v>
          </cell>
          <cell r="F9132">
            <v>154.65</v>
          </cell>
          <cell r="G9132">
            <v>5047</v>
          </cell>
        </row>
        <row r="9133">
          <cell r="A9133" t="str">
            <v>422715</v>
          </cell>
          <cell r="B9133" t="str">
            <v>Chave fusível  classe 34,5 KV,  tipo "C" c/ PF - Porcelana, Código COPEL 012185-1 (289437)</v>
          </cell>
          <cell r="C9133" t="str">
            <v>ud</v>
          </cell>
          <cell r="D9133">
            <v>0</v>
          </cell>
          <cell r="E9133">
            <v>295.98</v>
          </cell>
          <cell r="F9133">
            <v>295.98</v>
          </cell>
        </row>
        <row r="9134">
          <cell r="A9134" t="str">
            <v>422716</v>
          </cell>
          <cell r="B9134" t="str">
            <v>Cinta para poste de seção circular, em aço galvanizado a fogo, fab. ROMAGNOLE ou similar, A=170mm</v>
          </cell>
          <cell r="C9134" t="str">
            <v>ud</v>
          </cell>
          <cell r="D9134">
            <v>0</v>
          </cell>
          <cell r="E9134">
            <v>18.489999999999998</v>
          </cell>
          <cell r="F9134">
            <v>18.489999999999998</v>
          </cell>
        </row>
        <row r="9135">
          <cell r="A9135" t="str">
            <v>422717</v>
          </cell>
          <cell r="B9135" t="str">
            <v>Cinta para poste de seção circular, em aço galvanizado a fogo, fab. ROMAGNOLE ou similar, A=200mm</v>
          </cell>
          <cell r="C9135" t="str">
            <v>ud</v>
          </cell>
          <cell r="D9135">
            <v>0</v>
          </cell>
          <cell r="E9135">
            <v>19.940000000000001</v>
          </cell>
          <cell r="F9135">
            <v>19.940000000000001</v>
          </cell>
        </row>
        <row r="9136">
          <cell r="A9136" t="str">
            <v>422718</v>
          </cell>
          <cell r="B9136" t="str">
            <v>Cinta para poste de seção circular, em aço galvanizado a fogo, fab. ROMAGNOLE ou similar, A=240mm</v>
          </cell>
          <cell r="C9136" t="str">
            <v>ud</v>
          </cell>
          <cell r="D9136">
            <v>0</v>
          </cell>
          <cell r="E9136">
            <v>22.2</v>
          </cell>
          <cell r="F9136">
            <v>22.2</v>
          </cell>
        </row>
        <row r="9137">
          <cell r="A9137" t="str">
            <v>422719</v>
          </cell>
          <cell r="B9137" t="str">
            <v>Cinta para poste de seção circular, em aço galvanizado a fogo, fab. ROMAGNOLE ou similar, 1/4"x38x200mm</v>
          </cell>
          <cell r="C9137" t="str">
            <v>ud</v>
          </cell>
          <cell r="D9137">
            <v>0</v>
          </cell>
          <cell r="E9137">
            <v>19.940000000000001</v>
          </cell>
          <cell r="F9137">
            <v>19.940000000000001</v>
          </cell>
        </row>
        <row r="9138">
          <cell r="A9138" t="str">
            <v>422720</v>
          </cell>
          <cell r="B9138" t="str">
            <v>Cinta para poste de seção circular, em aço galvanizado a fogo, fab. ROMAGNOLE ou similar, 1/4"x38x210mm</v>
          </cell>
          <cell r="C9138" t="str">
            <v>ud</v>
          </cell>
          <cell r="D9138">
            <v>0</v>
          </cell>
          <cell r="E9138">
            <v>20.010000000000002</v>
          </cell>
          <cell r="F9138">
            <v>20.010000000000002</v>
          </cell>
        </row>
        <row r="9139">
          <cell r="A9139" t="str">
            <v>422721</v>
          </cell>
          <cell r="B9139" t="str">
            <v>Cinta para poste de seção circular, em aço galvanizado a fogo, fab. ROMAGNOLE ou similar, 1/4"x38x220mm</v>
          </cell>
          <cell r="C9139" t="str">
            <v>ud</v>
          </cell>
          <cell r="D9139">
            <v>0</v>
          </cell>
          <cell r="E9139">
            <v>20.45</v>
          </cell>
          <cell r="F9139">
            <v>20.45</v>
          </cell>
        </row>
        <row r="9140">
          <cell r="A9140" t="str">
            <v>422722</v>
          </cell>
          <cell r="B9140" t="str">
            <v>Cinta para poste de seção circular, em aço galvanizado a fogo, fab. ROMAGNOLE ou similar, 1/4"x38x230mm</v>
          </cell>
          <cell r="C9140" t="str">
            <v>ud</v>
          </cell>
          <cell r="D9140">
            <v>0</v>
          </cell>
          <cell r="E9140">
            <v>20.73</v>
          </cell>
          <cell r="F9140">
            <v>20.73</v>
          </cell>
        </row>
        <row r="9141">
          <cell r="A9141" t="str">
            <v>422723</v>
          </cell>
          <cell r="B9141" t="str">
            <v>Cinta para poste de seção circular, em aço galvanizado a fogo, fab. ROMAGNOLE ou similar, 1/4"x38x240mm</v>
          </cell>
          <cell r="C9141" t="str">
            <v>ud</v>
          </cell>
          <cell r="D9141">
            <v>0</v>
          </cell>
          <cell r="E9141">
            <v>22.2</v>
          </cell>
          <cell r="F9141">
            <v>22.2</v>
          </cell>
        </row>
        <row r="9142">
          <cell r="A9142" t="str">
            <v>422724</v>
          </cell>
          <cell r="B9142" t="str">
            <v>Cinta para poste de seção circular, em aço galvanizado a fogo, fab. ROMAGNOLE ou similar, 1/4"x38x250mm</v>
          </cell>
          <cell r="C9142" t="str">
            <v>ud</v>
          </cell>
          <cell r="D9142">
            <v>0</v>
          </cell>
          <cell r="E9142">
            <v>23.07</v>
          </cell>
          <cell r="F9142">
            <v>23.07</v>
          </cell>
        </row>
        <row r="9143">
          <cell r="A9143" t="str">
            <v>422725</v>
          </cell>
          <cell r="B9143" t="str">
            <v>Cinta para poste de seção circular, em aço galvanizado a fogo, fab. ROMAGNOLE ou similar, 1/4"x38x260mm</v>
          </cell>
          <cell r="C9143" t="str">
            <v>ud</v>
          </cell>
          <cell r="D9143">
            <v>0</v>
          </cell>
          <cell r="E9143">
            <v>23.51</v>
          </cell>
          <cell r="F9143">
            <v>23.51</v>
          </cell>
        </row>
        <row r="9144">
          <cell r="A9144" t="str">
            <v>422726</v>
          </cell>
          <cell r="B9144" t="str">
            <v>Cinta para poste de seção circular, em aço galvanizado a fogo, fab. ROMAGNOLE ou similar, 1/4"x38x270mm</v>
          </cell>
          <cell r="C9144" t="str">
            <v>ud</v>
          </cell>
          <cell r="D9144">
            <v>0</v>
          </cell>
          <cell r="E9144">
            <v>23.99</v>
          </cell>
          <cell r="F9144">
            <v>23.99</v>
          </cell>
        </row>
        <row r="9145">
          <cell r="A9145" t="str">
            <v>422727</v>
          </cell>
          <cell r="B9145" t="str">
            <v>Cinta para poste de seção circular, em aço galvanizado a fogo, fab. ROMAGNOLE ou similar, 1/4"x38x280mm</v>
          </cell>
          <cell r="C9145" t="str">
            <v>ud</v>
          </cell>
          <cell r="D9145">
            <v>0</v>
          </cell>
          <cell r="E9145">
            <v>25</v>
          </cell>
          <cell r="F9145">
            <v>25</v>
          </cell>
        </row>
        <row r="9146">
          <cell r="A9146" t="str">
            <v>422728</v>
          </cell>
          <cell r="B9146" t="str">
            <v>Cinta para poste de seção circular, em aço galvanizado a fogo, fab. ROMAGNOLE ou similar, 1/4"x38x290mm</v>
          </cell>
          <cell r="C9146" t="str">
            <v>ud</v>
          </cell>
          <cell r="D9146">
            <v>0</v>
          </cell>
          <cell r="E9146">
            <v>25.35</v>
          </cell>
          <cell r="F9146">
            <v>25.35</v>
          </cell>
        </row>
        <row r="9147">
          <cell r="A9147" t="str">
            <v>422729</v>
          </cell>
          <cell r="B9147" t="str">
            <v>Cinta para poste de seção circular, em aço galvanizado a fogo, fab. ROMAGNOLE ou similar, 1/4"x38x300mm</v>
          </cell>
          <cell r="C9147" t="str">
            <v>ud</v>
          </cell>
          <cell r="D9147">
            <v>0</v>
          </cell>
          <cell r="E9147">
            <v>28.05</v>
          </cell>
          <cell r="F9147">
            <v>28.05</v>
          </cell>
        </row>
        <row r="9148">
          <cell r="A9148" t="str">
            <v>422730</v>
          </cell>
          <cell r="B9148" t="str">
            <v>Cinta para poste duplo T, em aço galvanizado a fogo, dimensão A=150mm e B=75mm, fab. ROMAGNOLE ou similar</v>
          </cell>
          <cell r="C9148" t="str">
            <v>ud</v>
          </cell>
          <cell r="D9148">
            <v>0</v>
          </cell>
          <cell r="E9148">
            <v>25.52</v>
          </cell>
          <cell r="F9148">
            <v>25.52</v>
          </cell>
        </row>
        <row r="9149">
          <cell r="A9149" t="str">
            <v>422731</v>
          </cell>
          <cell r="B9149" t="str">
            <v>Conector de derivação para linha viva conforme NTC 813079 - Copel, ref. GLV-95, fab. INTELLI ou similar</v>
          </cell>
          <cell r="C9149" t="str">
            <v>ud</v>
          </cell>
          <cell r="D9149">
            <v>0</v>
          </cell>
          <cell r="E9149">
            <v>14.11</v>
          </cell>
          <cell r="F9149">
            <v>14.11</v>
          </cell>
        </row>
        <row r="9150">
          <cell r="A9150" t="str">
            <v>422732</v>
          </cell>
          <cell r="B9150" t="str">
            <v>Conector de derivação para linha viva para cabo 35mm², conforme NTC 813079-5, ref. ENCESA ou similar</v>
          </cell>
          <cell r="C9150" t="str">
            <v>ud</v>
          </cell>
          <cell r="D9150">
            <v>0</v>
          </cell>
          <cell r="E9150">
            <v>27.17</v>
          </cell>
          <cell r="F9150">
            <v>27.17</v>
          </cell>
        </row>
        <row r="9151">
          <cell r="A9151" t="str">
            <v>422733</v>
          </cell>
          <cell r="B9151" t="str">
            <v>Conector para cabo de aço 5mm, tipo 684C, fab. BURNDY ou similar</v>
          </cell>
          <cell r="C9151" t="str">
            <v>ud</v>
          </cell>
          <cell r="D9151">
            <v>0</v>
          </cell>
          <cell r="E9151">
            <v>5.93</v>
          </cell>
          <cell r="F9151">
            <v>5.93</v>
          </cell>
        </row>
        <row r="9152">
          <cell r="A9152" t="str">
            <v>422734</v>
          </cell>
          <cell r="B9152" t="str">
            <v xml:space="preserve">Conector paralelo para ligações bimetálicas, para ramal de ligação, bitola 35mm² (4AWG), fab. BURNDY ou similar  (NTC 813010) </v>
          </cell>
          <cell r="C9152" t="str">
            <v>ud</v>
          </cell>
          <cell r="D9152">
            <v>0</v>
          </cell>
          <cell r="E9152">
            <v>7.35</v>
          </cell>
          <cell r="F9152">
            <v>7.35</v>
          </cell>
        </row>
        <row r="9153">
          <cell r="A9153" t="str">
            <v>422735</v>
          </cell>
          <cell r="B9153" t="str">
            <v>Conector paralelo TAPIT, em alumínio, para ligações bimetálicas, principal (cobre/alumínio) 10-1/0AWG, derivação (cobre/alumínio) 10-2AWG, fab. BURNDY ou similar  (NTC 813010)  (290236)</v>
          </cell>
          <cell r="C9153" t="str">
            <v>ud</v>
          </cell>
          <cell r="D9153">
            <v>0</v>
          </cell>
          <cell r="E9153">
            <v>5.72</v>
          </cell>
          <cell r="F9153">
            <v>5.72</v>
          </cell>
        </row>
        <row r="9154">
          <cell r="A9154" t="str">
            <v>422736</v>
          </cell>
          <cell r="B9154" t="str">
            <v>Elo fusível para uso em chaves fusíveis, comp. 500mm, cordoalha em cobre estanhado, tipo K, fab. DELMAR ou similar, 6A (46434)</v>
          </cell>
          <cell r="C9154" t="str">
            <v>ud</v>
          </cell>
          <cell r="D9154">
            <v>0</v>
          </cell>
          <cell r="E9154">
            <v>4.49</v>
          </cell>
          <cell r="F9154">
            <v>4.49</v>
          </cell>
        </row>
        <row r="9155">
          <cell r="A9155" t="str">
            <v>422737</v>
          </cell>
          <cell r="B9155" t="str">
            <v>Elo fusível para uso em chaves fusíveis, comp. 500mm, cordoalha em cobre estanhado, tipo K, fab. DELMAR ou similar, 8A (299532)</v>
          </cell>
          <cell r="C9155" t="str">
            <v>ud</v>
          </cell>
          <cell r="D9155">
            <v>0</v>
          </cell>
          <cell r="E9155">
            <v>4.37</v>
          </cell>
          <cell r="F9155">
            <v>4.37</v>
          </cell>
        </row>
        <row r="9156">
          <cell r="A9156" t="str">
            <v>422738</v>
          </cell>
          <cell r="B9156" t="str">
            <v>Elo fusível para uso em chaves fusíveis, comp. 500mm, cordoalha em cobre estanhado, tipo K, fab. DELMAR ou similar, 10A (46450)</v>
          </cell>
          <cell r="C9156" t="str">
            <v>ud</v>
          </cell>
          <cell r="D9156">
            <v>0</v>
          </cell>
          <cell r="E9156">
            <v>4.37</v>
          </cell>
          <cell r="F9156">
            <v>4.37</v>
          </cell>
        </row>
        <row r="9157">
          <cell r="A9157" t="str">
            <v>422739</v>
          </cell>
          <cell r="B9157" t="str">
            <v>Elo fusível para uso em chaves fusíveis, comp. 500mm, cordoalha em cobre estanhado, tipo K, fab. DELMAR ou similar, 15A (46477)</v>
          </cell>
          <cell r="C9157" t="str">
            <v>ud</v>
          </cell>
          <cell r="D9157">
            <v>0</v>
          </cell>
          <cell r="E9157">
            <v>4.37</v>
          </cell>
          <cell r="F9157">
            <v>4.37</v>
          </cell>
        </row>
        <row r="9158">
          <cell r="A9158" t="str">
            <v>422740</v>
          </cell>
          <cell r="B9158" t="str">
            <v>Elo fusível para uso em chaves fusíveis, comp. 500mm, cordoalha em cobre estanhado, tipo K, fab. DELMAR ou similar, 25A</v>
          </cell>
          <cell r="C9158" t="str">
            <v>ud</v>
          </cell>
          <cell r="D9158">
            <v>0</v>
          </cell>
          <cell r="E9158">
            <v>5.39</v>
          </cell>
          <cell r="F9158">
            <v>5.39</v>
          </cell>
        </row>
        <row r="9159">
          <cell r="A9159" t="str">
            <v>422741</v>
          </cell>
          <cell r="B9159" t="str">
            <v>Elo fusível para uso em chaves fusíveis, comp. 500mm, cordoalha em cobre estanhado, tipo K, fab. DELMAR ou similar, 50A (67440)</v>
          </cell>
          <cell r="C9159" t="str">
            <v>ud</v>
          </cell>
          <cell r="D9159">
            <v>0</v>
          </cell>
          <cell r="E9159">
            <v>7.72</v>
          </cell>
          <cell r="F9159">
            <v>7.72</v>
          </cell>
        </row>
        <row r="9160">
          <cell r="A9160" t="str">
            <v>422742</v>
          </cell>
          <cell r="B9160" t="str">
            <v>Elo fusível para uso em chaves fusíveis, comp. 500mm, cordoalha em cobre estanhado, tipo K, fab. DELMAR ou similar, 100A</v>
          </cell>
          <cell r="C9160" t="str">
            <v>ud</v>
          </cell>
          <cell r="D9160">
            <v>0</v>
          </cell>
          <cell r="E9160">
            <v>20.99</v>
          </cell>
          <cell r="F9160">
            <v>20.99</v>
          </cell>
        </row>
        <row r="9161">
          <cell r="A9161" t="str">
            <v>422743</v>
          </cell>
          <cell r="B9161" t="str">
            <v>Elo fusível para uso em chaves fusíveis, comp. 500mm, cordoalha em cobre estanhado, tipo K, fab. DELMAR ou similar, 200A</v>
          </cell>
          <cell r="C9161" t="str">
            <v>ud</v>
          </cell>
          <cell r="D9161">
            <v>0</v>
          </cell>
          <cell r="E9161">
            <v>49.68</v>
          </cell>
          <cell r="F9161">
            <v>49.68</v>
          </cell>
        </row>
        <row r="9162">
          <cell r="A9162" t="str">
            <v>422744</v>
          </cell>
          <cell r="B9162" t="str">
            <v>Elo fusível para uso em chaves fusíveis, comp. 500mm, cordoalha em cobre estanhado, tipo H fab. DELMAR ou similar, 6A</v>
          </cell>
          <cell r="C9162" t="str">
            <v>ud</v>
          </cell>
          <cell r="D9162">
            <v>0</v>
          </cell>
          <cell r="E9162">
            <v>4</v>
          </cell>
          <cell r="F9162">
            <v>4</v>
          </cell>
        </row>
        <row r="9163">
          <cell r="A9163" t="str">
            <v>422745</v>
          </cell>
          <cell r="B9163" t="str">
            <v>Elo fusível para uso em chaves fusíveis, comp. 500mm, cordoalha em cobre estanhado, tipo H fab. DELMAR ou similar, 8A</v>
          </cell>
          <cell r="C9163" t="str">
            <v>ud</v>
          </cell>
          <cell r="D9163">
            <v>0</v>
          </cell>
          <cell r="E9163">
            <v>5.69</v>
          </cell>
          <cell r="F9163">
            <v>5.69</v>
          </cell>
        </row>
        <row r="9164">
          <cell r="A9164" t="str">
            <v>422746</v>
          </cell>
          <cell r="B9164" t="str">
            <v>Elo fusível para uso em chaves fusíveis, comp. 500mm, cordoalha em cobre estanhado, tipo H fab. DELMAR ou similar, 10A</v>
          </cell>
          <cell r="C9164" t="str">
            <v>ud</v>
          </cell>
          <cell r="D9164">
            <v>0</v>
          </cell>
          <cell r="E9164">
            <v>5.46</v>
          </cell>
          <cell r="F9164">
            <v>5.46</v>
          </cell>
        </row>
        <row r="9165">
          <cell r="A9165" t="str">
            <v>422747</v>
          </cell>
          <cell r="B9165" t="str">
            <v>Elo fusível para uso em chaves fusíveis, comp. 500mm, cordoalha em cobre estanhado, tipo H fab. DELMAR ou similar, 15A</v>
          </cell>
          <cell r="C9165" t="str">
            <v>ud</v>
          </cell>
          <cell r="D9165">
            <v>0</v>
          </cell>
          <cell r="E9165">
            <v>4.95</v>
          </cell>
          <cell r="F9165">
            <v>4.95</v>
          </cell>
        </row>
        <row r="9166">
          <cell r="A9166" t="str">
            <v>422748</v>
          </cell>
          <cell r="B9166" t="str">
            <v>Elo fusível para uso em chaves fusíveis, comp. 500mm, cordoalha em cobre estanhado, tipo H fab. DELMAR ou similar, 25A</v>
          </cell>
          <cell r="C9166" t="str">
            <v>ud</v>
          </cell>
          <cell r="D9166">
            <v>0</v>
          </cell>
          <cell r="E9166">
            <v>7.98</v>
          </cell>
          <cell r="F9166">
            <v>7.98</v>
          </cell>
        </row>
        <row r="9167">
          <cell r="A9167" t="str">
            <v>422749</v>
          </cell>
          <cell r="B9167" t="str">
            <v>Elo fusível para uso em chaves fusíveis, comp. 500mm, cordoalha em cobre estanhado, tipo H fab. DELMAR ou similar, 50A</v>
          </cell>
          <cell r="C9167" t="str">
            <v>ud</v>
          </cell>
          <cell r="D9167">
            <v>0</v>
          </cell>
          <cell r="E9167">
            <v>9.14</v>
          </cell>
          <cell r="F9167">
            <v>9.14</v>
          </cell>
        </row>
        <row r="9168">
          <cell r="A9168" t="str">
            <v>422750</v>
          </cell>
          <cell r="B9168" t="str">
            <v>Elo fusível para uso em chaves fusíveis, comp. 500mm, cordoalha em cobre estanhado, tipo H fab. DELMAR ou similar, 100A</v>
          </cell>
          <cell r="C9168" t="str">
            <v>ud</v>
          </cell>
          <cell r="D9168">
            <v>0</v>
          </cell>
          <cell r="E9168">
            <v>6.06</v>
          </cell>
          <cell r="F9168">
            <v>6.06</v>
          </cell>
        </row>
        <row r="9169">
          <cell r="A9169" t="str">
            <v>422751</v>
          </cell>
          <cell r="B9169" t="str">
            <v>Elo fusível para uso em chaves fusíveis, comp. 500mm, cordoalha em cobre estanhado, tipo H fab. DELMAR ou similar, 200A</v>
          </cell>
          <cell r="C9169" t="str">
            <v>ud</v>
          </cell>
          <cell r="D9169">
            <v>0</v>
          </cell>
          <cell r="E9169">
            <v>7.89</v>
          </cell>
          <cell r="F9169">
            <v>7.89</v>
          </cell>
        </row>
        <row r="9170">
          <cell r="A9170" t="str">
            <v>422752</v>
          </cell>
          <cell r="B9170" t="str">
            <v>Elo fusível para uso em chaves fusíveis, comp. 500mm, cordoalha em cobre estanhado, tipo T, fab. DELMAR ou similar, 6A</v>
          </cell>
          <cell r="C9170" t="str">
            <v>ud</v>
          </cell>
          <cell r="D9170">
            <v>0</v>
          </cell>
          <cell r="E9170">
            <v>4</v>
          </cell>
          <cell r="F9170">
            <v>4</v>
          </cell>
        </row>
        <row r="9171">
          <cell r="A9171" t="str">
            <v>422753</v>
          </cell>
          <cell r="B9171" t="str">
            <v>Elo fusível para uso em chaves fusíveis, comp. 500mm, cordoalha em cobre estanhado, tipo T, fab. DELMAR ou similar, 8A</v>
          </cell>
          <cell r="C9171" t="str">
            <v>ud</v>
          </cell>
          <cell r="D9171">
            <v>0</v>
          </cell>
          <cell r="E9171">
            <v>5.73</v>
          </cell>
          <cell r="F9171">
            <v>5.73</v>
          </cell>
        </row>
        <row r="9172">
          <cell r="A9172" t="str">
            <v>422754</v>
          </cell>
          <cell r="B9172" t="str">
            <v>Elo fusível para uso em chaves fusíveis, comp. 500mm, cordoalha em cobre estanhado, tipo T, fab. DELMAR ou similar, 10A</v>
          </cell>
          <cell r="C9172" t="str">
            <v>ud</v>
          </cell>
          <cell r="D9172">
            <v>0</v>
          </cell>
          <cell r="E9172">
            <v>5.45</v>
          </cell>
          <cell r="F9172">
            <v>5.45</v>
          </cell>
        </row>
        <row r="9173">
          <cell r="A9173" t="str">
            <v>422755</v>
          </cell>
          <cell r="B9173" t="str">
            <v>Elo fusível para uso em chaves fusíveis, comp. 500mm, cordoalha em cobre estanhado, tipo T, fab. DELMAR ou similar, 15A</v>
          </cell>
          <cell r="C9173" t="str">
            <v>ud</v>
          </cell>
          <cell r="D9173">
            <v>0</v>
          </cell>
          <cell r="E9173">
            <v>5.31</v>
          </cell>
          <cell r="F9173">
            <v>5.31</v>
          </cell>
        </row>
        <row r="9174">
          <cell r="A9174" t="str">
            <v>422756</v>
          </cell>
          <cell r="B9174" t="str">
            <v>Elo fusível para uso em chaves fusíveis, comp. 500mm, cordoalha em cobre estanhado, tipo T, fab. DELMAR ou similar, 25A</v>
          </cell>
          <cell r="C9174" t="str">
            <v>ud</v>
          </cell>
          <cell r="D9174">
            <v>0</v>
          </cell>
          <cell r="E9174">
            <v>6.45</v>
          </cell>
          <cell r="F9174">
            <v>6.45</v>
          </cell>
        </row>
        <row r="9175">
          <cell r="A9175" t="str">
            <v>422757</v>
          </cell>
          <cell r="B9175" t="str">
            <v>Elo fusível para uso em chaves fusíveis, comp. 500mm, cordoalha em cobre estanhado, tipo T, fab. DELMAR ou similar, 50A</v>
          </cell>
          <cell r="C9175" t="str">
            <v>ud</v>
          </cell>
          <cell r="D9175">
            <v>0</v>
          </cell>
          <cell r="E9175">
            <v>9.36</v>
          </cell>
          <cell r="F9175">
            <v>9.36</v>
          </cell>
        </row>
        <row r="9176">
          <cell r="A9176" t="str">
            <v>422758</v>
          </cell>
          <cell r="B9176" t="str">
            <v>Elo fusível para uso em chaves fusíveis, comp. 500mm, cordoalha em cobre estanhado, tipo T, fab. DELMAR ou similar, 100A</v>
          </cell>
          <cell r="C9176" t="str">
            <v>ud</v>
          </cell>
          <cell r="D9176">
            <v>0</v>
          </cell>
          <cell r="E9176">
            <v>6.22</v>
          </cell>
          <cell r="F9176">
            <v>6.22</v>
          </cell>
        </row>
        <row r="9177">
          <cell r="A9177" t="str">
            <v>422759</v>
          </cell>
          <cell r="B9177" t="str">
            <v>Elo fusível para uso em chaves fusíveis, comp. 500mm, cordoalha em cobre estanhado, tipo T, fab. DELMAR ou similar, 200A</v>
          </cell>
          <cell r="C9177" t="str">
            <v>ud</v>
          </cell>
          <cell r="D9177">
            <v>0</v>
          </cell>
          <cell r="E9177">
            <v>8.1</v>
          </cell>
          <cell r="F9177">
            <v>8.1</v>
          </cell>
        </row>
        <row r="9178">
          <cell r="A9178" t="str">
            <v>422760</v>
          </cell>
          <cell r="B9178" t="str">
            <v xml:space="preserve">Emenda termocontrátil de baixa tensão, temperatura em regime 105ºC, para cabo de 2,5 a 25mm² comprimento 150mm, tipo WCSM 24/6-1500 TUBO PLASTICO 19/5, fab. RAYCHEM ou similar </v>
          </cell>
          <cell r="C9178" t="str">
            <v>ud</v>
          </cell>
          <cell r="D9178">
            <v>0</v>
          </cell>
          <cell r="E9178">
            <v>100</v>
          </cell>
          <cell r="F9178">
            <v>100</v>
          </cell>
        </row>
        <row r="9179">
          <cell r="A9179" t="str">
            <v>422761</v>
          </cell>
          <cell r="B9179" t="str">
            <v xml:space="preserve">Emenda termocontrátil de baixa tensão, temperatura em regime 105ºC, para cabo de 16 a 120mm², comprimento 250mm, tipo WCSM 34/8-1000 TUBO PLASTICO 28/9, fab. RAYCHEM ou similar </v>
          </cell>
          <cell r="C9179" t="str">
            <v>ud</v>
          </cell>
          <cell r="D9179">
            <v>0</v>
          </cell>
          <cell r="E9179">
            <v>105</v>
          </cell>
          <cell r="F9179">
            <v>105</v>
          </cell>
        </row>
        <row r="9180">
          <cell r="A9180" t="str">
            <v>422762</v>
          </cell>
          <cell r="B9180" t="str">
            <v xml:space="preserve">Emenda termocontrátil de baixa tensão, temperatura em regime 105ºC, para cabo de 95 a 240mm², comprimento 250mm, tipo WCSM 48/12-1000 TUBO PLASTICO 38/15, fab. RAYCHEM ou similar </v>
          </cell>
          <cell r="C9180" t="str">
            <v>ud</v>
          </cell>
          <cell r="D9180">
            <v>0</v>
          </cell>
          <cell r="E9180">
            <v>110</v>
          </cell>
          <cell r="F9180">
            <v>110</v>
          </cell>
        </row>
        <row r="9181">
          <cell r="A9181" t="str">
            <v>422763</v>
          </cell>
          <cell r="B9181" t="str">
            <v>Emenda termocontrátil de baixa tensão, temperatura em regime 105ºC, para cabo de 120 a 400mm², comprimento 250mm,  tipo WCSM 56/16-1500 TUBO PLASTICO 45/18, fab. RAYCHEM ou similar</v>
          </cell>
          <cell r="C9181" t="str">
            <v>ud</v>
          </cell>
          <cell r="D9181">
            <v>0</v>
          </cell>
          <cell r="E9181">
            <v>160</v>
          </cell>
          <cell r="F9181">
            <v>160</v>
          </cell>
        </row>
        <row r="9182">
          <cell r="A9182" t="str">
            <v>422764</v>
          </cell>
          <cell r="B9182" t="str">
            <v xml:space="preserve">Emenda termocontrátil de baixa tensão, temperatura em regime 105ºC, para cabo de 300 a 1000mm², comprimento 300mm, tipo WCSM 70/21-1500 TUBO PLASTICO 70/28, fab. RAYCHEM ou similar </v>
          </cell>
          <cell r="C9182" t="str">
            <v>ud</v>
          </cell>
          <cell r="D9182">
            <v>0</v>
          </cell>
          <cell r="E9182">
            <v>170</v>
          </cell>
          <cell r="F9182">
            <v>170</v>
          </cell>
        </row>
        <row r="9183">
          <cell r="A9183" t="str">
            <v>422765</v>
          </cell>
          <cell r="B9183" t="str">
            <v>Espaçador para rede primária 15 KV, losangular, fab.   em   polietileno de alta densidade (NTC 812513), ref. 50501-3, fab. INCESA ou similar (289086)</v>
          </cell>
          <cell r="C9183" t="str">
            <v>ud</v>
          </cell>
          <cell r="D9183">
            <v>0</v>
          </cell>
          <cell r="E9183">
            <v>14.65</v>
          </cell>
          <cell r="F9183">
            <v>14.65</v>
          </cell>
        </row>
        <row r="9184">
          <cell r="A9184" t="str">
            <v>422766</v>
          </cell>
          <cell r="B9184" t="str">
            <v>Espaçador losangular 35kV, NTC 812517</v>
          </cell>
          <cell r="C9184" t="str">
            <v>ud</v>
          </cell>
          <cell r="D9184">
            <v>0</v>
          </cell>
          <cell r="E9184">
            <v>78.790000000000006</v>
          </cell>
          <cell r="F9184">
            <v>78.790000000000006</v>
          </cell>
        </row>
        <row r="9185">
          <cell r="A9185" t="str">
            <v>422767</v>
          </cell>
          <cell r="B9185" t="str">
            <v>Espelho para caixa 2"x4", com furo central ø 1/4", ref. 6801 37, fab. PIAL ou similar</v>
          </cell>
          <cell r="C9185" t="str">
            <v>ud</v>
          </cell>
          <cell r="D9185">
            <v>0</v>
          </cell>
          <cell r="E9185">
            <v>4.33</v>
          </cell>
          <cell r="F9185">
            <v>4.33</v>
          </cell>
        </row>
        <row r="9186">
          <cell r="A9186" t="str">
            <v>422768</v>
          </cell>
          <cell r="B9186" t="str">
            <v xml:space="preserve">Esticador Gancho-olhal para cabo de aço, em aço galvanizado à fogo, bitola 1/2", fab. MECRIL ou similar </v>
          </cell>
          <cell r="C9186" t="str">
            <v>ud</v>
          </cell>
          <cell r="D9186">
            <v>0</v>
          </cell>
          <cell r="E9186">
            <v>17.920000000000002</v>
          </cell>
          <cell r="F9186">
            <v>17.920000000000002</v>
          </cell>
        </row>
        <row r="9187">
          <cell r="A9187" t="str">
            <v>422769</v>
          </cell>
          <cell r="B9187" t="str">
            <v xml:space="preserve">Esticador Gancho-olhal para cabo de aço, em aço galvanizado à fogo, bitola 1/4", fab. MECRIL ou similar </v>
          </cell>
          <cell r="C9187" t="str">
            <v>ud</v>
          </cell>
          <cell r="D9187">
            <v>0</v>
          </cell>
          <cell r="E9187">
            <v>7.21</v>
          </cell>
          <cell r="F9187">
            <v>7.21</v>
          </cell>
        </row>
        <row r="9188">
          <cell r="A9188" t="str">
            <v>422770</v>
          </cell>
          <cell r="B9188" t="str">
            <v xml:space="preserve">Esticador Gancho-olhal para cabo de aço, em aço galvanizado à fogo, bitola 3/8", fab. MECRIL ou similar </v>
          </cell>
          <cell r="C9188" t="str">
            <v>ud</v>
          </cell>
          <cell r="D9188">
            <v>0</v>
          </cell>
          <cell r="E9188">
            <v>12.84</v>
          </cell>
          <cell r="F9188">
            <v>12.84</v>
          </cell>
        </row>
        <row r="9189">
          <cell r="A9189" t="str">
            <v>422771</v>
          </cell>
          <cell r="B9189" t="str">
            <v xml:space="preserve">Esticador Gancho-olhal para cabo de aço, em aço galvanizado à fogo, bitola 5/8", fab. MECRIL ou similar </v>
          </cell>
          <cell r="C9189" t="str">
            <v>ud</v>
          </cell>
          <cell r="D9189">
            <v>0</v>
          </cell>
          <cell r="E9189">
            <v>24.06</v>
          </cell>
          <cell r="F9189">
            <v>24.06</v>
          </cell>
        </row>
        <row r="9190">
          <cell r="A9190" t="str">
            <v>422772</v>
          </cell>
          <cell r="B9190" t="str">
            <v>Esticador para cabo de aço, galvanizado, tipo gancho/olhal, 1/4", fab. SISA ou similar</v>
          </cell>
          <cell r="C9190" t="str">
            <v>ud</v>
          </cell>
          <cell r="D9190">
            <v>0</v>
          </cell>
          <cell r="E9190">
            <v>17.920000000000002</v>
          </cell>
          <cell r="F9190">
            <v>17.920000000000002</v>
          </cell>
        </row>
        <row r="9191">
          <cell r="A9191" t="str">
            <v>422773</v>
          </cell>
          <cell r="B9191" t="str">
            <v>Estribo de aço para espaçador losangular, NTC 813975</v>
          </cell>
          <cell r="C9191" t="str">
            <v>ud</v>
          </cell>
          <cell r="D9191">
            <v>0</v>
          </cell>
          <cell r="E9191">
            <v>14.1</v>
          </cell>
          <cell r="F9191">
            <v>14.1</v>
          </cell>
        </row>
        <row r="9192">
          <cell r="A9192" t="str">
            <v>422774</v>
          </cell>
          <cell r="B9192" t="str">
            <v>Estribo com conector cunha para cabo de alumínio nú, AWG 2/0 CA, conforme NTC 813030</v>
          </cell>
          <cell r="C9192" t="str">
            <v>ud</v>
          </cell>
          <cell r="D9192">
            <v>0</v>
          </cell>
          <cell r="E9192">
            <v>15.99</v>
          </cell>
          <cell r="F9192">
            <v>15.99</v>
          </cell>
        </row>
        <row r="9193">
          <cell r="A9193" t="str">
            <v>422775</v>
          </cell>
          <cell r="B9193" t="str">
            <v>Fita de advertência para isolamento de área em polietileno impresso em preto, com a inscrição "CUIDADO - ALTA TENSÃO", rolo de 7,6 x 300m,  fab. SETOM ou similar</v>
          </cell>
          <cell r="C9193" t="str">
            <v>ud</v>
          </cell>
          <cell r="D9193">
            <v>0</v>
          </cell>
          <cell r="E9193">
            <v>122.37</v>
          </cell>
          <cell r="F9193">
            <v>122.37</v>
          </cell>
        </row>
        <row r="9194">
          <cell r="A9194" t="str">
            <v>422776</v>
          </cell>
          <cell r="B9194" t="str">
            <v>Gancho de suspensão, de aço galvanizado a fogo, diâmetro do furo 18mm, NTC 812023, fab. ROMAGNOLE ou similar</v>
          </cell>
          <cell r="C9194" t="str">
            <v>ud</v>
          </cell>
          <cell r="D9194">
            <v>0</v>
          </cell>
          <cell r="E9194">
            <v>7.77</v>
          </cell>
          <cell r="F9194">
            <v>7.77</v>
          </cell>
        </row>
        <row r="9195">
          <cell r="A9195" t="str">
            <v>422777</v>
          </cell>
          <cell r="B9195" t="str">
            <v>Gancho tipo "J", bitola 1/4", para fixação de telha de fibrocimento em viga de ferro, com borracha de vedação, fab. GERDAU ou similar</v>
          </cell>
          <cell r="C9195" t="str">
            <v>ud</v>
          </cell>
          <cell r="D9195">
            <v>0</v>
          </cell>
          <cell r="E9195">
            <v>8.7200000000000006</v>
          </cell>
          <cell r="F9195">
            <v>8.7200000000000006</v>
          </cell>
        </row>
        <row r="9196">
          <cell r="A9196" t="str">
            <v>422778</v>
          </cell>
          <cell r="B9196" t="str">
            <v>Gancho longo para perfilado 38x76mm, de aço galvanizado a fogo, ref. DP-562, fab. DISPAN ou similar</v>
          </cell>
          <cell r="C9196" t="str">
            <v>ud</v>
          </cell>
          <cell r="D9196">
            <v>0</v>
          </cell>
          <cell r="E9196">
            <v>3.32</v>
          </cell>
          <cell r="F9196">
            <v>3.32</v>
          </cell>
        </row>
        <row r="9197">
          <cell r="A9197" t="str">
            <v>422779</v>
          </cell>
          <cell r="B9197" t="str">
            <v>Grampo de ancoragem para cabo XLPE - 13,8kV, conforme NTC 813055, ref. BALESTRO ou similar</v>
          </cell>
          <cell r="C9197" t="str">
            <v>ud</v>
          </cell>
          <cell r="D9197">
            <v>0</v>
          </cell>
          <cell r="E9197">
            <v>43.42</v>
          </cell>
          <cell r="F9197">
            <v>43.42</v>
          </cell>
        </row>
        <row r="9198">
          <cell r="A9198" t="str">
            <v>422780</v>
          </cell>
          <cell r="B9198" t="str">
            <v>Isolador de ancoragem, tipo bastão, em corpo isolante polimérico, 34,5kV,  NTC 811564, ref. BALESTRO ou similar</v>
          </cell>
          <cell r="C9198" t="str">
            <v>ud</v>
          </cell>
          <cell r="D9198">
            <v>0</v>
          </cell>
          <cell r="E9198">
            <v>60.14</v>
          </cell>
          <cell r="F9198">
            <v>60.14</v>
          </cell>
        </row>
        <row r="9199">
          <cell r="A9199" t="str">
            <v>422781</v>
          </cell>
          <cell r="B9199" t="str">
            <v>Isolador de ancoragem, tipo bastão, em corpo isolante polimérico, 13,8kV, NTC 811563,  ref. BALESTRO ou similar</v>
          </cell>
          <cell r="C9199" t="str">
            <v>ud</v>
          </cell>
          <cell r="D9199">
            <v>0</v>
          </cell>
          <cell r="E9199">
            <v>39.4</v>
          </cell>
          <cell r="F9199">
            <v>39.4</v>
          </cell>
        </row>
        <row r="9200">
          <cell r="A9200" t="str">
            <v>422782</v>
          </cell>
          <cell r="B9200" t="str">
            <v xml:space="preserve">Isolador preformado para cerca de arame farpado, resistência mecânica 450Kg, com duas alças pré-formadas, ref. SCM-0100, fab. PLP ou similar </v>
          </cell>
          <cell r="C9200" t="str">
            <v>ud</v>
          </cell>
          <cell r="D9200">
            <v>0</v>
          </cell>
          <cell r="E9200">
            <v>9.11</v>
          </cell>
          <cell r="F9200">
            <v>9.11</v>
          </cell>
        </row>
        <row r="9201">
          <cell r="A9201" t="str">
            <v>422783</v>
          </cell>
          <cell r="B9201" t="str">
            <v>Isolador de pino incorporado, tipo universal, classe 15kV, corpo isolante polimérico, pino de aço carbono com rosca de chumbo, NTC 811529,  ref. BALESTRO ou similar</v>
          </cell>
          <cell r="C9201" t="str">
            <v>ud</v>
          </cell>
          <cell r="D9201">
            <v>0</v>
          </cell>
          <cell r="E9201">
            <v>91.17</v>
          </cell>
          <cell r="F9201">
            <v>91.17</v>
          </cell>
        </row>
        <row r="9202">
          <cell r="A9202" t="str">
            <v>422784</v>
          </cell>
          <cell r="B9202" t="str">
            <v>Isolador de roldana em porcelana vidrada marron, 72 x 72 mm, fab. GERMER ou similar (70122)</v>
          </cell>
          <cell r="C9202" t="str">
            <v>ud</v>
          </cell>
          <cell r="D9202">
            <v>0</v>
          </cell>
          <cell r="E9202">
            <v>4.12</v>
          </cell>
          <cell r="F9202">
            <v>4.12</v>
          </cell>
          <cell r="G9202">
            <v>3398</v>
          </cell>
        </row>
        <row r="9203">
          <cell r="A9203" t="str">
            <v>422785</v>
          </cell>
          <cell r="B9203" t="str">
            <v>Isolador tipo pilar, classe 35kV, NBI-170kV, corpo isolante polimérico, pino de aço carbono com rosca de chumbo, NTC 811557,  ref. BALESTRO ou similar</v>
          </cell>
          <cell r="C9203" t="str">
            <v>ud</v>
          </cell>
          <cell r="D9203">
            <v>0</v>
          </cell>
          <cell r="E9203">
            <v>108.1</v>
          </cell>
          <cell r="F9203">
            <v>108.1</v>
          </cell>
        </row>
        <row r="9204">
          <cell r="A9204" t="str">
            <v>422786</v>
          </cell>
          <cell r="B9204" t="str">
            <v>Laço de distribuição (ou de topo) pré-formado, em aço carbono, para cabo de alumínio CA ou CAA, ref. UTF, fab. PLP ou similar, bitola 2AWG</v>
          </cell>
          <cell r="C9204" t="str">
            <v>ud</v>
          </cell>
          <cell r="D9204">
            <v>0</v>
          </cell>
          <cell r="E9204">
            <v>3.75</v>
          </cell>
          <cell r="F9204">
            <v>3.75</v>
          </cell>
          <cell r="G9204">
            <v>11272</v>
          </cell>
        </row>
        <row r="9205">
          <cell r="A9205" t="str">
            <v>422787</v>
          </cell>
          <cell r="B9205" t="str">
            <v>Laço de distribuição (ou de topo) pré-formado, em aço carbono, para cabo de alumínio CA ou CAA, ref. UTF, fab. PLP ou similar, bitola 4AWG</v>
          </cell>
          <cell r="C9205" t="str">
            <v>ud</v>
          </cell>
          <cell r="D9205">
            <v>0</v>
          </cell>
          <cell r="E9205">
            <v>1.5</v>
          </cell>
          <cell r="F9205">
            <v>1.5</v>
          </cell>
          <cell r="G9205">
            <v>11275</v>
          </cell>
        </row>
        <row r="9206">
          <cell r="A9206" t="str">
            <v>422788</v>
          </cell>
          <cell r="B9206" t="str">
            <v>Laço de distribuição (ou de topo) pré-formado, em aço carbono, para cabo de alumínio CA ou CAA, ref. UTF, fab. PLP ou similar, bitola 6AWG</v>
          </cell>
          <cell r="C9206" t="str">
            <v>ud</v>
          </cell>
          <cell r="D9206">
            <v>0</v>
          </cell>
          <cell r="E9206">
            <v>1.23</v>
          </cell>
          <cell r="F9206">
            <v>1.23</v>
          </cell>
        </row>
        <row r="9207">
          <cell r="A9207" t="str">
            <v>422789</v>
          </cell>
          <cell r="B9207" t="str">
            <v>Laço de distribuição (ou de topo) pré-formado, em aço carbono, para cabo de alumínio CA ou CAA, ref. UTF, fab. PLP ou similar, bitola 1/0AWG</v>
          </cell>
          <cell r="C9207" t="str">
            <v>ud</v>
          </cell>
          <cell r="D9207">
            <v>0</v>
          </cell>
          <cell r="E9207">
            <v>6.22</v>
          </cell>
          <cell r="F9207">
            <v>6.22</v>
          </cell>
          <cell r="G9207">
            <v>11273</v>
          </cell>
        </row>
        <row r="9208">
          <cell r="A9208" t="str">
            <v>422790</v>
          </cell>
          <cell r="B9208" t="str">
            <v>Laço de distribuição (ou de topo) pré-formado, em aço carbono, para cabo de alumínio CA ou CAA, ref. UTF fab. PLP ou similar,  bitola 2/0AWG</v>
          </cell>
          <cell r="C9208" t="str">
            <v>ud</v>
          </cell>
          <cell r="D9208">
            <v>0</v>
          </cell>
          <cell r="E9208">
            <v>3.85</v>
          </cell>
          <cell r="F9208">
            <v>3.85</v>
          </cell>
        </row>
        <row r="9209">
          <cell r="A9209" t="str">
            <v>422791</v>
          </cell>
          <cell r="B9209" t="str">
            <v>Laço de distribuição (ou de topo) pré-formado, em aço carbono, para cabo de alumínio CA ou CAA, ref. UTF, fab. PLP ou similar, bitola 4/0AWG</v>
          </cell>
          <cell r="C9209" t="str">
            <v>ud</v>
          </cell>
          <cell r="D9209">
            <v>0</v>
          </cell>
          <cell r="E9209">
            <v>4.82</v>
          </cell>
          <cell r="F9209">
            <v>4.82</v>
          </cell>
        </row>
        <row r="9210">
          <cell r="A9210" t="str">
            <v>422792</v>
          </cell>
          <cell r="B9210" t="str">
            <v>Laço plástico de topo, conforme NTC 812294, CUTC-9103, ref. PLP ou similar, bitola 2AWG</v>
          </cell>
          <cell r="C9210" t="str">
            <v>ud</v>
          </cell>
          <cell r="D9210">
            <v>0</v>
          </cell>
          <cell r="E9210">
            <v>12.16</v>
          </cell>
          <cell r="F9210">
            <v>12.16</v>
          </cell>
        </row>
        <row r="9211">
          <cell r="A9211" t="str">
            <v>422799</v>
          </cell>
          <cell r="B9211" t="str">
            <v>Laço pré-formado para fio telefônico FE 100/160, em arame de  aço galvanizado, NTC 812294, ref. CTEMS-1505,  fab. PLP ou similar</v>
          </cell>
          <cell r="C9211" t="str">
            <v>ud</v>
          </cell>
          <cell r="D9211">
            <v>0</v>
          </cell>
          <cell r="E9211">
            <v>4.38</v>
          </cell>
          <cell r="F9211">
            <v>4.38</v>
          </cell>
        </row>
        <row r="9212">
          <cell r="A9212" t="str">
            <v>4228</v>
          </cell>
          <cell r="B9212" t="str">
            <v>MATERIAIS DE MÉDIA, BAIXA TENSÃO E ACESSÓRIOS</v>
          </cell>
          <cell r="C9212">
            <v>0</v>
          </cell>
          <cell r="D9212">
            <v>0</v>
          </cell>
          <cell r="E9212">
            <v>0</v>
          </cell>
          <cell r="F9212">
            <v>0</v>
          </cell>
        </row>
        <row r="9213">
          <cell r="A9213" t="str">
            <v>422801</v>
          </cell>
          <cell r="B9213" t="str">
            <v>Dispositivo para lacre 530 x 530 padrão Copel para caixa 600x600 em aço galvanizado a fogo, ref. METALURGICA VOIGT LTDA ou similar</v>
          </cell>
          <cell r="C9213" t="str">
            <v>ud</v>
          </cell>
          <cell r="D9213">
            <v>0</v>
          </cell>
          <cell r="E9213">
            <v>60</v>
          </cell>
          <cell r="F9213">
            <v>60</v>
          </cell>
        </row>
        <row r="9214">
          <cell r="A9214" t="str">
            <v>422802</v>
          </cell>
          <cell r="B9214" t="str">
            <v>Dispositivo para lacre 740 x 740 padrão Copel para caixa 800x800 em aço galvanizado a fogo, ref. METALURGICA VOIGT LTDA ou similar</v>
          </cell>
          <cell r="C9214" t="str">
            <v>ud</v>
          </cell>
          <cell r="D9214">
            <v>0</v>
          </cell>
          <cell r="E9214">
            <v>90</v>
          </cell>
          <cell r="F9214">
            <v>90</v>
          </cell>
        </row>
        <row r="9215">
          <cell r="A9215" t="str">
            <v>422803</v>
          </cell>
          <cell r="B9215" t="str">
            <v>Grampo "C" de aço galvanizado a fogo, 3/8", ref. SRS-569, ref.: SISA ou similar (295678)</v>
          </cell>
          <cell r="C9215" t="str">
            <v>ud</v>
          </cell>
          <cell r="D9215">
            <v>0</v>
          </cell>
          <cell r="E9215">
            <v>4.17</v>
          </cell>
          <cell r="F9215">
            <v>4.17</v>
          </cell>
        </row>
        <row r="9216">
          <cell r="A9216" t="str">
            <v>422805</v>
          </cell>
          <cell r="B9216" t="str">
            <v>Luva de emenda à compressão, em liga de cobre estanhado, fab. MAGNET ou similar, bitola 1,5mm² (pré isolado)</v>
          </cell>
          <cell r="C9216" t="str">
            <v>ud</v>
          </cell>
          <cell r="D9216">
            <v>0</v>
          </cell>
          <cell r="E9216">
            <v>0.94</v>
          </cell>
          <cell r="F9216">
            <v>0.94</v>
          </cell>
        </row>
        <row r="9217">
          <cell r="A9217" t="str">
            <v>422806</v>
          </cell>
          <cell r="B9217" t="str">
            <v>Luva de emenda à compressão, em liga de cobre estanhado, fab. MAGNET ou similar, bitola 2,5mm² (pré isolado)</v>
          </cell>
          <cell r="C9217" t="str">
            <v>ud</v>
          </cell>
          <cell r="D9217">
            <v>0</v>
          </cell>
          <cell r="E9217">
            <v>1.1599999999999999</v>
          </cell>
          <cell r="F9217">
            <v>1.1599999999999999</v>
          </cell>
        </row>
        <row r="9218">
          <cell r="A9218" t="str">
            <v>422807</v>
          </cell>
          <cell r="B9218" t="str">
            <v>Luva de emenda à compressão, em liga de cobre estanhado, fab. MAGNET ou similar, bitola 4mm²</v>
          </cell>
          <cell r="C9218" t="str">
            <v>ud</v>
          </cell>
          <cell r="D9218">
            <v>0</v>
          </cell>
          <cell r="E9218">
            <v>1.1599999999999999</v>
          </cell>
          <cell r="F9218">
            <v>1.1599999999999999</v>
          </cell>
        </row>
        <row r="9219">
          <cell r="A9219" t="str">
            <v>422808</v>
          </cell>
          <cell r="B9219" t="str">
            <v>Luva de emenda à compressão, em liga de cobre estanhado, fab. MAGNET ou similar, bitola 6mm²</v>
          </cell>
          <cell r="C9219" t="str">
            <v>ud</v>
          </cell>
          <cell r="D9219">
            <v>0</v>
          </cell>
          <cell r="E9219">
            <v>0.73</v>
          </cell>
          <cell r="F9219">
            <v>0.73</v>
          </cell>
        </row>
        <row r="9220">
          <cell r="A9220" t="str">
            <v>422809</v>
          </cell>
          <cell r="B9220" t="str">
            <v>Luva de emenda à compressão, em liga de cobre estanhado, fab. MAGNET ou similar, bitola 10mm²</v>
          </cell>
          <cell r="C9220" t="str">
            <v>ud</v>
          </cell>
          <cell r="D9220">
            <v>0</v>
          </cell>
          <cell r="E9220">
            <v>1.1599999999999999</v>
          </cell>
          <cell r="F9220">
            <v>1.1599999999999999</v>
          </cell>
        </row>
        <row r="9221">
          <cell r="A9221" t="str">
            <v>422810</v>
          </cell>
          <cell r="B9221" t="str">
            <v>Luva de emenda à compressão, em liga de cobre estanhado, fab. MAGNET ou similar, bitola 16mm²</v>
          </cell>
          <cell r="C9221" t="str">
            <v>ud</v>
          </cell>
          <cell r="D9221">
            <v>0</v>
          </cell>
          <cell r="E9221">
            <v>1.34</v>
          </cell>
          <cell r="F9221">
            <v>1.34</v>
          </cell>
        </row>
        <row r="9222">
          <cell r="A9222" t="str">
            <v>422811</v>
          </cell>
          <cell r="B9222" t="str">
            <v>Luva de emenda à compressão, em liga de cobre estanhado, fab. MAGNET ou similar, bitola 25mm²</v>
          </cell>
          <cell r="C9222" t="str">
            <v>ud</v>
          </cell>
          <cell r="D9222">
            <v>0</v>
          </cell>
          <cell r="E9222">
            <v>1.51</v>
          </cell>
          <cell r="F9222">
            <v>1.51</v>
          </cell>
        </row>
        <row r="9223">
          <cell r="A9223" t="str">
            <v>422812</v>
          </cell>
          <cell r="B9223" t="str">
            <v>Luva de emenda à compressão, em liga de cobre estanhado, fab. MAGNET ou similar, bitola 35mm²</v>
          </cell>
          <cell r="C9223" t="str">
            <v>ud</v>
          </cell>
          <cell r="D9223">
            <v>0</v>
          </cell>
          <cell r="E9223">
            <v>1.6</v>
          </cell>
          <cell r="F9223">
            <v>1.6</v>
          </cell>
        </row>
        <row r="9224">
          <cell r="A9224" t="str">
            <v>422813</v>
          </cell>
          <cell r="B9224" t="str">
            <v>Luva de emenda à compressão, em liga de cobre estanhado, fab. MAGNET ou similar, bitola 50mm²</v>
          </cell>
          <cell r="C9224" t="str">
            <v>ud</v>
          </cell>
          <cell r="D9224">
            <v>0</v>
          </cell>
          <cell r="E9224">
            <v>3.11</v>
          </cell>
          <cell r="F9224">
            <v>3.11</v>
          </cell>
        </row>
        <row r="9225">
          <cell r="A9225" t="str">
            <v>422814</v>
          </cell>
          <cell r="B9225" t="str">
            <v>Luva de emenda à compressão, em liga de cobre estanhado, fab. MAGNET ou similar, bitola 70mm²</v>
          </cell>
          <cell r="C9225" t="str">
            <v>ud</v>
          </cell>
          <cell r="D9225">
            <v>0</v>
          </cell>
          <cell r="E9225">
            <v>3.73</v>
          </cell>
          <cell r="F9225">
            <v>3.73</v>
          </cell>
        </row>
        <row r="9226">
          <cell r="A9226" t="str">
            <v>422815</v>
          </cell>
          <cell r="B9226" t="str">
            <v>Luva de emenda à compressão, em liga de cobre estanhado, fab. MAGNET ou similar, bitola 95mm²</v>
          </cell>
          <cell r="C9226" t="str">
            <v>ud</v>
          </cell>
          <cell r="D9226">
            <v>0</v>
          </cell>
          <cell r="E9226">
            <v>5.22</v>
          </cell>
          <cell r="F9226">
            <v>5.22</v>
          </cell>
        </row>
        <row r="9227">
          <cell r="A9227" t="str">
            <v>422816</v>
          </cell>
          <cell r="B9227" t="str">
            <v>Luva de emenda à compressão, em liga de cobre estanhado, fab. MAGNET ou similar, bitola 120mm²</v>
          </cell>
          <cell r="C9227" t="str">
            <v>ud</v>
          </cell>
          <cell r="D9227">
            <v>0</v>
          </cell>
          <cell r="E9227">
            <v>5.89</v>
          </cell>
          <cell r="F9227">
            <v>5.89</v>
          </cell>
        </row>
        <row r="9228">
          <cell r="A9228" t="str">
            <v>422817</v>
          </cell>
          <cell r="B9228" t="str">
            <v>Luva de emenda à compressão, em liga de cobre estanhado, fab. MAGNET ou similar, bitola 150mm²</v>
          </cell>
          <cell r="C9228" t="str">
            <v>ud</v>
          </cell>
          <cell r="D9228">
            <v>0</v>
          </cell>
          <cell r="E9228">
            <v>10.78</v>
          </cell>
          <cell r="F9228">
            <v>10.78</v>
          </cell>
        </row>
        <row r="9229">
          <cell r="A9229" t="str">
            <v>422818</v>
          </cell>
          <cell r="B9229" t="str">
            <v>Luva de emenda à compressão, em liga de cobre estanhado, fab. MAGNET ou similar, bitola 185mm²</v>
          </cell>
          <cell r="C9229" t="str">
            <v>ud</v>
          </cell>
          <cell r="D9229">
            <v>0</v>
          </cell>
          <cell r="E9229">
            <v>12.46</v>
          </cell>
          <cell r="F9229">
            <v>12.46</v>
          </cell>
        </row>
        <row r="9230">
          <cell r="A9230" t="str">
            <v>422819</v>
          </cell>
          <cell r="B9230" t="str">
            <v>Luva de emenda à compressão, em liga de cobre estanhado, fab. MAGNET ou similar, bitola 240mm²</v>
          </cell>
          <cell r="C9230" t="str">
            <v>ud</v>
          </cell>
          <cell r="D9230">
            <v>0</v>
          </cell>
          <cell r="E9230">
            <v>17.510000000000002</v>
          </cell>
          <cell r="F9230">
            <v>17.510000000000002</v>
          </cell>
        </row>
        <row r="9231">
          <cell r="A9231" t="str">
            <v>422820</v>
          </cell>
          <cell r="B9231" t="str">
            <v>Luva de emenda à compressão, em liga de cobre estanhado, fab. MAGNET ou similar, bitola 300mm²</v>
          </cell>
          <cell r="C9231" t="str">
            <v>ud</v>
          </cell>
          <cell r="D9231">
            <v>0</v>
          </cell>
          <cell r="E9231">
            <v>24.06</v>
          </cell>
          <cell r="F9231">
            <v>24.06</v>
          </cell>
        </row>
        <row r="9232">
          <cell r="A9232" t="str">
            <v>422821</v>
          </cell>
          <cell r="B9232" t="str">
            <v>Manilha sapatilha, NTC 812029</v>
          </cell>
          <cell r="C9232" t="str">
            <v>ud</v>
          </cell>
          <cell r="D9232">
            <v>0</v>
          </cell>
          <cell r="E9232">
            <v>13.39</v>
          </cell>
          <cell r="F9232">
            <v>13.39</v>
          </cell>
        </row>
        <row r="9233">
          <cell r="A9233" t="str">
            <v>422822</v>
          </cell>
          <cell r="B9233" t="str">
            <v xml:space="preserve">Prolongador de suspensão para tirante, rosca NC, 1/4", ref. SRS-330-22, fab.  SISA ou similar  </v>
          </cell>
          <cell r="C9233" t="str">
            <v>ud</v>
          </cell>
          <cell r="D9233">
            <v>0</v>
          </cell>
          <cell r="E9233">
            <v>1.29</v>
          </cell>
          <cell r="F9233">
            <v>1.29</v>
          </cell>
        </row>
        <row r="9234">
          <cell r="A9234" t="str">
            <v>422823</v>
          </cell>
          <cell r="B9234" t="str">
            <v>Protetor de bucha p/ os terminais primários e secundários do transformador de distribuição 15 KV, conforme NTC 813545 fabricante cadastrado na Copel</v>
          </cell>
          <cell r="C9234" t="str">
            <v>ud</v>
          </cell>
          <cell r="D9234">
            <v>0</v>
          </cell>
          <cell r="E9234">
            <v>11.81</v>
          </cell>
          <cell r="F9234">
            <v>11.81</v>
          </cell>
        </row>
        <row r="9235">
          <cell r="A9235" t="str">
            <v>422824</v>
          </cell>
          <cell r="B9235" t="str">
            <v>Suporte para leitora, padrão Copel,  em chapa de alumínio 3mm, pintura n. 6.5, para uso ao tempo, fab. BRUZAMOLIN ou similar</v>
          </cell>
          <cell r="C9235" t="str">
            <v>ud</v>
          </cell>
          <cell r="D9235">
            <v>0</v>
          </cell>
          <cell r="E9235">
            <v>179.23</v>
          </cell>
          <cell r="F9235">
            <v>179.23</v>
          </cell>
        </row>
        <row r="9236">
          <cell r="A9236" t="str">
            <v>422827</v>
          </cell>
          <cell r="B9236" t="str">
            <v>Terminal aéreo em latão fixação horizontal, ref. TEL-024, fab. TERMOTÉCNICA ou similar</v>
          </cell>
          <cell r="C9236" t="str">
            <v>ud</v>
          </cell>
          <cell r="D9236">
            <v>0</v>
          </cell>
          <cell r="E9236">
            <v>45.8</v>
          </cell>
          <cell r="F9236">
            <v>45.8</v>
          </cell>
        </row>
        <row r="9237">
          <cell r="A9237" t="str">
            <v>422828</v>
          </cell>
          <cell r="B9237" t="str">
            <v>Terminal aéreo em latão, horizontal, ref. TEL-045, Ø3/8" x 500mm, fab. TERMOTÉCNICA ou similar</v>
          </cell>
          <cell r="C9237" t="str">
            <v>ud</v>
          </cell>
          <cell r="D9237">
            <v>0</v>
          </cell>
          <cell r="E9237">
            <v>7.67</v>
          </cell>
          <cell r="F9237">
            <v>7.67</v>
          </cell>
        </row>
        <row r="9238">
          <cell r="A9238" t="str">
            <v>422829</v>
          </cell>
          <cell r="B9238" t="str">
            <v>Tampa de ferro fundido 800x800mm CL-125, com aro de aço, padrão Copel - AT,  fab. METALURGICA VOIGT ou similar</v>
          </cell>
          <cell r="C9238" t="str">
            <v>ud</v>
          </cell>
          <cell r="D9238">
            <v>0</v>
          </cell>
          <cell r="E9238">
            <v>360</v>
          </cell>
          <cell r="F9238">
            <v>360</v>
          </cell>
        </row>
        <row r="9239">
          <cell r="A9239" t="str">
            <v>422830</v>
          </cell>
          <cell r="B9239" t="str">
            <v>Tampa de ferro fundido 600x600mm B-125, com aro de aço, padrão Copel, fab. METALURGICA VOIGT ou similar (295970)</v>
          </cell>
          <cell r="C9239" t="str">
            <v>ud</v>
          </cell>
          <cell r="D9239">
            <v>0</v>
          </cell>
          <cell r="E9239">
            <v>215</v>
          </cell>
          <cell r="F9239">
            <v>215</v>
          </cell>
        </row>
        <row r="9240">
          <cell r="A9240" t="str">
            <v>422831</v>
          </cell>
          <cell r="B9240" t="str">
            <v xml:space="preserve">Tampa em ferro fundido para caixa tipo R1 390 x 630mm, com aro de aço R1,  padrão Telebrás,  fab. METALURGICA VOIGT ou similar </v>
          </cell>
          <cell r="C9240" t="str">
            <v>ud</v>
          </cell>
          <cell r="D9240">
            <v>0</v>
          </cell>
          <cell r="E9240">
            <v>115</v>
          </cell>
          <cell r="F9240">
            <v>115</v>
          </cell>
        </row>
        <row r="9241">
          <cell r="A9241" t="str">
            <v>422832</v>
          </cell>
          <cell r="B9241" t="str">
            <v xml:space="preserve">Tampa em  ferro fundido para caixa tipo R2 1100 x 550mm, com aro de aço R2,  padrão Telebrás, fab. METALURGICA VOIGT ou similar </v>
          </cell>
          <cell r="C9241" t="str">
            <v>ud</v>
          </cell>
          <cell r="D9241">
            <v>0</v>
          </cell>
          <cell r="E9241">
            <v>320</v>
          </cell>
          <cell r="F9241">
            <v>320</v>
          </cell>
        </row>
        <row r="9242">
          <cell r="A9242" t="str">
            <v>422833</v>
          </cell>
          <cell r="B9242" t="str">
            <v xml:space="preserve">Sapatilha de aço galvanizado a fogo,  bitola 3/16", ref. PRT-657, fab. PARATEC ou similar </v>
          </cell>
          <cell r="C9242" t="str">
            <v>ud</v>
          </cell>
          <cell r="D9242">
            <v>0</v>
          </cell>
          <cell r="E9242">
            <v>1.1000000000000001</v>
          </cell>
          <cell r="F9242">
            <v>1.1000000000000001</v>
          </cell>
        </row>
        <row r="9243">
          <cell r="A9243" t="str">
            <v>422834</v>
          </cell>
          <cell r="B9243" t="str">
            <v xml:space="preserve">Sapatilha de aço galvanizado a fogo,  bitola 1/4", ref. PRT-658, fab. PARATEC ou similar </v>
          </cell>
          <cell r="C9243" t="str">
            <v>ud</v>
          </cell>
          <cell r="D9243">
            <v>0</v>
          </cell>
          <cell r="E9243">
            <v>2</v>
          </cell>
          <cell r="F9243">
            <v>2</v>
          </cell>
        </row>
        <row r="9244">
          <cell r="A9244" t="str">
            <v>422835</v>
          </cell>
          <cell r="B9244" t="str">
            <v>Sapatilha de aço galvanizado a fogo, para cabo de aço até 3/8", ref. 400552, fab. ROMAGNOLE ou similar</v>
          </cell>
          <cell r="C9244" t="str">
            <v>ud</v>
          </cell>
          <cell r="D9244">
            <v>0</v>
          </cell>
          <cell r="E9244">
            <v>1.31</v>
          </cell>
          <cell r="F9244">
            <v>1.31</v>
          </cell>
        </row>
        <row r="9245">
          <cell r="A9245" t="str">
            <v>422836</v>
          </cell>
          <cell r="B9245" t="str">
            <v>Controlador solar, 10A, tensão 12/24 Vdc, modelo SLC-10, ref. 91102-002 fab. SUNLAB POWER ou similar (296367)</v>
          </cell>
          <cell r="C9245" t="str">
            <v>ud</v>
          </cell>
          <cell r="D9245">
            <v>0</v>
          </cell>
          <cell r="E9245">
            <v>254</v>
          </cell>
          <cell r="F9245">
            <v>254</v>
          </cell>
        </row>
        <row r="9246">
          <cell r="A9246" t="str">
            <v>422837</v>
          </cell>
          <cell r="B9246" t="str">
            <v>Cordoalha de fios de aço zincado, diâmetro 6,04mm (NTC 813651 ), ref. GERDAU ou similar</v>
          </cell>
          <cell r="C9246" t="str">
            <v>m</v>
          </cell>
          <cell r="D9246">
            <v>0</v>
          </cell>
          <cell r="E9246">
            <v>8.0299999999999994</v>
          </cell>
          <cell r="F9246">
            <v>8.0299999999999994</v>
          </cell>
        </row>
        <row r="9247">
          <cell r="A9247" t="str">
            <v>422838</v>
          </cell>
          <cell r="B9247" t="str">
            <v>Pára-raios de distribuição, classe 15kV, 5kA, corpo isolante em material polimérico, sistema de neutro isolado, com braçadeiras e suporte para fixação em cruzeta de concreto, ref. PBP, fab. Balestro ou similar</v>
          </cell>
          <cell r="C9247" t="str">
            <v>ud</v>
          </cell>
          <cell r="D9247">
            <v>0</v>
          </cell>
          <cell r="E9247">
            <v>241.34</v>
          </cell>
          <cell r="F9247">
            <v>241.34</v>
          </cell>
        </row>
        <row r="9248">
          <cell r="A9248" t="str">
            <v>422839</v>
          </cell>
          <cell r="B9248" t="str">
            <v>Pára-raios de distribuição, classe 15kV, 10kA, corpo isolante em material polimérico, sistema de neutro isolado, com braçadeiras e suporte para fixação em cruzeta de concreto, ref. PBP, fab. Balestro ou similar</v>
          </cell>
          <cell r="C9248" t="str">
            <v>ud</v>
          </cell>
          <cell r="D9248">
            <v>0</v>
          </cell>
          <cell r="E9248">
            <v>241.34</v>
          </cell>
          <cell r="F9248">
            <v>241.34</v>
          </cell>
        </row>
        <row r="9249">
          <cell r="A9249" t="str">
            <v>422840</v>
          </cell>
          <cell r="B9249" t="str">
            <v>Pára-raios de distribuição, classe 27kV, 5kA, corpo isolante em material polimérico, sistema de neutro aterrado, com braçadeiras e suporte para fixação em cruzeta de concreto, ref. PBP, fab. Balestro ou similar</v>
          </cell>
          <cell r="C9249" t="str">
            <v>ud</v>
          </cell>
          <cell r="D9249">
            <v>0</v>
          </cell>
          <cell r="E9249">
            <v>534.66</v>
          </cell>
          <cell r="F9249">
            <v>534.66</v>
          </cell>
        </row>
        <row r="9250">
          <cell r="A9250" t="str">
            <v>422841</v>
          </cell>
          <cell r="B9250" t="str">
            <v>Pára-raios de distribuição, classe 27kV, 10kA, corpo isolante em material polimérico, sistema de neutro aterrado, com braçadeiras e suporte para fixação em cruzeta de concreto, ref. PBP, fab. Balestro ou similar</v>
          </cell>
          <cell r="C9250" t="str">
            <v>ud</v>
          </cell>
          <cell r="D9250">
            <v>0</v>
          </cell>
          <cell r="E9250">
            <v>546.66</v>
          </cell>
          <cell r="F9250">
            <v>546.66</v>
          </cell>
        </row>
        <row r="9251">
          <cell r="A9251" t="str">
            <v>422842</v>
          </cell>
          <cell r="B9251" t="str">
            <v>Para-ráios tipo Franklin, em aço inox, 4 pontas, rosca 3/4" com nipel e conector, descida para um cabo 16-70mm2, tamanho 350mm,  tipo TEL-030, fab. TERMOTÉCNICA ou similar</v>
          </cell>
          <cell r="C9251" t="str">
            <v>ud</v>
          </cell>
          <cell r="D9251">
            <v>0</v>
          </cell>
          <cell r="E9251">
            <v>95.19</v>
          </cell>
          <cell r="F9251">
            <v>95.19</v>
          </cell>
        </row>
        <row r="9252">
          <cell r="A9252" t="str">
            <v>422843</v>
          </cell>
          <cell r="B9252" t="str">
            <v>Para-ráios tipo Franklin, em latão niquelado, para uma descida, 350mm, ref. PRT-101, fab. PARATEC ou similar  (103284)</v>
          </cell>
          <cell r="C9252" t="str">
            <v>ud</v>
          </cell>
          <cell r="D9252">
            <v>0</v>
          </cell>
          <cell r="E9252">
            <v>58</v>
          </cell>
          <cell r="F9252">
            <v>58</v>
          </cell>
        </row>
        <row r="9253">
          <cell r="A9253" t="str">
            <v>422844</v>
          </cell>
          <cell r="B9253" t="str">
            <v xml:space="preserve">Para-ráios tipo Franklin, em latão niquelado, para duas descidas, 350mm, ref. PRT-102, fab. PARATEC ou similar </v>
          </cell>
          <cell r="C9253" t="str">
            <v>ud</v>
          </cell>
          <cell r="D9253">
            <v>0</v>
          </cell>
          <cell r="E9253">
            <v>62</v>
          </cell>
          <cell r="F9253">
            <v>62</v>
          </cell>
        </row>
        <row r="9254">
          <cell r="A9254" t="str">
            <v>422845</v>
          </cell>
          <cell r="B9254" t="str">
            <v>Perfil "U" de aço galvanizado para RDU, com fixador, conforme NTC 813973</v>
          </cell>
          <cell r="C9254" t="str">
            <v>ud</v>
          </cell>
          <cell r="D9254">
            <v>0</v>
          </cell>
          <cell r="E9254">
            <v>119.58</v>
          </cell>
          <cell r="F9254">
            <v>119.58</v>
          </cell>
        </row>
        <row r="9255">
          <cell r="A9255" t="str">
            <v>422846</v>
          </cell>
          <cell r="B9255" t="str">
            <v>Placa de advertência em chapa de alumínio 18x25cm, padrão Copel com a inscrição "PERIGO DE MORTE - ALTA TENSÃO", ref. C2175, fab. SETOM ou similar</v>
          </cell>
          <cell r="C9255" t="str">
            <v>ud</v>
          </cell>
          <cell r="D9255">
            <v>0</v>
          </cell>
          <cell r="E9255">
            <v>21.2</v>
          </cell>
          <cell r="F9255">
            <v>21.2</v>
          </cell>
        </row>
        <row r="9256">
          <cell r="A9256" t="str">
            <v>422850</v>
          </cell>
          <cell r="B9256" t="str">
            <v xml:space="preserve">Presilha de latão, tipo TEL-744,  fab. TERMOTÉCNICA ou similar </v>
          </cell>
          <cell r="C9256" t="str">
            <v>ud</v>
          </cell>
          <cell r="D9256">
            <v>0</v>
          </cell>
          <cell r="E9256">
            <v>1.37</v>
          </cell>
          <cell r="F9256">
            <v>1.37</v>
          </cell>
        </row>
        <row r="9257">
          <cell r="A9257" t="str">
            <v>422851</v>
          </cell>
          <cell r="B9257" t="str">
            <v>Massa para isolamento elétrico, conforme NTC 813523</v>
          </cell>
          <cell r="C9257" t="str">
            <v>kg</v>
          </cell>
          <cell r="D9257">
            <v>0</v>
          </cell>
          <cell r="E9257">
            <v>14.17</v>
          </cell>
          <cell r="F9257">
            <v>14.17</v>
          </cell>
        </row>
        <row r="9258">
          <cell r="A9258" t="str">
            <v>422852</v>
          </cell>
          <cell r="B9258" t="str">
            <v>Terminal termocontrátil,  fab. RAYCHEM ou similar para cabo singelo de 10 a 25mm², com terminal, classe 8,7/15kV , tipo  HVT - 151-I  -  Instalação interna</v>
          </cell>
          <cell r="C9258" t="str">
            <v>ud</v>
          </cell>
          <cell r="D9258">
            <v>0</v>
          </cell>
          <cell r="E9258">
            <v>83</v>
          </cell>
          <cell r="F9258">
            <v>83</v>
          </cell>
        </row>
        <row r="9259">
          <cell r="A9259" t="str">
            <v>422853</v>
          </cell>
          <cell r="B9259" t="str">
            <v>Terminal termocontrátil,  fab. RAYCHEM ou similar para cabo singelo de 10 a 25mm², com terminal, classe 8,7/15kV , tipo  HVT - 151-E  -  Instalação externa</v>
          </cell>
          <cell r="C9259" t="str">
            <v>ud</v>
          </cell>
          <cell r="D9259">
            <v>0</v>
          </cell>
          <cell r="E9259">
            <v>100</v>
          </cell>
          <cell r="F9259">
            <v>100</v>
          </cell>
        </row>
        <row r="9260">
          <cell r="A9260" t="str">
            <v>422854</v>
          </cell>
          <cell r="B9260" t="str">
            <v>Terminal termocontrátil,  fab. RAYCHEM ou similar para cabo singelo de 25 a 95mm², com terminal, classe 8,7/15kV , tipo  HVT - 152-I  -  Instalação interna</v>
          </cell>
          <cell r="C9260" t="str">
            <v>ud</v>
          </cell>
          <cell r="D9260">
            <v>0</v>
          </cell>
          <cell r="E9260">
            <v>85</v>
          </cell>
          <cell r="F9260">
            <v>85</v>
          </cell>
        </row>
        <row r="9261">
          <cell r="A9261" t="str">
            <v>422855</v>
          </cell>
          <cell r="B9261" t="str">
            <v>Terminal termocontrátil,  fab. RAYCHEM ou similar para cabo singelo de 25 a 95mm², com terminal, classe 8,7/15kV , tipo  HVT - 152-E  -  Instalação externa</v>
          </cell>
          <cell r="C9261" t="str">
            <v>ud</v>
          </cell>
          <cell r="D9261">
            <v>0</v>
          </cell>
          <cell r="E9261">
            <v>100</v>
          </cell>
          <cell r="F9261">
            <v>100</v>
          </cell>
        </row>
        <row r="9262">
          <cell r="A9262" t="str">
            <v>422856</v>
          </cell>
          <cell r="B9262" t="str">
            <v>Terminal termocontrátil,  fab. RAYCHEM ou similar para cabo singelo de 95 a 185mm², com terminal, classe 8,7/15kV , tipo  HVT - 153-I  -  Instalação interna</v>
          </cell>
          <cell r="C9262" t="str">
            <v>ud</v>
          </cell>
          <cell r="D9262">
            <v>0</v>
          </cell>
          <cell r="E9262">
            <v>90</v>
          </cell>
          <cell r="F9262">
            <v>90</v>
          </cell>
        </row>
        <row r="9263">
          <cell r="A9263" t="str">
            <v>422857</v>
          </cell>
          <cell r="B9263" t="str">
            <v>Terminal termocontrátil,  fab. RAYCHEM ou similar para cabo singelo de 95 a 185mm², com terminal, classe 8,7/15kV , tipo  HVT - 153-E  -  Instalação externa</v>
          </cell>
          <cell r="C9263" t="str">
            <v>ud</v>
          </cell>
          <cell r="D9263">
            <v>0</v>
          </cell>
          <cell r="E9263">
            <v>125</v>
          </cell>
          <cell r="F9263">
            <v>125</v>
          </cell>
        </row>
        <row r="9264">
          <cell r="A9264" t="str">
            <v>422858</v>
          </cell>
          <cell r="B9264" t="str">
            <v>Terminal termocontrátil,  fab. RAYCHEM ou similar para cabo singelo de 240 a 500mm², com terminal, classe 8,7/15kV , tipo  HVT - 154-I  -  Instalação interna</v>
          </cell>
          <cell r="C9264" t="str">
            <v>ud</v>
          </cell>
          <cell r="D9264">
            <v>0</v>
          </cell>
          <cell r="E9264">
            <v>110</v>
          </cell>
          <cell r="F9264">
            <v>110</v>
          </cell>
        </row>
        <row r="9265">
          <cell r="A9265" t="str">
            <v>422859</v>
          </cell>
          <cell r="B9265" t="str">
            <v>Terminal termocontrátil,  fab. RAYCHEM ou similar para cabo singelo de 240 a 630mm², com terminal, classe 8,7/15kV , tipo  HVT - 154-E  -  Instalação externa</v>
          </cell>
          <cell r="C9265" t="str">
            <v>ud</v>
          </cell>
          <cell r="D9265">
            <v>0</v>
          </cell>
          <cell r="E9265">
            <v>155</v>
          </cell>
          <cell r="F9265">
            <v>155</v>
          </cell>
        </row>
        <row r="9266">
          <cell r="A9266" t="str">
            <v>422860</v>
          </cell>
          <cell r="B9266" t="str">
            <v>Terminal termocontrátil,  fab. RAYCHEM ou similar para cabo singelo de 35 a 120mm², com terminal, classe 20/35kV , tipo  HVT - 353-I  -  Instalação interna</v>
          </cell>
          <cell r="C9266" t="str">
            <v>ud</v>
          </cell>
          <cell r="D9266">
            <v>0</v>
          </cell>
          <cell r="E9266">
            <v>163</v>
          </cell>
          <cell r="F9266">
            <v>163</v>
          </cell>
        </row>
        <row r="9267">
          <cell r="A9267" t="str">
            <v>422861</v>
          </cell>
          <cell r="B9267" t="str">
            <v>Terminal termocontrátil,  fab. RAYCHEM ou similar para cabo singelo de 35 a 120mm², com terminal, classe 20/35kV , tipo  HVT - 353-E  -  Instalação externa</v>
          </cell>
          <cell r="C9267" t="str">
            <v>ud</v>
          </cell>
          <cell r="D9267">
            <v>0</v>
          </cell>
          <cell r="E9267">
            <v>260</v>
          </cell>
          <cell r="F9267">
            <v>260</v>
          </cell>
        </row>
        <row r="9268">
          <cell r="A9268" t="str">
            <v>422862</v>
          </cell>
          <cell r="B9268" t="str">
            <v>Terminal termocontrátil,  fab. RAYCHEM ou similar para cabo singelo de 150 a 400mm², com terminal, classe 20/35kV , tipo  HVT - 354-I  -  Instalação interna</v>
          </cell>
          <cell r="C9268" t="str">
            <v>ud</v>
          </cell>
          <cell r="D9268">
            <v>0</v>
          </cell>
          <cell r="E9268">
            <v>235</v>
          </cell>
          <cell r="F9268">
            <v>235</v>
          </cell>
        </row>
        <row r="9269">
          <cell r="A9269" t="str">
            <v>422863</v>
          </cell>
          <cell r="B9269" t="str">
            <v>Terminal termocontrátil,  fab. RAYCHEM ou similar para cabo singelo de 150 a 400mm², com terminal, classe 20/35kV , tipo  HVT - 354-E  -  Instalação externa</v>
          </cell>
          <cell r="C9269" t="str">
            <v>ud</v>
          </cell>
          <cell r="D9269">
            <v>0</v>
          </cell>
          <cell r="E9269">
            <v>310</v>
          </cell>
          <cell r="F9269">
            <v>310</v>
          </cell>
        </row>
        <row r="9270">
          <cell r="A9270" t="str">
            <v>4229</v>
          </cell>
          <cell r="B9270" t="str">
            <v>CAIXA SELA, ELETRODOS E CONEXÕES</v>
          </cell>
          <cell r="C9270">
            <v>0</v>
          </cell>
          <cell r="D9270">
            <v>0</v>
          </cell>
          <cell r="E9270">
            <v>0</v>
          </cell>
          <cell r="F9270">
            <v>0</v>
          </cell>
        </row>
        <row r="9271">
          <cell r="A9271" t="str">
            <v>422907</v>
          </cell>
          <cell r="B9271" t="str">
            <v>Caixa sela para poço profundo, ø10", em chapa de alumínio, pintura cinza munsell N 6.5  padrão Sanepar, fab. BRUZAMOLIN ou similar</v>
          </cell>
          <cell r="C9271" t="str">
            <v>ud</v>
          </cell>
          <cell r="D9271">
            <v>0</v>
          </cell>
          <cell r="E9271">
            <v>448.2</v>
          </cell>
          <cell r="F9271">
            <v>448.2</v>
          </cell>
        </row>
        <row r="9272">
          <cell r="A9272" t="str">
            <v>422908</v>
          </cell>
          <cell r="B9272" t="str">
            <v>Caixa sela para poço profundo, ø12", em chapa de alumínio, pintura cinza munsell N 6.5  padrão Sanepar, fab. BRUZAMOLIN ou similar</v>
          </cell>
          <cell r="C9272" t="str">
            <v>ud</v>
          </cell>
          <cell r="D9272">
            <v>0</v>
          </cell>
          <cell r="E9272">
            <v>469.8</v>
          </cell>
          <cell r="F9272">
            <v>469.8</v>
          </cell>
        </row>
        <row r="9273">
          <cell r="A9273" t="str">
            <v>422909</v>
          </cell>
          <cell r="B9273" t="str">
            <v>Chave bóia, com micro switch com esfera, com contra peso, ref. CB 2005 - 15A fab. Mar Girius ou similar</v>
          </cell>
          <cell r="C9273" t="str">
            <v>ud</v>
          </cell>
          <cell r="D9273">
            <v>0</v>
          </cell>
          <cell r="E9273">
            <v>46.66</v>
          </cell>
          <cell r="F9273">
            <v>46.66</v>
          </cell>
        </row>
        <row r="9274">
          <cell r="A9274" t="str">
            <v>422910</v>
          </cell>
          <cell r="B9274" t="str">
            <v>Chave bóia (regulador de nível), acionamento com microinterruptor, 10A, 250V, em CA, com 20m de cabo, tipo ENM 10, fab. FLYGHT ou similar</v>
          </cell>
          <cell r="C9274" t="str">
            <v>ud</v>
          </cell>
          <cell r="D9274">
            <v>0</v>
          </cell>
          <cell r="E9274">
            <v>397.95</v>
          </cell>
          <cell r="F9274">
            <v>397.95</v>
          </cell>
        </row>
        <row r="9275">
          <cell r="A9275" t="str">
            <v>422911</v>
          </cell>
          <cell r="B9275" t="str">
            <v>Chave de fluxo tipo palheta, IP65, ajuste: sensibilidade, conexão 1"NPT(M) em latão, 1" a  6", conexão elétrica 1/2", elemento sensor com palheta em aço inox, contato:  micro-chave SPDT, 10A/220 VCA, tipo 100-14A  fab. NIVETEC ou similar</v>
          </cell>
          <cell r="C9275" t="str">
            <v>ud</v>
          </cell>
          <cell r="D9275">
            <v>0</v>
          </cell>
          <cell r="E9275">
            <v>253.77</v>
          </cell>
          <cell r="F9275">
            <v>253.77</v>
          </cell>
        </row>
        <row r="9276">
          <cell r="A9276" t="str">
            <v>422912</v>
          </cell>
          <cell r="B9276" t="str">
            <v>Chave (Válvula) de fluxo em bronze zincado, temperatura de trabalho 90º C, 240/24 VAC, AC-NA, ref. MEPA ou similar, bitola 3/4"</v>
          </cell>
          <cell r="C9276" t="str">
            <v>ud</v>
          </cell>
          <cell r="D9276">
            <v>0</v>
          </cell>
          <cell r="E9276">
            <v>492</v>
          </cell>
          <cell r="F9276">
            <v>492</v>
          </cell>
        </row>
        <row r="9277">
          <cell r="A9277" t="str">
            <v>422913</v>
          </cell>
          <cell r="B9277" t="str">
            <v>Chave (Válvula) de fluxo em bronze zincado, temperatura de trabalho 90º C, 240/24 VAC, AC-NA, ref. MEPA ou similar, bitola 1"</v>
          </cell>
          <cell r="C9277" t="str">
            <v>ud</v>
          </cell>
          <cell r="D9277">
            <v>0</v>
          </cell>
          <cell r="E9277">
            <v>587</v>
          </cell>
          <cell r="F9277">
            <v>587</v>
          </cell>
        </row>
        <row r="9278">
          <cell r="A9278" t="str">
            <v>422914</v>
          </cell>
          <cell r="B9278" t="str">
            <v xml:space="preserve">Chave (Válvula) de fluxo em bronze zincado, temperatura de trabalho 90º C, 240/24 VAC, AC-NA, ref. MEPA ou similar, bitola 2" </v>
          </cell>
          <cell r="C9278" t="str">
            <v>ud</v>
          </cell>
          <cell r="D9278">
            <v>0</v>
          </cell>
          <cell r="E9278">
            <v>1025</v>
          </cell>
          <cell r="F9278">
            <v>1025</v>
          </cell>
        </row>
        <row r="9279">
          <cell r="A9279" t="str">
            <v>422915</v>
          </cell>
          <cell r="B9279" t="str">
            <v>Colar de tomada, em ferro fundido, fab. ANGOLINI ou similar, bitola DN 50 x 3/4" (582)</v>
          </cell>
          <cell r="C9279" t="str">
            <v>ud</v>
          </cell>
          <cell r="D9279">
            <v>0</v>
          </cell>
          <cell r="E9279">
            <v>23.1</v>
          </cell>
          <cell r="F9279">
            <v>23.1</v>
          </cell>
        </row>
        <row r="9280">
          <cell r="A9280" t="str">
            <v>422916</v>
          </cell>
          <cell r="B9280" t="str">
            <v>Colar de tomada, em ferro fundido, fab. ANGOLINI ou similar, bitola DN 75 x 3/4" (620)</v>
          </cell>
          <cell r="C9280" t="str">
            <v>ud</v>
          </cell>
          <cell r="D9280">
            <v>0</v>
          </cell>
          <cell r="E9280">
            <v>26.25</v>
          </cell>
          <cell r="F9280">
            <v>26.25</v>
          </cell>
        </row>
        <row r="9281">
          <cell r="A9281" t="str">
            <v>422917</v>
          </cell>
          <cell r="B9281" t="str">
            <v>Colar de tomada, em ferro fundido, fab. ANGOLINI ou similar, bitola DN 100 x 3/4" (655)</v>
          </cell>
          <cell r="C9281" t="str">
            <v>ud</v>
          </cell>
          <cell r="D9281">
            <v>0</v>
          </cell>
          <cell r="E9281">
            <v>31.5</v>
          </cell>
          <cell r="F9281">
            <v>31.5</v>
          </cell>
        </row>
        <row r="9282">
          <cell r="A9282" t="str">
            <v>422918</v>
          </cell>
          <cell r="B9282" t="str">
            <v>Colar de tomada, em ferro fundido, fab. ANGOLINI ou similar, bitola DN 150 x 3/4" (710)</v>
          </cell>
          <cell r="C9282" t="str">
            <v>ud</v>
          </cell>
          <cell r="D9282">
            <v>0</v>
          </cell>
          <cell r="E9282">
            <v>46.2</v>
          </cell>
          <cell r="F9282">
            <v>46.2</v>
          </cell>
        </row>
        <row r="9283">
          <cell r="A9283" t="str">
            <v>422919</v>
          </cell>
          <cell r="B9283" t="str">
            <v>Colar de tomada, em ferro fundido, fab. ANGOLINI ou similar, bitola DN 250 x 3/4" (760)</v>
          </cell>
          <cell r="C9283" t="str">
            <v>ud</v>
          </cell>
          <cell r="D9283">
            <v>0</v>
          </cell>
          <cell r="E9283">
            <v>71.400000000000006</v>
          </cell>
          <cell r="F9283">
            <v>71.400000000000006</v>
          </cell>
        </row>
        <row r="9284">
          <cell r="A9284" t="str">
            <v>422920</v>
          </cell>
          <cell r="B9284" t="str">
            <v>Colar de tomada, em ferro fundido, fab. ANGOLINI ou similar, bitola DN 300 x 3/4" (787)</v>
          </cell>
          <cell r="C9284" t="str">
            <v>ud</v>
          </cell>
          <cell r="D9284">
            <v>0</v>
          </cell>
          <cell r="E9284">
            <v>88.2</v>
          </cell>
          <cell r="F9284">
            <v>88.2</v>
          </cell>
        </row>
        <row r="9285">
          <cell r="A9285" t="str">
            <v>422921</v>
          </cell>
          <cell r="B9285" t="str">
            <v>Eletrodo tipo haste, em latão cromado, rosca de fixação 3/4" BSP , haste de aço inoxidável com 300mm de comprimento, ref. EF, fab. COEL ou similar (72222)</v>
          </cell>
          <cell r="C9285" t="str">
            <v>ud</v>
          </cell>
          <cell r="D9285">
            <v>0</v>
          </cell>
          <cell r="E9285">
            <v>310</v>
          </cell>
          <cell r="F9285">
            <v>310</v>
          </cell>
        </row>
        <row r="9286">
          <cell r="A9286" t="str">
            <v>422922</v>
          </cell>
          <cell r="B9286" t="str">
            <v>Eletrodo tipo pêndulo, em aço inoxidável, com revestimento em ABS, tipo EP, fab. COEL ou similar (46388)</v>
          </cell>
          <cell r="C9286" t="str">
            <v>ud</v>
          </cell>
          <cell r="D9286">
            <v>0</v>
          </cell>
          <cell r="E9286">
            <v>28.7</v>
          </cell>
          <cell r="F9286">
            <v>28.7</v>
          </cell>
        </row>
        <row r="9287">
          <cell r="A9287" t="str">
            <v>422923</v>
          </cell>
          <cell r="B9287" t="str">
            <v>Eletrodo tipo pêndulo, sensor em aço inoxidável, para uso em esgoto, padrão Sanepar (desenho E-16 do MPOEA Vol. I )</v>
          </cell>
          <cell r="C9287" t="str">
            <v>ud</v>
          </cell>
          <cell r="D9287">
            <v>0</v>
          </cell>
          <cell r="E9287">
            <v>83.5</v>
          </cell>
          <cell r="F9287">
            <v>83.5</v>
          </cell>
        </row>
        <row r="9288">
          <cell r="A9288" t="str">
            <v>422901</v>
          </cell>
          <cell r="B9288" t="str">
            <v>Caixa sela para poço profundo, ø6", em chapa de aço, pintura cinza munsell N 6.5  padrão Sanepar, fab. BRUZAMOLIN ou similar</v>
          </cell>
          <cell r="C9288" t="str">
            <v>ud</v>
          </cell>
          <cell r="D9288">
            <v>0</v>
          </cell>
          <cell r="E9288">
            <v>405</v>
          </cell>
          <cell r="F9288">
            <v>405</v>
          </cell>
        </row>
        <row r="9289">
          <cell r="A9289" t="str">
            <v>422902</v>
          </cell>
          <cell r="B9289" t="str">
            <v>Caixa sela para poço profundo, ø8", em chapa de aço, pintura cinza munsell N 6.5  padrão Sanepar, fab. BRUZAMOLIN ou similar</v>
          </cell>
          <cell r="C9289" t="str">
            <v>ud</v>
          </cell>
          <cell r="D9289">
            <v>0</v>
          </cell>
          <cell r="E9289">
            <v>426.6</v>
          </cell>
          <cell r="F9289">
            <v>426.6</v>
          </cell>
        </row>
        <row r="9290">
          <cell r="A9290" t="str">
            <v>422903</v>
          </cell>
          <cell r="B9290" t="str">
            <v>Caixa sela para poço profundo, ø10", em chapa de aço, pintura cinza munsell N 6.5  padrão Sanepar, fab. BRUZAMOLIN ou similar</v>
          </cell>
          <cell r="C9290" t="str">
            <v>ud</v>
          </cell>
          <cell r="D9290">
            <v>0</v>
          </cell>
          <cell r="E9290">
            <v>448.2</v>
          </cell>
          <cell r="F9290">
            <v>448.2</v>
          </cell>
        </row>
        <row r="9291">
          <cell r="A9291" t="str">
            <v>422904</v>
          </cell>
          <cell r="B9291" t="str">
            <v>Caixa sela para poço profundo, ø12", em chapa de aço, pintura cinza munsell N 6.5  padrão Sanepar, fab. BRUZAMOLIN ou similar</v>
          </cell>
          <cell r="C9291" t="str">
            <v>ud</v>
          </cell>
          <cell r="D9291">
            <v>0</v>
          </cell>
          <cell r="E9291">
            <v>469.8</v>
          </cell>
          <cell r="F9291">
            <v>469.8</v>
          </cell>
        </row>
        <row r="9292">
          <cell r="A9292" t="str">
            <v>422905</v>
          </cell>
          <cell r="B9292" t="str">
            <v>Caixa sela para poço profundo, ø6", em chapa de alumínio, pintura cinza munsell N 6.5  padrão Sanepar, fab. BRUZAMOLIN ou similar</v>
          </cell>
          <cell r="C9292" t="str">
            <v>ud</v>
          </cell>
          <cell r="D9292">
            <v>0</v>
          </cell>
          <cell r="E9292">
            <v>405</v>
          </cell>
          <cell r="F9292">
            <v>405</v>
          </cell>
        </row>
        <row r="9293">
          <cell r="A9293" t="str">
            <v>422906</v>
          </cell>
          <cell r="B9293" t="str">
            <v>Caixa sela para poço profundo, ø8", em chapa de alumínio, pintura cinza munsell N 6.5  padrão Sanepar, fab. BRUZAMOLIN ou similar</v>
          </cell>
          <cell r="C9293" t="str">
            <v>ud</v>
          </cell>
          <cell r="D9293">
            <v>0</v>
          </cell>
          <cell r="E9293">
            <v>426.6</v>
          </cell>
          <cell r="F9293">
            <v>426.6</v>
          </cell>
        </row>
        <row r="9294">
          <cell r="A9294" t="str">
            <v>4230</v>
          </cell>
          <cell r="B9294" t="str">
            <v>ILUMINAÇÃO INTERNA, TOMADAS E ACESSÓRIOS</v>
          </cell>
          <cell r="C9294">
            <v>0</v>
          </cell>
          <cell r="D9294">
            <v>0</v>
          </cell>
          <cell r="E9294">
            <v>0</v>
          </cell>
          <cell r="F9294">
            <v>0</v>
          </cell>
        </row>
        <row r="9295">
          <cell r="A9295" t="str">
            <v>423001</v>
          </cell>
          <cell r="B9295" t="str">
            <v>Acabamento para uma tomada redonda cor bege, em ABS, ref. DT61020, fab. DUTOTEC ou similar</v>
          </cell>
          <cell r="C9295" t="str">
            <v>ud</v>
          </cell>
          <cell r="D9295">
            <v>0</v>
          </cell>
          <cell r="E9295">
            <v>13.48</v>
          </cell>
          <cell r="F9295">
            <v>13.48</v>
          </cell>
        </row>
        <row r="9296">
          <cell r="A9296" t="str">
            <v>423002</v>
          </cell>
          <cell r="B9296" t="str">
            <v>Arandela  90º, cor cinza, para lâmpada mista 160W, tipo WY-27/2 , fab. WETZEL  ou similar</v>
          </cell>
          <cell r="C9296" t="str">
            <v>ud</v>
          </cell>
          <cell r="D9296">
            <v>0</v>
          </cell>
          <cell r="E9296">
            <v>166.06</v>
          </cell>
          <cell r="F9296">
            <v>166.06</v>
          </cell>
        </row>
        <row r="9297">
          <cell r="A9297" t="str">
            <v>423003</v>
          </cell>
          <cell r="B9297" t="str">
            <v>Bloco autônomo de iluminação de emergência, alimentação 127/220V, c/ bateria p/ autonomia de 3 horas, fluxo luminoso 165 lumens, área de cobertura 33m², com lâmpada fluorescente 6W, ref. 615-28, fab. PIAL ou similar (293708)</v>
          </cell>
          <cell r="C9297" t="str">
            <v>ud</v>
          </cell>
          <cell r="D9297">
            <v>0</v>
          </cell>
          <cell r="E9297">
            <v>989.12</v>
          </cell>
          <cell r="F9297">
            <v>989.12</v>
          </cell>
        </row>
        <row r="9298">
          <cell r="A9298" t="str">
            <v>423004</v>
          </cell>
          <cell r="B9298" t="str">
            <v>Borne sindal, barra com 12 unidades, tipo Nylbloc, ref. 342, fab. PIAL ou similar, para cabo, bitola 2,5mm²</v>
          </cell>
          <cell r="C9298" t="str">
            <v>ud</v>
          </cell>
          <cell r="D9298">
            <v>0</v>
          </cell>
          <cell r="E9298">
            <v>1.73</v>
          </cell>
          <cell r="F9298">
            <v>1.73</v>
          </cell>
        </row>
        <row r="9299">
          <cell r="A9299" t="str">
            <v>423005</v>
          </cell>
          <cell r="B9299" t="str">
            <v>Borne sindal, barra com 12 unidades, em polietileno, 24A/250V, ref. 812, fab. SINDAL ou similar, para cabo, bitola até 4,0mm²</v>
          </cell>
          <cell r="C9299" t="str">
            <v>ud</v>
          </cell>
          <cell r="D9299">
            <v>0</v>
          </cell>
          <cell r="E9299">
            <v>12.9</v>
          </cell>
          <cell r="F9299">
            <v>12.9</v>
          </cell>
        </row>
        <row r="9300">
          <cell r="A9300" t="str">
            <v>423006</v>
          </cell>
          <cell r="B9300" t="str">
            <v>Borne sindal, barra com 12 unidades, em polietileno, 25A/250V, ref. 112, fab. SINDAL ou similar, para cabo, bitola até 6,0mm²</v>
          </cell>
          <cell r="C9300" t="str">
            <v>ud</v>
          </cell>
          <cell r="D9300">
            <v>0</v>
          </cell>
          <cell r="E9300">
            <v>12.9</v>
          </cell>
          <cell r="F9300">
            <v>12.9</v>
          </cell>
        </row>
        <row r="9301">
          <cell r="A9301" t="str">
            <v>423007</v>
          </cell>
          <cell r="B9301" t="str">
            <v>Borne sindal, barra com 12 unidades, em polietileno, 30A/600V, ref. 612, fab. SINDAL ou similar, para cabo, bitola até 10,0mm²</v>
          </cell>
          <cell r="C9301" t="str">
            <v>ud</v>
          </cell>
          <cell r="D9301">
            <v>0</v>
          </cell>
          <cell r="E9301">
            <v>19.899999999999999</v>
          </cell>
          <cell r="F9301">
            <v>19.899999999999999</v>
          </cell>
        </row>
        <row r="9302">
          <cell r="A9302" t="str">
            <v>423008</v>
          </cell>
          <cell r="B9302" t="str">
            <v>Borne sindal, barra com 12 unidades, em polietileno, 60A/600V, ref. 712, fab. SINDAL ou similar, para cabo, bitola até 16,0mm²</v>
          </cell>
          <cell r="C9302" t="str">
            <v>ud</v>
          </cell>
          <cell r="D9302">
            <v>0</v>
          </cell>
          <cell r="E9302">
            <v>25.9</v>
          </cell>
          <cell r="F9302">
            <v>25.9</v>
          </cell>
        </row>
        <row r="9303">
          <cell r="A9303" t="str">
            <v>423009</v>
          </cell>
          <cell r="B9303" t="str">
            <v>Borne sindal, barra com 12 unidades, em polietileno, 80A/600V, ref. 912, fab. SINDAL ou similar, para cabo, bitola até 25,0mm²</v>
          </cell>
          <cell r="C9303" t="str">
            <v>ud</v>
          </cell>
          <cell r="D9303">
            <v>0</v>
          </cell>
          <cell r="E9303">
            <v>36.72</v>
          </cell>
          <cell r="F9303">
            <v>36.72</v>
          </cell>
        </row>
        <row r="9304">
          <cell r="A9304" t="str">
            <v>423011</v>
          </cell>
          <cell r="B9304" t="str">
            <v>Interruptor 10 A, 250 V, modelo silentoque de embutir, sem placa, ref. 1000, fab. PIAL ou similar, com 1 tecla simples</v>
          </cell>
          <cell r="C9304" t="str">
            <v>ud</v>
          </cell>
          <cell r="D9304">
            <v>0</v>
          </cell>
          <cell r="E9304">
            <v>12.73</v>
          </cell>
          <cell r="F9304">
            <v>12.73</v>
          </cell>
        </row>
        <row r="9305">
          <cell r="A9305" t="str">
            <v>423012</v>
          </cell>
          <cell r="B9305" t="str">
            <v>Interruptor 10 A, 250 V, modelo silentoque de embutir, sem placa, ref. 2000, fab. PIAL ou similar, com 2 teclas simples</v>
          </cell>
          <cell r="C9305" t="str">
            <v>ud</v>
          </cell>
          <cell r="D9305">
            <v>0</v>
          </cell>
          <cell r="E9305">
            <v>21.89</v>
          </cell>
          <cell r="F9305">
            <v>21.89</v>
          </cell>
        </row>
        <row r="9306">
          <cell r="A9306" t="str">
            <v>423013</v>
          </cell>
          <cell r="B9306" t="str">
            <v>Interruptor 10 A, 250 V, modelo silentoque de embutir, sem placa, ref. 3000, fab. PIAL ou similar, com 3 teclas simples</v>
          </cell>
          <cell r="C9306" t="str">
            <v>ud</v>
          </cell>
          <cell r="D9306">
            <v>0</v>
          </cell>
          <cell r="E9306">
            <v>30.81</v>
          </cell>
          <cell r="F9306">
            <v>30.81</v>
          </cell>
        </row>
        <row r="9307">
          <cell r="A9307" t="str">
            <v>423014</v>
          </cell>
          <cell r="B9307" t="str">
            <v>Interruptor 10 A, 250 V, modelo silentoque de embutir, sem placa, ref. 1001, fab. PIAL ou similar, com 1 tecla paralelo</v>
          </cell>
          <cell r="C9307" t="str">
            <v>ud</v>
          </cell>
          <cell r="D9307">
            <v>0</v>
          </cell>
          <cell r="E9307">
            <v>16.55</v>
          </cell>
          <cell r="F9307">
            <v>16.55</v>
          </cell>
        </row>
        <row r="9308">
          <cell r="A9308" t="str">
            <v>423015</v>
          </cell>
          <cell r="B9308" t="str">
            <v>Interruptor 10 A, 250 V, modelo silentoque de embutir, sem placa, ref. 2004, fab. PIAL ou similar, com 2 teclas paralelo</v>
          </cell>
          <cell r="C9308" t="str">
            <v>ud</v>
          </cell>
          <cell r="D9308">
            <v>0</v>
          </cell>
          <cell r="E9308">
            <v>28.89</v>
          </cell>
          <cell r="F9308">
            <v>28.89</v>
          </cell>
        </row>
        <row r="9309">
          <cell r="A9309" t="str">
            <v>423016</v>
          </cell>
          <cell r="B9309" t="str">
            <v>Interruptor 10 A, 250 V, modelo silentoque de embutir, sem placa, ref. 3006, fab. PIAL ou similar, com 3 teclas paralelo</v>
          </cell>
          <cell r="C9309" t="str">
            <v>ud</v>
          </cell>
          <cell r="D9309">
            <v>0</v>
          </cell>
          <cell r="E9309">
            <v>42.98</v>
          </cell>
          <cell r="F9309">
            <v>42.98</v>
          </cell>
        </row>
        <row r="9310">
          <cell r="A9310" t="str">
            <v>423017</v>
          </cell>
          <cell r="B9310" t="str">
            <v>Interruptor 10 A, 250 V, modelo silentoque de embutir, sem placa, ref. 2001, fab. PIAL ou similar, com 1 tecla simples + 1 tecla paralelo</v>
          </cell>
          <cell r="C9310" t="str">
            <v>ud</v>
          </cell>
          <cell r="D9310">
            <v>0</v>
          </cell>
          <cell r="E9310">
            <v>24.96</v>
          </cell>
          <cell r="F9310">
            <v>24.96</v>
          </cell>
        </row>
        <row r="9311">
          <cell r="A9311" t="str">
            <v>423018</v>
          </cell>
          <cell r="B9311" t="str">
            <v>Interruptor 10 A, 250 V, modelo silentoque de embutir, sem placa, ref. 3001, fab. PIAL ou similar, com 2 teclas simples + 1 tecla paralelo</v>
          </cell>
          <cell r="C9311" t="str">
            <v>ud</v>
          </cell>
          <cell r="D9311">
            <v>0</v>
          </cell>
          <cell r="E9311">
            <v>35.79</v>
          </cell>
          <cell r="F9311">
            <v>35.79</v>
          </cell>
        </row>
        <row r="9312">
          <cell r="A9312" t="str">
            <v>423019</v>
          </cell>
          <cell r="B9312" t="str">
            <v>Interruptor 10 A, 250 V, modelo silentoque de embutir, sem placa, ref. 3004, fab. PIAL ou similar, com 1 tecla simples + 2 teclas paralelo</v>
          </cell>
          <cell r="C9312" t="str">
            <v>ud</v>
          </cell>
          <cell r="D9312">
            <v>0</v>
          </cell>
          <cell r="E9312">
            <v>49.51</v>
          </cell>
          <cell r="F9312">
            <v>49.51</v>
          </cell>
        </row>
        <row r="9313">
          <cell r="A9313" t="str">
            <v>423020</v>
          </cell>
          <cell r="B9313" t="str">
            <v>Conjunto interruptor 1 tecla simples 10 A e tomada 2P+T 10A (padrão brasileiro), 250 V, modelo silentoque de embutir, sem placa, ref. 0543 37, fab. PIAL ou similar</v>
          </cell>
          <cell r="C9313" t="str">
            <v>ud</v>
          </cell>
          <cell r="D9313">
            <v>0</v>
          </cell>
          <cell r="E9313">
            <v>25.11</v>
          </cell>
          <cell r="F9313">
            <v>25.11</v>
          </cell>
        </row>
        <row r="9314">
          <cell r="A9314" t="str">
            <v>423021</v>
          </cell>
          <cell r="B9314" t="str">
            <v>Conjunto interruptor 2 teclas simples 10 A e tomada 2P+T 10A (padrão brasileiro), 250 V, modelo silentoque de embutir, sem placa, ref. 0543 42, fab. PIAL ou similar</v>
          </cell>
          <cell r="C9314" t="str">
            <v>ud</v>
          </cell>
          <cell r="D9314">
            <v>0</v>
          </cell>
          <cell r="E9314">
            <v>31.78</v>
          </cell>
          <cell r="F9314">
            <v>31.78</v>
          </cell>
        </row>
        <row r="9315">
          <cell r="A9315" t="str">
            <v>423022</v>
          </cell>
          <cell r="B9315" t="str">
            <v>Conjunto interruptor 1 tecla paralelo 10 A e tomada 2P+T 10A (padrão brasileiro), 250 V, modelo silentoque de embutir, sem placa, ref. 0543 40, fab. PIAL ou similar</v>
          </cell>
          <cell r="C9315" t="str">
            <v>ud</v>
          </cell>
          <cell r="D9315">
            <v>0</v>
          </cell>
          <cell r="E9315">
            <v>29.33</v>
          </cell>
          <cell r="F9315">
            <v>29.33</v>
          </cell>
        </row>
        <row r="9316">
          <cell r="A9316" t="str">
            <v>423023</v>
          </cell>
          <cell r="B9316" t="str">
            <v>Interruptor 10 A, 250 V, modelo silentoque de embutir, sem placa, ref. 2005, fab. PIAL ou similar, com 1 tecla bipolar simples</v>
          </cell>
          <cell r="C9316" t="str">
            <v>ud</v>
          </cell>
          <cell r="D9316">
            <v>0</v>
          </cell>
          <cell r="E9316">
            <v>15.95</v>
          </cell>
          <cell r="F9316">
            <v>15.95</v>
          </cell>
        </row>
        <row r="9317">
          <cell r="A9317" t="str">
            <v>423025</v>
          </cell>
          <cell r="B9317" t="str">
            <v>Interruptor 10 A, 250 V, modelo silentoque de embutir, com placa, ref. 1100, fab. PIAL ou similar, com 1 tecla simples (50300)</v>
          </cell>
          <cell r="C9317" t="str">
            <v>ud</v>
          </cell>
          <cell r="D9317">
            <v>0</v>
          </cell>
          <cell r="E9317">
            <v>13.61</v>
          </cell>
          <cell r="F9317">
            <v>13.61</v>
          </cell>
        </row>
        <row r="9318">
          <cell r="A9318" t="str">
            <v>423026</v>
          </cell>
          <cell r="B9318" t="str">
            <v>Interruptor 10 A, 250 V, modelo silentoque de embutir, com placa, ref. 2100, fab. PIAL ou similar, com 2 teclas simples (265950)</v>
          </cell>
          <cell r="C9318" t="str">
            <v>ud</v>
          </cell>
          <cell r="D9318">
            <v>0</v>
          </cell>
          <cell r="E9318">
            <v>22.47</v>
          </cell>
          <cell r="F9318">
            <v>22.47</v>
          </cell>
        </row>
        <row r="9319">
          <cell r="A9319" t="str">
            <v>423027</v>
          </cell>
          <cell r="B9319" t="str">
            <v>Interruptor 10 A, 250 V, modelo silentoque de embutir, com placa, ref. 3100, fab. PIAL ou similar, com 3 teclas simples (50326)</v>
          </cell>
          <cell r="C9319" t="str">
            <v>ud</v>
          </cell>
          <cell r="D9319">
            <v>0</v>
          </cell>
          <cell r="E9319">
            <v>35.07</v>
          </cell>
          <cell r="F9319">
            <v>35.07</v>
          </cell>
        </row>
        <row r="9320">
          <cell r="A9320" t="str">
            <v>423028</v>
          </cell>
          <cell r="B9320" t="str">
            <v>Interruptor 10 A, 250 V, modelo silentoque de embutir, com placa, ref. 1101, fab. PIAL ou similar, com 1 tecla paralelo</v>
          </cell>
          <cell r="C9320" t="str">
            <v>ud</v>
          </cell>
          <cell r="D9320">
            <v>0</v>
          </cell>
          <cell r="E9320">
            <v>18.61</v>
          </cell>
          <cell r="F9320">
            <v>18.61</v>
          </cell>
        </row>
        <row r="9321">
          <cell r="A9321" t="str">
            <v>423029</v>
          </cell>
          <cell r="B9321" t="str">
            <v>Interruptor 10 A, 250 V, modelo silentoque de embutir, com placa, ref. 2104, fab. PIAL ou similar, com 2 teclas paralelo (288011)</v>
          </cell>
          <cell r="C9321" t="str">
            <v>ud</v>
          </cell>
          <cell r="D9321">
            <v>0</v>
          </cell>
          <cell r="E9321">
            <v>45.54</v>
          </cell>
          <cell r="F9321">
            <v>45.54</v>
          </cell>
        </row>
        <row r="9322">
          <cell r="A9322" t="str">
            <v>423030</v>
          </cell>
          <cell r="B9322" t="str">
            <v>Interruptor 10 A, 250 V, modelo silentoque de embutir, com placa, ref. 3106, fab. PIAL ou similar, com 3 teclas paralelo</v>
          </cell>
          <cell r="C9322" t="str">
            <v>ud</v>
          </cell>
          <cell r="D9322">
            <v>0</v>
          </cell>
          <cell r="E9322">
            <v>46.94</v>
          </cell>
          <cell r="F9322">
            <v>46.94</v>
          </cell>
        </row>
        <row r="9323">
          <cell r="A9323" t="str">
            <v>423031</v>
          </cell>
          <cell r="B9323" t="str">
            <v>Interruptor 10 A, 250 V, modelo silentoque de embutir, com placa, ref. 2101, fab. PIAL ou similar, com 1 tecla simples + 1 tecla paralelo</v>
          </cell>
          <cell r="C9323" t="str">
            <v>ud</v>
          </cell>
          <cell r="D9323">
            <v>0</v>
          </cell>
          <cell r="E9323">
            <v>31.72</v>
          </cell>
          <cell r="F9323">
            <v>31.72</v>
          </cell>
        </row>
        <row r="9324">
          <cell r="A9324" t="str">
            <v>423032</v>
          </cell>
          <cell r="B9324" t="str">
            <v>Interruptor 10 A, 250 V, modelo silentoque de embutir, com placa, ref. 3101, fab. PIAL ou similar, com 2 teclas simples + 1 tecla paralelo</v>
          </cell>
          <cell r="C9324" t="str">
            <v>ud</v>
          </cell>
          <cell r="D9324">
            <v>0</v>
          </cell>
          <cell r="E9324">
            <v>40.119999999999997</v>
          </cell>
          <cell r="F9324">
            <v>40.119999999999997</v>
          </cell>
        </row>
        <row r="9325">
          <cell r="A9325" t="str">
            <v>423033</v>
          </cell>
          <cell r="B9325" t="str">
            <v>Interruptor 10 A, 250 V, modelo silentoque de embutir, com placa, ref. 3104, fab. PIAL ou similar, com 1 tecla simples + 2 teclas paralelo</v>
          </cell>
          <cell r="C9325" t="str">
            <v>ud</v>
          </cell>
          <cell r="D9325">
            <v>0</v>
          </cell>
          <cell r="E9325">
            <v>55.81</v>
          </cell>
          <cell r="F9325">
            <v>55.81</v>
          </cell>
        </row>
        <row r="9326">
          <cell r="A9326" t="str">
            <v>423034</v>
          </cell>
          <cell r="B9326" t="str">
            <v>Conjunto interruptor 1 tecla simples 10 A e tomada 2P+T 10A (padrão brasileiro), 250 V, modelo silentoque de embutir, com placa, ref. 0543 46, fab. PIAL ou similar (295558)</v>
          </cell>
          <cell r="C9326" t="str">
            <v>ud</v>
          </cell>
          <cell r="D9326">
            <v>0</v>
          </cell>
          <cell r="E9326">
            <v>27.49</v>
          </cell>
          <cell r="F9326">
            <v>27.49</v>
          </cell>
        </row>
        <row r="9327">
          <cell r="A9327" t="str">
            <v>423035</v>
          </cell>
          <cell r="B9327" t="str">
            <v>Conjunto interruptor 2 teclas simples 10 A e tomada 2P+T 10A (padrão brasileiro), 250 V, modelo silentoque de embutir, com placa, ref. 0543 48, fab. PIAL ou similar</v>
          </cell>
          <cell r="C9327" t="str">
            <v>ud</v>
          </cell>
          <cell r="D9327">
            <v>0</v>
          </cell>
          <cell r="E9327">
            <v>34.6</v>
          </cell>
          <cell r="F9327">
            <v>34.6</v>
          </cell>
        </row>
        <row r="9328">
          <cell r="A9328" t="str">
            <v>423036</v>
          </cell>
          <cell r="B9328" t="str">
            <v>Conjunto interruptor 1 tecla paralelo 10 A e tomada 2P+T 10A (padrão brasileiro), 250 V, modelo silentoque de embutir, com placa, ref. 0543 47, fab. PIAL ou similar</v>
          </cell>
          <cell r="C9328" t="str">
            <v>ud</v>
          </cell>
          <cell r="D9328">
            <v>0</v>
          </cell>
          <cell r="E9328">
            <v>26.18</v>
          </cell>
          <cell r="F9328">
            <v>26.18</v>
          </cell>
        </row>
        <row r="9329">
          <cell r="A9329" t="str">
            <v>423037</v>
          </cell>
          <cell r="B9329" t="str">
            <v>Interruptor 10 A, 250 V, modelo silentoque de embutir, com placa, ref. 2105, fab. PIAL ou similar, com 1 tecla bipolar simples</v>
          </cell>
          <cell r="C9329" t="str">
            <v>ud</v>
          </cell>
          <cell r="D9329">
            <v>0</v>
          </cell>
          <cell r="E9329">
            <v>40.69</v>
          </cell>
          <cell r="F9329">
            <v>40.69</v>
          </cell>
        </row>
        <row r="9330">
          <cell r="A9330" t="str">
            <v>423038</v>
          </cell>
          <cell r="B9330" t="str">
            <v>Interruptor 10 A, 250 V, modelo silentoque de embutir, com placa, ref. 2108, fab. PIAL ou similar, com 1 tecla bipolar paralelo</v>
          </cell>
          <cell r="C9330" t="str">
            <v>ud</v>
          </cell>
          <cell r="D9330">
            <v>0</v>
          </cell>
          <cell r="E9330">
            <v>49.06</v>
          </cell>
          <cell r="F9330">
            <v>49.06</v>
          </cell>
        </row>
        <row r="9331">
          <cell r="A9331" t="str">
            <v>423039</v>
          </cell>
          <cell r="B9331" t="str">
            <v>Lâmpada fluorescente tubular (diam. 28mm), base G13, 32W, ref. TLDRS32W, fab. PHILIPS ou similar (280631)</v>
          </cell>
          <cell r="C9331" t="str">
            <v>ud</v>
          </cell>
          <cell r="D9331">
            <v>0</v>
          </cell>
          <cell r="E9331">
            <v>4.3899999999999997</v>
          </cell>
          <cell r="F9331">
            <v>4.3899999999999997</v>
          </cell>
        </row>
        <row r="9332">
          <cell r="A9332" t="str">
            <v>423040</v>
          </cell>
          <cell r="B9332" t="str">
            <v>Lâmpada fluorescente compacta integrada, soquete E-27, tipo twister, ref. PLDTWIST27W220B, temperatura cor 6.500K (luz clara), fab. PHILIPS ou similar (285897)</v>
          </cell>
          <cell r="C9332" t="str">
            <v>ud</v>
          </cell>
          <cell r="D9332">
            <v>0</v>
          </cell>
          <cell r="E9332">
            <v>13.64</v>
          </cell>
          <cell r="F9332">
            <v>13.64</v>
          </cell>
        </row>
        <row r="9333">
          <cell r="A9333" t="str">
            <v>423041</v>
          </cell>
          <cell r="B9333" t="str">
            <v xml:space="preserve">Lâmpada led bulbo, 8W, 220V, rosca E-27, fab. PHILIPS ou similar </v>
          </cell>
          <cell r="C9333" t="str">
            <v>ud</v>
          </cell>
          <cell r="D9333">
            <v>0</v>
          </cell>
          <cell r="E9333">
            <v>17.5</v>
          </cell>
          <cell r="F9333">
            <v>17.5</v>
          </cell>
        </row>
        <row r="9334">
          <cell r="A9334" t="str">
            <v>423042</v>
          </cell>
          <cell r="B9334" t="str">
            <v xml:space="preserve">Lâmpada led bulbo, 9,5W, 220V, rosca E-27, fab. PHILIPS ou similar </v>
          </cell>
          <cell r="C9334" t="str">
            <v>ud</v>
          </cell>
          <cell r="D9334">
            <v>0</v>
          </cell>
          <cell r="E9334">
            <v>21.9</v>
          </cell>
          <cell r="F9334">
            <v>21.9</v>
          </cell>
        </row>
        <row r="9335">
          <cell r="A9335" t="str">
            <v>423043</v>
          </cell>
          <cell r="B9335" t="str">
            <v xml:space="preserve">Lâmpada led bulbo golden, 6W, 220V, rosca E-27, fab. PHILIPS ou similar </v>
          </cell>
          <cell r="C9335" t="str">
            <v>ud</v>
          </cell>
          <cell r="D9335">
            <v>0</v>
          </cell>
          <cell r="E9335">
            <v>21.5</v>
          </cell>
          <cell r="F9335">
            <v>21.5</v>
          </cell>
        </row>
        <row r="9336">
          <cell r="A9336" t="str">
            <v>423044</v>
          </cell>
          <cell r="B9336" t="str">
            <v>Luminária de embutir, para duas lâmpadas fluorescentes 32W, com soquete, lâmpada e reator eletrônico 220V, cor branca, tipo CAA01-E232, fab. LUMICENTER ou similar</v>
          </cell>
          <cell r="C9336" t="str">
            <v>ud</v>
          </cell>
          <cell r="D9336">
            <v>0</v>
          </cell>
          <cell r="E9336">
            <v>161.33000000000001</v>
          </cell>
          <cell r="F9336">
            <v>161.33000000000001</v>
          </cell>
        </row>
        <row r="9337">
          <cell r="A9337" t="str">
            <v>423045</v>
          </cell>
          <cell r="B9337" t="str">
            <v>Luminária de sobrepor, para duas lâmpadas fluorescentes 32W, com soquete, lâmpada e reator eletrônico 220V, cor branca, tipo CAA02-S232, fab. LUMICENTER ou similar</v>
          </cell>
          <cell r="C9337" t="str">
            <v>ud</v>
          </cell>
          <cell r="D9337">
            <v>0</v>
          </cell>
          <cell r="E9337">
            <v>169.12</v>
          </cell>
          <cell r="F9337">
            <v>169.12</v>
          </cell>
        </row>
        <row r="9338">
          <cell r="A9338" t="str">
            <v>423046</v>
          </cell>
          <cell r="B9338" t="str">
            <v>Luminária de sobrepor, para duas lâmpadas fluorescentes 40W, com aletas defletoras em alumínio, com soquete, lâmpada e reator eletrônico 220V, cor branca, tipo A401, fab. ABALUX ou similar (284821)</v>
          </cell>
          <cell r="C9338" t="str">
            <v>ud</v>
          </cell>
          <cell r="D9338">
            <v>0</v>
          </cell>
          <cell r="E9338">
            <v>120</v>
          </cell>
          <cell r="F9338">
            <v>120</v>
          </cell>
        </row>
        <row r="9339">
          <cell r="A9339" t="str">
            <v>423047</v>
          </cell>
          <cell r="B9339" t="str">
            <v>Luminária de embutir, para duas lâmpadas fluorescentes 32W, com aletas defletoras em alumínio, com soquete, lâmpada e reator eletrônico 220V, cor branca, tipo A403, fab. ABALUX ou similar (293764)</v>
          </cell>
          <cell r="C9339" t="str">
            <v>ud</v>
          </cell>
          <cell r="D9339">
            <v>0</v>
          </cell>
          <cell r="E9339">
            <v>105</v>
          </cell>
          <cell r="F9339">
            <v>105</v>
          </cell>
        </row>
        <row r="9340">
          <cell r="A9340" t="str">
            <v>423048</v>
          </cell>
          <cell r="B9340" t="str">
            <v>Luminária decorativa tipo ovni, em polietileno de alta densidade, rotomoldado, à prova de vandalismo, ref. DI-507, p/ lâmpada vapor de sódio até 150W, montada em poste tipo DTP-110, com base para instalação de equipamentos auxiliares, fab. REPUME ou simil</v>
          </cell>
          <cell r="C9340" t="str">
            <v>ud</v>
          </cell>
          <cell r="D9340">
            <v>0</v>
          </cell>
          <cell r="E9340">
            <v>497.09</v>
          </cell>
          <cell r="F9340">
            <v>497.09</v>
          </cell>
        </row>
        <row r="9341">
          <cell r="A9341" t="str">
            <v>423049</v>
          </cell>
          <cell r="B9341" t="str">
            <v>Luminária de sobrepor hermética, corpo plástico e difusor em plexiglass transparente texturizado, IP54, para duas lâmpadas fluorescentes 32W, com soquete, lâmpada e reator eletrônico 220V, cor branca, tipo CHT01-S232, fab. LUMICENTER ou similar</v>
          </cell>
          <cell r="C9341" t="str">
            <v>ud</v>
          </cell>
          <cell r="D9341">
            <v>0</v>
          </cell>
          <cell r="E9341">
            <v>166.03</v>
          </cell>
          <cell r="F9341">
            <v>166.03</v>
          </cell>
        </row>
        <row r="9342">
          <cell r="A9342" t="str">
            <v>423050</v>
          </cell>
          <cell r="B9342" t="str">
            <v xml:space="preserve">Luminária 90º, em liga de  alumínio injetado, cor cinza, visor em policarbonato sem grade, para lâmpada incandescente/LED até 150W/18W, tipo WYP-26/2, fab. WETZEL ou similar  </v>
          </cell>
          <cell r="C9342" t="str">
            <v>ud</v>
          </cell>
          <cell r="D9342">
            <v>0</v>
          </cell>
          <cell r="E9342">
            <v>133.1</v>
          </cell>
          <cell r="F9342">
            <v>133.1</v>
          </cell>
        </row>
        <row r="9343">
          <cell r="A9343" t="str">
            <v>423051</v>
          </cell>
          <cell r="B9343" t="str">
            <v xml:space="preserve">Luminária 90º, em liga de  alumínio injetado, cor cinza, visor em policarbonato com grade, para lâmpada incandescente/LED até 150W/15W, tipo WYN-27/2, fab. WETZEL ou similar  </v>
          </cell>
          <cell r="C9343" t="str">
            <v>ud</v>
          </cell>
          <cell r="D9343">
            <v>0</v>
          </cell>
          <cell r="E9343">
            <v>130.97</v>
          </cell>
          <cell r="F9343">
            <v>130.97</v>
          </cell>
        </row>
        <row r="9344">
          <cell r="A9344" t="str">
            <v>423052</v>
          </cell>
          <cell r="B9344" t="str">
            <v xml:space="preserve">Luminária redonda, linha Aquatic, IP-44, difusor em policarbonato, refletor em alumínio polido, soquete de porcelana E-27, cor branca, ref. 604.59, fab. PIAL ou similar </v>
          </cell>
          <cell r="C9344" t="str">
            <v>ud</v>
          </cell>
          <cell r="D9344">
            <v>0</v>
          </cell>
          <cell r="E9344">
            <v>289.45</v>
          </cell>
          <cell r="F9344">
            <v>289.45</v>
          </cell>
        </row>
        <row r="9345">
          <cell r="A9345" t="str">
            <v>423053</v>
          </cell>
          <cell r="B9345" t="str">
            <v>Luminária tipo WY-25-2, para lâmpada de luz mista 160W, fab. WETZEL ou similar</v>
          </cell>
          <cell r="C9345" t="str">
            <v>ud</v>
          </cell>
          <cell r="D9345">
            <v>0</v>
          </cell>
          <cell r="E9345">
            <v>89.79</v>
          </cell>
          <cell r="F9345">
            <v>89.79</v>
          </cell>
        </row>
        <row r="9346">
          <cell r="A9346" t="str">
            <v>423054</v>
          </cell>
          <cell r="B9346" t="str">
            <v>Luminária tipo WY-26-3, para lâmpada de luz mista 250W, fab. WETZEL ou similar</v>
          </cell>
          <cell r="C9346" t="str">
            <v>ud</v>
          </cell>
          <cell r="D9346">
            <v>0</v>
          </cell>
          <cell r="E9346">
            <v>164.22</v>
          </cell>
          <cell r="F9346">
            <v>164.22</v>
          </cell>
        </row>
        <row r="9347">
          <cell r="A9347" t="str">
            <v>423055</v>
          </cell>
          <cell r="B9347" t="str">
            <v>Luminária blindada a prova de explosão tipo IPE-04/02, arandela 90º para lâmpada incandescente 100W, 220V, fab. WETZEL ou similar</v>
          </cell>
          <cell r="C9347" t="str">
            <v>ud</v>
          </cell>
          <cell r="D9347">
            <v>0</v>
          </cell>
          <cell r="E9347">
            <v>452.96</v>
          </cell>
          <cell r="F9347">
            <v>452.96</v>
          </cell>
        </row>
        <row r="9348">
          <cell r="A9348" t="str">
            <v>423056</v>
          </cell>
          <cell r="B9348" t="str">
            <v xml:space="preserve">Luminária tipo plafonier, em liga de  alumínio injetado, visor em policarbonato sem grade, cor cinza, para lâmpada incandescente até 200W, tipo WYP-25/2 , fab. WETZEL ou similar  </v>
          </cell>
          <cell r="C9348" t="str">
            <v>ud</v>
          </cell>
          <cell r="D9348">
            <v>0</v>
          </cell>
          <cell r="E9348">
            <v>89.79</v>
          </cell>
          <cell r="F9348">
            <v>89.79</v>
          </cell>
        </row>
        <row r="9349">
          <cell r="A9349" t="str">
            <v>423057</v>
          </cell>
          <cell r="B9349" t="str">
            <v xml:space="preserve">Luminária tipo plafonier, em liga de  alumínio injetado, visor em policarbonato com grade, cor cinza, para lâmpada incandescente até 200W, tipo WYPG -25/2 , fab. WETZEL ou similar  </v>
          </cell>
          <cell r="C9349" t="str">
            <v>ud</v>
          </cell>
          <cell r="D9349">
            <v>0</v>
          </cell>
          <cell r="E9349">
            <v>136.54</v>
          </cell>
          <cell r="F9349">
            <v>136.54</v>
          </cell>
        </row>
        <row r="9350">
          <cell r="A9350" t="str">
            <v>423058</v>
          </cell>
          <cell r="B9350" t="str">
            <v>Módulo de interruptor simples, série PIALPLUS, branco, ref. 6110-00, fab. PIAL ou similar</v>
          </cell>
          <cell r="C9350" t="str">
            <v>ud</v>
          </cell>
          <cell r="D9350">
            <v>0</v>
          </cell>
          <cell r="E9350">
            <v>9.1300000000000008</v>
          </cell>
          <cell r="F9350">
            <v>9.1300000000000008</v>
          </cell>
        </row>
        <row r="9351">
          <cell r="A9351" t="str">
            <v>423059</v>
          </cell>
          <cell r="B9351" t="str">
            <v>Módulo de tomada padrão brasileiro, com indicador de tensão "127V", 10A, série PIALPLUS, branco, ref. 6150-73, fab. PIAL ou similar</v>
          </cell>
          <cell r="C9351" t="str">
            <v>ud</v>
          </cell>
          <cell r="D9351">
            <v>0</v>
          </cell>
          <cell r="E9351">
            <v>14.04</v>
          </cell>
          <cell r="F9351">
            <v>14.04</v>
          </cell>
        </row>
        <row r="9352">
          <cell r="A9352" t="str">
            <v>423060</v>
          </cell>
          <cell r="B9352" t="str">
            <v>Módulo de tomada padrão brasileiro, com indicador de tensão "220V", 10A, série PIALPLUS, branco, ref. 6150-73, fab. PIAL ou similar</v>
          </cell>
          <cell r="C9352" t="str">
            <v>ud</v>
          </cell>
          <cell r="D9352">
            <v>0</v>
          </cell>
          <cell r="E9352">
            <v>14.04</v>
          </cell>
          <cell r="F9352">
            <v>14.04</v>
          </cell>
        </row>
        <row r="9353">
          <cell r="A9353" t="str">
            <v>423061</v>
          </cell>
          <cell r="B9353" t="str">
            <v>Módulo de tomada padrão brasileiro, com indicador de tensão "220V", 20A, série PIALPLUS, branco, ref. 6150-60, fab. PIAL ou similar</v>
          </cell>
          <cell r="C9353" t="str">
            <v>ud</v>
          </cell>
          <cell r="D9353">
            <v>0</v>
          </cell>
          <cell r="E9353">
            <v>19.899999999999999</v>
          </cell>
          <cell r="F9353">
            <v>19.899999999999999</v>
          </cell>
        </row>
        <row r="9354">
          <cell r="A9354" t="str">
            <v>423062</v>
          </cell>
          <cell r="B9354" t="str">
            <v xml:space="preserve">Plugue padrão brasileiro 10A,  250V, ref. 6158 20, fab. PIAL ou similar </v>
          </cell>
          <cell r="C9354" t="str">
            <v>ud</v>
          </cell>
          <cell r="D9354">
            <v>0</v>
          </cell>
          <cell r="E9354">
            <v>3.73</v>
          </cell>
          <cell r="F9354">
            <v>3.73</v>
          </cell>
        </row>
        <row r="9355">
          <cell r="A9355" t="str">
            <v>423063</v>
          </cell>
          <cell r="B9355" t="str">
            <v>Plugue com trava 3P+T, 32A, 440V, ref. 56406, fab. PIAL ou similar  (49301)</v>
          </cell>
          <cell r="C9355" t="str">
            <v>ud</v>
          </cell>
          <cell r="D9355">
            <v>0</v>
          </cell>
          <cell r="E9355">
            <v>102.21</v>
          </cell>
          <cell r="F9355">
            <v>102.21</v>
          </cell>
        </row>
        <row r="9356">
          <cell r="A9356" t="str">
            <v>423064</v>
          </cell>
          <cell r="B9356" t="str">
            <v xml:space="preserve">Prolongador 2P+T, 10A, 250V, ref. 6158 56 (preto), fab. PIAL ou similar </v>
          </cell>
          <cell r="C9356" t="str">
            <v>ud</v>
          </cell>
          <cell r="D9356">
            <v>0</v>
          </cell>
          <cell r="E9356">
            <v>13.62</v>
          </cell>
          <cell r="F9356">
            <v>13.62</v>
          </cell>
        </row>
        <row r="9357">
          <cell r="A9357" t="str">
            <v>423065</v>
          </cell>
          <cell r="B9357" t="str">
            <v xml:space="preserve">Prolongador 2P+T, 20A, 250V, ref. 6158 57 (preto), fab. PIAL ou similar </v>
          </cell>
          <cell r="C9357" t="str">
            <v>ud</v>
          </cell>
          <cell r="D9357">
            <v>0</v>
          </cell>
          <cell r="E9357">
            <v>14.31</v>
          </cell>
          <cell r="F9357">
            <v>14.31</v>
          </cell>
        </row>
        <row r="9358">
          <cell r="A9358" t="str">
            <v>423066</v>
          </cell>
          <cell r="B9358" t="str">
            <v>Plafonier em alumínio, diâmetro 100mm, com bocal de porcelana E-27</v>
          </cell>
          <cell r="C9358" t="str">
            <v>ud</v>
          </cell>
          <cell r="D9358">
            <v>0</v>
          </cell>
          <cell r="E9358">
            <v>23.3</v>
          </cell>
          <cell r="F9358">
            <v>23.3</v>
          </cell>
        </row>
        <row r="9359">
          <cell r="A9359" t="str">
            <v>423067</v>
          </cell>
          <cell r="B9359" t="str">
            <v>Tampa para equipamento em alumínio, com parafusos para instalação em condulete, bitola 3/4",  fab. DAISA ou similar, para 1 módulo (interruptor)</v>
          </cell>
          <cell r="C9359" t="str">
            <v>ud</v>
          </cell>
          <cell r="D9359">
            <v>0</v>
          </cell>
          <cell r="E9359">
            <v>1.0900000000000001</v>
          </cell>
          <cell r="F9359">
            <v>1.0900000000000001</v>
          </cell>
        </row>
        <row r="9360">
          <cell r="A9360" t="str">
            <v>423068</v>
          </cell>
          <cell r="B9360" t="str">
            <v>Tampa para equipamento em alumínio, com parafusos para instalação em condulete, bitola 3/4",  fab. DAISA ou similar, para 2 módulos (interruptor)</v>
          </cell>
          <cell r="C9360" t="str">
            <v>ud</v>
          </cell>
          <cell r="D9360">
            <v>0</v>
          </cell>
          <cell r="E9360">
            <v>1.55</v>
          </cell>
          <cell r="F9360">
            <v>1.55</v>
          </cell>
        </row>
        <row r="9361">
          <cell r="A9361" t="str">
            <v>423069</v>
          </cell>
          <cell r="B9361" t="str">
            <v>Tampa para equipamento em alumínio, com parafusos para instalação em condulete, bitola 3/4",  fab. DAISA ou similar, para 3 módulos (interruptor)</v>
          </cell>
          <cell r="C9361" t="str">
            <v>ud</v>
          </cell>
          <cell r="D9361">
            <v>0</v>
          </cell>
          <cell r="E9361">
            <v>1.0900000000000001</v>
          </cell>
          <cell r="F9361">
            <v>1.0900000000000001</v>
          </cell>
        </row>
        <row r="9362">
          <cell r="A9362" t="str">
            <v>423070</v>
          </cell>
          <cell r="B9362" t="str">
            <v>Refletor LED 50W, corpo em aluminio cinza,  vidro temperado, 4200 lm, uso externo, IP-66, 90-240V, fab. Iluminium ou similar</v>
          </cell>
          <cell r="C9362" t="str">
            <v>ud</v>
          </cell>
          <cell r="D9362">
            <v>0</v>
          </cell>
          <cell r="E9362">
            <v>105</v>
          </cell>
          <cell r="F9362">
            <v>105</v>
          </cell>
        </row>
        <row r="9363">
          <cell r="A9363" t="str">
            <v>423071</v>
          </cell>
          <cell r="B9363" t="str">
            <v>Refletor LED 100W, corpo em aluminio cinza,  vidro temperado, 4200 lm, uso externo, IP-66, 90-240V, fab. Iluminium ou similar</v>
          </cell>
          <cell r="C9363" t="str">
            <v>ud</v>
          </cell>
          <cell r="D9363">
            <v>0</v>
          </cell>
          <cell r="E9363">
            <v>199</v>
          </cell>
          <cell r="F9363">
            <v>199</v>
          </cell>
        </row>
        <row r="9364">
          <cell r="A9364" t="str">
            <v>423072</v>
          </cell>
          <cell r="B9364" t="str">
            <v>Projetor LED 48L, 60W, corpo em alumínio injetado, com placa de LED, IP 66, ref. Eros LED 60, 110-220V, 6110 lm, 6750K, dimensões 410 x 322 x 163mm,  400mA, fab. Ilumatic ou similar</v>
          </cell>
          <cell r="C9364" t="str">
            <v>ud</v>
          </cell>
          <cell r="D9364">
            <v>0</v>
          </cell>
          <cell r="E9364">
            <v>1293.5899999999999</v>
          </cell>
          <cell r="F9364">
            <v>1293.5899999999999</v>
          </cell>
        </row>
        <row r="9365">
          <cell r="A9365" t="str">
            <v>423073</v>
          </cell>
          <cell r="B9365" t="str">
            <v>Projetor LED 48L,110W, corpo em alumínio injetado, com placa de LED, IP 66, ref. Eros LED 100, 220V, 10250 lm, 6500K, dimensões 410 x 322 x 163mm, 700mA, fab. Ilumatic ou similar</v>
          </cell>
          <cell r="C9365" t="str">
            <v>ud</v>
          </cell>
          <cell r="D9365">
            <v>0</v>
          </cell>
          <cell r="E9365">
            <v>1486.58</v>
          </cell>
          <cell r="F9365">
            <v>1486.58</v>
          </cell>
        </row>
        <row r="9366">
          <cell r="A9366" t="str">
            <v>423074</v>
          </cell>
          <cell r="B9366" t="str">
            <v>Projetor LED Slim 50W, 6.000K, 2650 lm, IP65,  127/220V, dimensões 285x52x275mm, ref. LM-247, fab. Ilumattic  ou similar</v>
          </cell>
          <cell r="C9366" t="str">
            <v>ud</v>
          </cell>
          <cell r="D9366">
            <v>0</v>
          </cell>
          <cell r="E9366">
            <v>99.6</v>
          </cell>
          <cell r="F9366">
            <v>99.6</v>
          </cell>
        </row>
        <row r="9367">
          <cell r="A9367" t="str">
            <v>423075</v>
          </cell>
          <cell r="B9367" t="str">
            <v>Projetor LED Slim 100W, 6.000K, 5300 lm, IP65, 127/220V, dimensões 420x172x320mm, ref. LM-248, fab. Ilumattic  ou similar</v>
          </cell>
          <cell r="C9367" t="str">
            <v>ud</v>
          </cell>
          <cell r="D9367">
            <v>0</v>
          </cell>
          <cell r="E9367">
            <v>215.94</v>
          </cell>
          <cell r="F9367">
            <v>215.94</v>
          </cell>
        </row>
        <row r="9368">
          <cell r="A9368" t="str">
            <v>423077</v>
          </cell>
          <cell r="B9368" t="str">
            <v>Tampa para equipamento em alumínio, com parafusos para instalação em condulete, bitola 3/4",  fab. DAISA ou similar, para 2 módulos (interruptor) + tomada padrão brasileiro</v>
          </cell>
          <cell r="C9368" t="str">
            <v>ud</v>
          </cell>
          <cell r="D9368">
            <v>0</v>
          </cell>
          <cell r="E9368">
            <v>1.0900000000000001</v>
          </cell>
          <cell r="F9368">
            <v>1.0900000000000001</v>
          </cell>
        </row>
        <row r="9369">
          <cell r="A9369" t="str">
            <v>423078</v>
          </cell>
          <cell r="B9369" t="str">
            <v>Tampa para equipamento em alumínio, com parafusos para instalação em condulete, bitola 3/4",  fab. DAISA ou similar, para 1 módulos (interruptor) + tomada padrão brasileiro</v>
          </cell>
          <cell r="C9369" t="str">
            <v>ud</v>
          </cell>
          <cell r="D9369">
            <v>0</v>
          </cell>
          <cell r="E9369">
            <v>1.0900000000000001</v>
          </cell>
          <cell r="F9369">
            <v>1.0900000000000001</v>
          </cell>
        </row>
        <row r="9370">
          <cell r="A9370" t="str">
            <v>423080</v>
          </cell>
          <cell r="B9370" t="str">
            <v>Tampa para equipamento em alumínio, com parafusos para instalação em condulete, bitola 3/4",  fab. DAISA ou similar, para tomada padrão brasileiro</v>
          </cell>
          <cell r="C9370" t="str">
            <v>ud</v>
          </cell>
          <cell r="D9370">
            <v>0</v>
          </cell>
          <cell r="E9370">
            <v>1.0900000000000001</v>
          </cell>
          <cell r="F9370">
            <v>1.0900000000000001</v>
          </cell>
        </row>
        <row r="9371">
          <cell r="A9371" t="str">
            <v>423081</v>
          </cell>
          <cell r="B9371" t="str">
            <v>Tampa para equipamento em alumínio, com parafusos para instalação em condulete, bitola 3/4",  fab. DAISA ou similar, para 1 tomada padrão Telebrás</v>
          </cell>
          <cell r="C9371" t="str">
            <v>ud</v>
          </cell>
          <cell r="D9371">
            <v>0</v>
          </cell>
          <cell r="E9371">
            <v>1.0900000000000001</v>
          </cell>
          <cell r="F9371">
            <v>1.0900000000000001</v>
          </cell>
        </row>
        <row r="9372">
          <cell r="A9372" t="str">
            <v>423082</v>
          </cell>
          <cell r="B9372" t="str">
            <v>Tampa para equipamento em alumínio, com parafusos para instalação em condulete, bitola 1",  fab. DAISA ou similar, para 1 módulo (interruptor)</v>
          </cell>
          <cell r="C9372" t="str">
            <v>ud</v>
          </cell>
          <cell r="D9372">
            <v>0</v>
          </cell>
          <cell r="E9372">
            <v>1.55</v>
          </cell>
          <cell r="F9372">
            <v>1.55</v>
          </cell>
        </row>
        <row r="9373">
          <cell r="A9373" t="str">
            <v>423083</v>
          </cell>
          <cell r="B9373" t="str">
            <v>Tampa para equipamento em alumínio, com parafusos para instalação em condulete, bitola 1",  fab. DAISA ou similar, para 2 módulos (interruptor)</v>
          </cell>
          <cell r="C9373" t="str">
            <v>ud</v>
          </cell>
          <cell r="D9373">
            <v>0</v>
          </cell>
          <cell r="E9373">
            <v>1.55</v>
          </cell>
          <cell r="F9373">
            <v>1.55</v>
          </cell>
        </row>
        <row r="9374">
          <cell r="A9374" t="str">
            <v>423084</v>
          </cell>
          <cell r="B9374" t="str">
            <v>Tampa para equipamento em alumínio, com parafusos para instalação em condulete, bitola 1",  fab. DAISA ou similar, para 3 módulos (interruptor)</v>
          </cell>
          <cell r="C9374" t="str">
            <v>ud</v>
          </cell>
          <cell r="D9374">
            <v>0</v>
          </cell>
          <cell r="E9374">
            <v>1.55</v>
          </cell>
          <cell r="F9374">
            <v>1.55</v>
          </cell>
        </row>
        <row r="9375">
          <cell r="A9375" t="str">
            <v>423091</v>
          </cell>
          <cell r="B9375" t="str">
            <v>Tampa para equipamento em alumínio, com parafusos para instalação em condulete, bitola 1",  fab. DAISA ou similar, para tomada padrão brasileiro</v>
          </cell>
          <cell r="C9375" t="str">
            <v>ud</v>
          </cell>
          <cell r="D9375">
            <v>0</v>
          </cell>
          <cell r="E9375">
            <v>1.55</v>
          </cell>
          <cell r="F9375">
            <v>1.55</v>
          </cell>
        </row>
        <row r="9376">
          <cell r="A9376" t="str">
            <v>423092</v>
          </cell>
          <cell r="B9376" t="str">
            <v>Tampa para equipamento em alumínio, com parafusos para instalação em condulete, bitola 1",  fab. DAISA ou similar, para 1 tomada padrão Telebrás</v>
          </cell>
          <cell r="C9376" t="str">
            <v>ud</v>
          </cell>
          <cell r="D9376">
            <v>0</v>
          </cell>
          <cell r="E9376">
            <v>1.55</v>
          </cell>
          <cell r="F9376">
            <v>1.55</v>
          </cell>
        </row>
        <row r="9377">
          <cell r="A9377" t="str">
            <v>423093</v>
          </cell>
          <cell r="B9377" t="str">
            <v>Tampa para equipamento em PVC de cor cinza, com encaixe para instalação em condulete, bitola 3/4",  fab. WETZEL ou similar , cega</v>
          </cell>
          <cell r="C9377" t="str">
            <v>ud</v>
          </cell>
          <cell r="D9377">
            <v>0</v>
          </cell>
          <cell r="E9377">
            <v>1.27</v>
          </cell>
          <cell r="F9377">
            <v>1.27</v>
          </cell>
        </row>
        <row r="9378">
          <cell r="A9378" t="str">
            <v>423094</v>
          </cell>
          <cell r="B9378" t="str">
            <v>Tampa para equipamento em PVC de cor cinza, com encaixe para instalação em condulete, bitola 3/4",  fab. WETZEL ou similar, para 1 interruptor</v>
          </cell>
          <cell r="C9378" t="str">
            <v>ud</v>
          </cell>
          <cell r="D9378">
            <v>0</v>
          </cell>
          <cell r="E9378">
            <v>1.83</v>
          </cell>
          <cell r="F9378">
            <v>1.83</v>
          </cell>
        </row>
        <row r="9379">
          <cell r="A9379" t="str">
            <v>423095</v>
          </cell>
          <cell r="B9379" t="str">
            <v>Tampa para equipamento em PVC de cor cinza, com encaixe para instalação em condulete, bitola 3/4",  fab. WETZEL ou similar, para 2 interruptores</v>
          </cell>
          <cell r="C9379" t="str">
            <v>ud</v>
          </cell>
          <cell r="D9379">
            <v>0</v>
          </cell>
          <cell r="E9379">
            <v>1.83</v>
          </cell>
          <cell r="F9379">
            <v>1.83</v>
          </cell>
        </row>
        <row r="9380">
          <cell r="A9380" t="str">
            <v>423096</v>
          </cell>
          <cell r="B9380" t="str">
            <v xml:space="preserve">Tampa para equipamento em PVC de cor cinza, com encaixe para instalação em condulete, bitola 3/4",  fab. WETZEL ou similar, para  3 interruptores </v>
          </cell>
          <cell r="C9380" t="str">
            <v>ud</v>
          </cell>
          <cell r="D9380">
            <v>0</v>
          </cell>
          <cell r="E9380">
            <v>1.83</v>
          </cell>
          <cell r="F9380">
            <v>1.83</v>
          </cell>
        </row>
        <row r="9381">
          <cell r="A9381" t="str">
            <v>423097</v>
          </cell>
          <cell r="B9381" t="str">
            <v>Tampa para equipamento em PVC de cor cinza, com encaixe para instalação em condulete, bitola 3/4",  fab. WETZEL ou similar, para tomada 2P+T</v>
          </cell>
          <cell r="C9381" t="str">
            <v>ud</v>
          </cell>
          <cell r="D9381">
            <v>0</v>
          </cell>
          <cell r="E9381">
            <v>1.83</v>
          </cell>
          <cell r="F9381">
            <v>1.83</v>
          </cell>
        </row>
        <row r="9382">
          <cell r="A9382" t="str">
            <v>423099</v>
          </cell>
          <cell r="B9382" t="str">
            <v>Luminária de emergência, 30 LED's, 127/220V bivolt, autonomia de 6hs, tipo TLE-05, fab. TASCHIBRA ou similar (288750)</v>
          </cell>
          <cell r="C9382" t="str">
            <v>ud</v>
          </cell>
          <cell r="D9382">
            <v>0</v>
          </cell>
          <cell r="E9382">
            <v>35.32</v>
          </cell>
          <cell r="F9382">
            <v>35.32</v>
          </cell>
        </row>
        <row r="9383">
          <cell r="A9383" t="str">
            <v>4231</v>
          </cell>
          <cell r="B9383" t="str">
            <v>ILUMINAÇÃO INTERNA, TOMADAS E ACESSÓRIOS</v>
          </cell>
          <cell r="C9383">
            <v>0</v>
          </cell>
          <cell r="D9383">
            <v>0</v>
          </cell>
          <cell r="E9383">
            <v>0</v>
          </cell>
          <cell r="F9383">
            <v>0</v>
          </cell>
        </row>
        <row r="9384">
          <cell r="A9384" t="str">
            <v>423101</v>
          </cell>
          <cell r="B9384" t="str">
            <v>Sensor de presença, 100 a 260V, tipo SK-200, fab. SKILLTEC ou similar</v>
          </cell>
          <cell r="C9384" t="str">
            <v>ud</v>
          </cell>
          <cell r="D9384">
            <v>0</v>
          </cell>
          <cell r="E9384">
            <v>37.11</v>
          </cell>
          <cell r="F9384">
            <v>37.11</v>
          </cell>
        </row>
        <row r="9385">
          <cell r="A9385" t="str">
            <v>423102</v>
          </cell>
          <cell r="B9385" t="str">
            <v>Soquete de porcelana E-27, cor branca, ref. 1450, fab. LORENZETTI ou similar (155829)</v>
          </cell>
          <cell r="C9385" t="str">
            <v>ud</v>
          </cell>
          <cell r="D9385">
            <v>0</v>
          </cell>
          <cell r="E9385">
            <v>3.5</v>
          </cell>
          <cell r="F9385">
            <v>3.5</v>
          </cell>
        </row>
        <row r="9386">
          <cell r="A9386" t="str">
            <v>423103</v>
          </cell>
          <cell r="B9386" t="str">
            <v>Suporte para equipamento, cor bege, em ABS, ref. DT51120, fab. DUTOTEC ou similar</v>
          </cell>
          <cell r="C9386" t="str">
            <v>ud</v>
          </cell>
          <cell r="D9386">
            <v>0</v>
          </cell>
          <cell r="E9386">
            <v>13.36</v>
          </cell>
          <cell r="F9386">
            <v>13.36</v>
          </cell>
        </row>
        <row r="9387">
          <cell r="A9387" t="str">
            <v>423104</v>
          </cell>
          <cell r="B9387" t="str">
            <v>Tampa para equipamento em PVC de cor cinza, com encaixe para instalação em condulete, bitola 3/4",  fab. WETZEL ou similar, para 1 tomada telefone 4P</v>
          </cell>
          <cell r="C9387" t="str">
            <v>ud</v>
          </cell>
          <cell r="D9387">
            <v>0</v>
          </cell>
          <cell r="E9387">
            <v>1.83</v>
          </cell>
          <cell r="F9387">
            <v>1.83</v>
          </cell>
        </row>
        <row r="9388">
          <cell r="A9388" t="str">
            <v>423105</v>
          </cell>
          <cell r="B9388" t="str">
            <v>Tampa para equipamento em PVC de cor cinza, com encaixe para instalação em condulete, bitola 3/4",  fab. WETZEL ou similar, para 1 conector RJ</v>
          </cell>
          <cell r="C9388" t="str">
            <v>ud</v>
          </cell>
          <cell r="D9388">
            <v>0</v>
          </cell>
          <cell r="E9388">
            <v>2.1800000000000002</v>
          </cell>
          <cell r="F9388">
            <v>2.1800000000000002</v>
          </cell>
        </row>
        <row r="9389">
          <cell r="A9389" t="str">
            <v>423106</v>
          </cell>
          <cell r="B9389" t="str">
            <v>Tampa para equipamento em PVC de cor cinza, com encaixe para instalação em condulete, bitola 1",  fab. WETZEL ou similar, cega</v>
          </cell>
          <cell r="C9389" t="str">
            <v>ud</v>
          </cell>
          <cell r="D9389">
            <v>0</v>
          </cell>
          <cell r="E9389">
            <v>1.61</v>
          </cell>
          <cell r="F9389">
            <v>1.61</v>
          </cell>
        </row>
        <row r="9390">
          <cell r="A9390" t="str">
            <v>423107</v>
          </cell>
          <cell r="B9390" t="str">
            <v>Tampa para equipamento em PVC de cor cinza, com encaixe para instalação em condulete, bitola 1",  fab. WETZEL ou similar, para 1 interruptor</v>
          </cell>
          <cell r="C9390" t="str">
            <v>ud</v>
          </cell>
          <cell r="D9390">
            <v>0</v>
          </cell>
          <cell r="E9390">
            <v>1.77</v>
          </cell>
          <cell r="F9390">
            <v>1.77</v>
          </cell>
        </row>
        <row r="9391">
          <cell r="A9391" t="str">
            <v>423108</v>
          </cell>
          <cell r="B9391" t="str">
            <v>Tampa para equipamento em PVC de cor cinza, com encaixe para instalação em condulete, bitola 1",  fab. WETZEL ou similar, para  2 interruptores</v>
          </cell>
          <cell r="C9391" t="str">
            <v>ud</v>
          </cell>
          <cell r="D9391">
            <v>0</v>
          </cell>
          <cell r="E9391">
            <v>1.77</v>
          </cell>
          <cell r="F9391">
            <v>1.77</v>
          </cell>
        </row>
        <row r="9392">
          <cell r="A9392" t="str">
            <v>423109</v>
          </cell>
          <cell r="B9392" t="str">
            <v xml:space="preserve">Tampa para equipamento em PVC de cor cinza, com encaixe para instalação em condulete, bitola 1",  fab. WETZEL ou similar,  para 3 interruptores </v>
          </cell>
          <cell r="C9392" t="str">
            <v>ud</v>
          </cell>
          <cell r="D9392">
            <v>0</v>
          </cell>
          <cell r="E9392">
            <v>1.77</v>
          </cell>
          <cell r="F9392">
            <v>1.77</v>
          </cell>
        </row>
        <row r="9393">
          <cell r="A9393" t="str">
            <v>423110</v>
          </cell>
          <cell r="B9393" t="str">
            <v>Tampa para equipamento em PVC de cor cinza, com encaixe para instalação em condulete, bitola 1",  fab. WETZEL ou similar, para tomada 2P+T</v>
          </cell>
          <cell r="C9393" t="str">
            <v>ud</v>
          </cell>
          <cell r="D9393">
            <v>0</v>
          </cell>
          <cell r="E9393">
            <v>1.77</v>
          </cell>
          <cell r="F9393">
            <v>1.77</v>
          </cell>
        </row>
        <row r="9394">
          <cell r="A9394" t="str">
            <v>423111</v>
          </cell>
          <cell r="B9394" t="str">
            <v>Tampa para equipamento em PVC de cor cinza, com encaixe para instalação em condulete, bitola 1",  fab. WETZEL ou similar, para 1 tomada telefone 4P</v>
          </cell>
          <cell r="C9394" t="str">
            <v>ud</v>
          </cell>
          <cell r="D9394">
            <v>0</v>
          </cell>
          <cell r="E9394">
            <v>1.77</v>
          </cell>
          <cell r="F9394">
            <v>1.77</v>
          </cell>
        </row>
        <row r="9395">
          <cell r="A9395" t="str">
            <v>423112</v>
          </cell>
          <cell r="B9395" t="str">
            <v>Tampa para equipamento em PVC de cor cinza, com encaixe para instalação em condulete, bitola 1",  fab. WETZEL ou similar, para 1 conector RJ</v>
          </cell>
          <cell r="C9395" t="str">
            <v>ud</v>
          </cell>
          <cell r="D9395">
            <v>0</v>
          </cell>
          <cell r="E9395">
            <v>3.2</v>
          </cell>
          <cell r="F9395">
            <v>3.2</v>
          </cell>
        </row>
        <row r="9396">
          <cell r="A9396" t="str">
            <v>423113</v>
          </cell>
          <cell r="B9396" t="str">
            <v>Tomada de embutir com trava, 3P+T, 30A, 440V, ref. 564 03, fab. PIAL ou similar  (5304)</v>
          </cell>
          <cell r="C9396" t="str">
            <v>ud</v>
          </cell>
          <cell r="D9396">
            <v>0</v>
          </cell>
          <cell r="E9396">
            <v>65</v>
          </cell>
          <cell r="F9396">
            <v>65</v>
          </cell>
        </row>
        <row r="9397">
          <cell r="A9397" t="str">
            <v>423114</v>
          </cell>
          <cell r="B9397" t="str">
            <v>Tomada de embutir, 10A, 250 V, 2P+T padrão brasileiro, ref. 0543 28, sem placa, fab. PIAL ou similar</v>
          </cell>
          <cell r="C9397" t="str">
            <v>ud</v>
          </cell>
          <cell r="D9397">
            <v>0</v>
          </cell>
          <cell r="E9397">
            <v>8.23</v>
          </cell>
          <cell r="F9397">
            <v>8.23</v>
          </cell>
        </row>
        <row r="9398">
          <cell r="A9398" t="str">
            <v>423115</v>
          </cell>
          <cell r="B9398" t="str">
            <v>Tomada de embutir, 20A, 250 V, 2P+T, modelo SCHUKO - Quasar, ref. S-8641, fab. STECK ou similar</v>
          </cell>
          <cell r="C9398" t="str">
            <v>ud</v>
          </cell>
          <cell r="D9398">
            <v>0</v>
          </cell>
          <cell r="E9398">
            <v>29.87</v>
          </cell>
          <cell r="F9398">
            <v>29.87</v>
          </cell>
        </row>
        <row r="9399">
          <cell r="A9399" t="str">
            <v>423116</v>
          </cell>
          <cell r="B9399" t="str">
            <v>Tomada sobrepor, uso ao tempo, a prova d`água, 16A-380V, 4 pólos, ref. S-4006, fab. STECK ou similar</v>
          </cell>
          <cell r="C9399" t="str">
            <v>ud</v>
          </cell>
          <cell r="D9399">
            <v>0</v>
          </cell>
          <cell r="E9399">
            <v>56.99</v>
          </cell>
          <cell r="F9399">
            <v>56.99</v>
          </cell>
        </row>
        <row r="9400">
          <cell r="A9400" t="str">
            <v>423117</v>
          </cell>
          <cell r="B9400" t="str">
            <v>Tomada de sobrepor blindada, linha Brasikon, 32A, 4 polos, 380V, ref. S-4206, fab. STECK ou similar</v>
          </cell>
          <cell r="C9400" t="str">
            <v>ud</v>
          </cell>
          <cell r="D9400">
            <v>0</v>
          </cell>
          <cell r="E9400">
            <v>75.8</v>
          </cell>
          <cell r="F9400">
            <v>75.8</v>
          </cell>
        </row>
        <row r="9401">
          <cell r="A9401" t="str">
            <v>423118</v>
          </cell>
          <cell r="B9401" t="str">
            <v>Tomada de sobrepor blindada, linha Brasikon, 63A, 4 polos, 380V, ref. S-4506, fab. STECK ou similar</v>
          </cell>
          <cell r="C9401" t="str">
            <v>ud</v>
          </cell>
          <cell r="D9401">
            <v>0</v>
          </cell>
          <cell r="E9401">
            <v>184.14</v>
          </cell>
          <cell r="F9401">
            <v>184.14</v>
          </cell>
        </row>
        <row r="9402">
          <cell r="A9402" t="str">
            <v>423119</v>
          </cell>
          <cell r="B9402" t="str">
            <v xml:space="preserve">Tomada de telefone padrão Telebrás, sem placa, ref.  64434, fab. PIAL ou similar </v>
          </cell>
          <cell r="C9402" t="str">
            <v>ud</v>
          </cell>
          <cell r="D9402">
            <v>0</v>
          </cell>
          <cell r="E9402">
            <v>12.98</v>
          </cell>
          <cell r="F9402">
            <v>12.98</v>
          </cell>
        </row>
        <row r="9403">
          <cell r="A9403" t="str">
            <v>423120</v>
          </cell>
          <cell r="B9403" t="str">
            <v>Lâmpada fluorescente tubular (28mm), base G13, 16W, ref. TLDRS16W, fab. PHILIPS ou similar  (295794)</v>
          </cell>
          <cell r="C9403" t="str">
            <v>ud</v>
          </cell>
          <cell r="D9403">
            <v>0</v>
          </cell>
          <cell r="E9403">
            <v>4.42</v>
          </cell>
          <cell r="F9403">
            <v>4.42</v>
          </cell>
        </row>
        <row r="9404">
          <cell r="A9404" t="str">
            <v>423121</v>
          </cell>
          <cell r="B9404" t="str">
            <v>Lâmpada fluorescente tubular (17mm), base G5, 14W, ref. TL5-14W-HE/840, fab. PHILIPS ou similar  (293940)</v>
          </cell>
          <cell r="C9404" t="str">
            <v>ud</v>
          </cell>
          <cell r="D9404">
            <v>0</v>
          </cell>
          <cell r="E9404">
            <v>6.33</v>
          </cell>
          <cell r="F9404">
            <v>6.33</v>
          </cell>
          <cell r="G9404">
            <v>0</v>
          </cell>
        </row>
        <row r="9405">
          <cell r="A9405" t="str">
            <v>423122</v>
          </cell>
          <cell r="B9405" t="str">
            <v>Lâmpada fluorescente tubular (17mm), base G5, 28W, ref. TL5-28W-HE/840, fab. PHILIPS ou similar  (295563)</v>
          </cell>
          <cell r="C9405" t="str">
            <v>ud</v>
          </cell>
          <cell r="D9405">
            <v>0</v>
          </cell>
          <cell r="E9405">
            <v>7.15</v>
          </cell>
          <cell r="F9405">
            <v>7.15</v>
          </cell>
        </row>
        <row r="9406">
          <cell r="A9406" t="str">
            <v>423123</v>
          </cell>
          <cell r="B9406" t="str">
            <v xml:space="preserve">Lâmpada fluorescente compacta integrada, soquete E-27, tipo twister, ref. PLDTWIST15W127B, temperatura cor 6.500K (luz clara), 15W, 127V, fab. PHILIPS ou similar </v>
          </cell>
          <cell r="C9406" t="str">
            <v>ud</v>
          </cell>
          <cell r="D9406">
            <v>0</v>
          </cell>
          <cell r="E9406">
            <v>10.5</v>
          </cell>
          <cell r="F9406">
            <v>10.5</v>
          </cell>
        </row>
        <row r="9407">
          <cell r="A9407" t="str">
            <v>423124</v>
          </cell>
          <cell r="B9407" t="str">
            <v>Lâmpada fluorescente compacta integrada, soquete E-27, tipo twister, ref. PLDTWIST15W220B, temperatura cor 6.500K (luz clara), 15W, 220V, fab. PHILIPS ou similar (143219)</v>
          </cell>
          <cell r="C9407" t="str">
            <v>ud</v>
          </cell>
          <cell r="D9407">
            <v>0</v>
          </cell>
          <cell r="E9407">
            <v>10.5</v>
          </cell>
          <cell r="F9407">
            <v>10.5</v>
          </cell>
        </row>
        <row r="9408">
          <cell r="A9408" t="str">
            <v>423125</v>
          </cell>
          <cell r="B9408" t="str">
            <v>Lâmpada fluorescente compacta integrada, soquete E-27, tipo twister, ref. PLDTWIST20W127B, temperatura cor 6.500K (luz clara), 20W, 127V, fab. PHILIPS ou similar (292756)</v>
          </cell>
          <cell r="C9408" t="str">
            <v>ud</v>
          </cell>
          <cell r="D9408">
            <v>0</v>
          </cell>
          <cell r="E9408">
            <v>10.26</v>
          </cell>
          <cell r="F9408">
            <v>10.26</v>
          </cell>
        </row>
        <row r="9409">
          <cell r="A9409" t="str">
            <v>423126</v>
          </cell>
          <cell r="B9409" t="str">
            <v>Lâmpada fluorescente compacta integrada, soquete E-27, tipo twister, ref. PLDTWIST20W220B, temperatura cor 6.500K (luz clara), 20W, 220V, fab. PHILIPS ou similar (280640)</v>
          </cell>
          <cell r="C9409" t="str">
            <v>ud</v>
          </cell>
          <cell r="D9409">
            <v>0</v>
          </cell>
          <cell r="E9409">
            <v>10.210000000000001</v>
          </cell>
          <cell r="F9409">
            <v>10.210000000000001</v>
          </cell>
        </row>
        <row r="9410">
          <cell r="A9410" t="str">
            <v>423127</v>
          </cell>
          <cell r="B9410" t="str">
            <v>Lâmpada fluorescente compacta integrada, soquete E-27, tipo twister, ref. PLDTWIST27W127B, temperatura cor 6.500K (luz clara), 27W, 127V, fab. PHILIPS ou similar (285896)</v>
          </cell>
          <cell r="C9410" t="str">
            <v>ud</v>
          </cell>
          <cell r="D9410">
            <v>0</v>
          </cell>
          <cell r="E9410">
            <v>14.15</v>
          </cell>
          <cell r="F9410">
            <v>14.15</v>
          </cell>
        </row>
        <row r="9411">
          <cell r="A9411" t="str">
            <v>423128</v>
          </cell>
          <cell r="B9411" t="str">
            <v>Lâmpada fluorescente compacta integrada, soquete E-27, tipo twister high lumen, ref. TWIST45W127V865, temperatura cor 6.500K (luz clara), 45W, 127V, fab. PHILIPS ou similar (291150)</v>
          </cell>
          <cell r="C9411" t="str">
            <v>ud</v>
          </cell>
          <cell r="D9411">
            <v>0</v>
          </cell>
          <cell r="E9411">
            <v>46.02</v>
          </cell>
          <cell r="F9411">
            <v>46.02</v>
          </cell>
        </row>
        <row r="9412">
          <cell r="A9412" t="str">
            <v>423129</v>
          </cell>
          <cell r="B9412" t="str">
            <v>Lâmpada fluorescente compacta integrada, soquete E-27, tipo twister high lumen, ref. TWIST45W220V865, temperatura cor 6.500K (luz clara), 45W, 220V, fab. PHILIPS ou similar (291213)</v>
          </cell>
          <cell r="C9412" t="str">
            <v>ud</v>
          </cell>
          <cell r="D9412">
            <v>0</v>
          </cell>
          <cell r="E9412">
            <v>31.86</v>
          </cell>
          <cell r="F9412">
            <v>31.86</v>
          </cell>
        </row>
        <row r="9413">
          <cell r="A9413" t="str">
            <v>423130</v>
          </cell>
          <cell r="B9413" t="str">
            <v xml:space="preserve">Lâmpada fluorescente compacta integrada, soquete E-27, tipo twister high lumen, ref. TWIST65W127V865, temperatura cor 6.500K (luz clara), 65W, 127V, fab. PHILIPS ou similar </v>
          </cell>
          <cell r="C9413" t="str">
            <v>ud</v>
          </cell>
          <cell r="D9413">
            <v>0</v>
          </cell>
          <cell r="E9413">
            <v>59.24</v>
          </cell>
          <cell r="F9413">
            <v>59.24</v>
          </cell>
        </row>
        <row r="9414">
          <cell r="A9414" t="str">
            <v>423131</v>
          </cell>
          <cell r="B9414" t="str">
            <v xml:space="preserve">Lâmpada fluorescente compacta integrada, soquete E-27, tipo twister high lumen, ref. TWIST65W220V865, temperatura cor 6.500K (luz clara), 65W, 220V, fab. PHILIPS ou similar </v>
          </cell>
          <cell r="C9414" t="str">
            <v>ud</v>
          </cell>
          <cell r="D9414">
            <v>0</v>
          </cell>
          <cell r="E9414">
            <v>49.25</v>
          </cell>
          <cell r="F9414">
            <v>49.25</v>
          </cell>
        </row>
        <row r="9415">
          <cell r="A9415" t="str">
            <v>423132</v>
          </cell>
          <cell r="B9415" t="str">
            <v xml:space="preserve">Lâmpada fluorescente compacta integrada, soquete E-27, tipo twister high lumen, ref. TWIST80W127V865, temperatura cor 6.500K (luz clara), 80W, 127V, fab. PHILIPS ou similar </v>
          </cell>
          <cell r="C9415" t="str">
            <v>ud</v>
          </cell>
          <cell r="D9415">
            <v>0</v>
          </cell>
          <cell r="E9415">
            <v>99.25</v>
          </cell>
          <cell r="F9415">
            <v>99.25</v>
          </cell>
        </row>
        <row r="9416">
          <cell r="A9416" t="str">
            <v>423133</v>
          </cell>
          <cell r="B9416" t="str">
            <v xml:space="preserve">Lâmpada fluorescente compacta integrada, soquete E-27, tipo twister high lumen, ref. TWIST80W220V865, temperatura cor 6.500K (luz clara), 80W, 220V, fab. PHILIPS ou similar </v>
          </cell>
          <cell r="C9416" t="str">
            <v>ud</v>
          </cell>
          <cell r="D9416">
            <v>0</v>
          </cell>
          <cell r="E9416">
            <v>99.25</v>
          </cell>
          <cell r="F9416">
            <v>99.25</v>
          </cell>
        </row>
        <row r="9417">
          <cell r="A9417" t="str">
            <v>423134</v>
          </cell>
          <cell r="B9417" t="str">
            <v>Plugue 2P+T padrão brasileiro 20A, 250V, ref. 6158 53 (preto), fab. PIAL ou similar (291649)</v>
          </cell>
          <cell r="C9417" t="str">
            <v>ud</v>
          </cell>
          <cell r="D9417">
            <v>0</v>
          </cell>
          <cell r="E9417">
            <v>17.22</v>
          </cell>
          <cell r="F9417">
            <v>17.22</v>
          </cell>
        </row>
        <row r="9418">
          <cell r="A9418" t="str">
            <v>423135</v>
          </cell>
          <cell r="B9418" t="str">
            <v>Tomada de embutir, 20A, 250 V, 2P+T padrão brasileiro, ref. 0543 33, sem placa, fab. PIAL ou similar</v>
          </cell>
          <cell r="C9418" t="str">
            <v>ud</v>
          </cell>
          <cell r="D9418">
            <v>0</v>
          </cell>
          <cell r="E9418">
            <v>16.420000000000002</v>
          </cell>
          <cell r="F9418">
            <v>16.420000000000002</v>
          </cell>
        </row>
        <row r="9419">
          <cell r="A9419" t="str">
            <v>423136</v>
          </cell>
          <cell r="B9419" t="str">
            <v>Tomada sobrepor, uso ao tempo, a prova d'água, IP67, 16A, 220-240V, 3 pólos, ref. S3006W, fab. STECK ou similar</v>
          </cell>
          <cell r="C9419" t="str">
            <v>ud</v>
          </cell>
          <cell r="D9419">
            <v>0</v>
          </cell>
          <cell r="E9419">
            <v>104.45</v>
          </cell>
          <cell r="F9419">
            <v>104.45</v>
          </cell>
        </row>
        <row r="9420">
          <cell r="A9420" t="str">
            <v>423137</v>
          </cell>
          <cell r="B9420" t="str">
            <v>Tomada sobrepor, uso ao tempo, a prova d'água, IP67, 16A, 380-440V, 3 pólos, ref. S3009W, fab. STECK ou similar</v>
          </cell>
          <cell r="C9420" t="str">
            <v>ud</v>
          </cell>
          <cell r="D9420">
            <v>0</v>
          </cell>
          <cell r="E9420">
            <v>104.45</v>
          </cell>
          <cell r="F9420">
            <v>104.45</v>
          </cell>
        </row>
        <row r="9421">
          <cell r="A9421" t="str">
            <v>423138</v>
          </cell>
          <cell r="B9421" t="str">
            <v>Tomada sobrepor, uso ao tempo, a prova d'água, IP67, 16A, 220-240V, 4 pólos, ref. S4009W, fab. STECK ou similar</v>
          </cell>
          <cell r="C9421" t="str">
            <v>ud</v>
          </cell>
          <cell r="D9421">
            <v>0</v>
          </cell>
          <cell r="E9421">
            <v>105.17</v>
          </cell>
          <cell r="F9421">
            <v>105.17</v>
          </cell>
        </row>
        <row r="9422">
          <cell r="A9422" t="str">
            <v>423139</v>
          </cell>
          <cell r="B9422" t="str">
            <v>Tomada sobrepor, uso ao tempo, a prova d'água, IP67, 16A, 380-440V, 4 pólos, ref. S4006W, fab. STECK ou similar</v>
          </cell>
          <cell r="C9422" t="str">
            <v>ud</v>
          </cell>
          <cell r="D9422">
            <v>0</v>
          </cell>
          <cell r="E9422">
            <v>105.17</v>
          </cell>
          <cell r="F9422">
            <v>105.17</v>
          </cell>
        </row>
        <row r="9423">
          <cell r="A9423" t="str">
            <v>423140</v>
          </cell>
          <cell r="B9423" t="str">
            <v>Tomada sobrepor, uso ao tempo, a prova d'água, IP67, 32A, 220-240V, 3 pólos, ref. S3206W, fab. STECK ou similar</v>
          </cell>
          <cell r="C9423" t="str">
            <v>ud</v>
          </cell>
          <cell r="D9423">
            <v>0</v>
          </cell>
          <cell r="E9423">
            <v>157.41</v>
          </cell>
          <cell r="F9423">
            <v>157.41</v>
          </cell>
        </row>
        <row r="9424">
          <cell r="A9424" t="str">
            <v>423141</v>
          </cell>
          <cell r="B9424" t="str">
            <v>Tomada sobrepor, uso ao tempo, a prova d'água, IP67, 32A, 380-440V, 3 pólos, ref. S3209W, fab. STECK ou similar (297207)</v>
          </cell>
          <cell r="C9424" t="str">
            <v>ud</v>
          </cell>
          <cell r="D9424">
            <v>0</v>
          </cell>
          <cell r="E9424">
            <v>157.41</v>
          </cell>
          <cell r="F9424">
            <v>157.41</v>
          </cell>
        </row>
        <row r="9425">
          <cell r="A9425" t="str">
            <v>423142</v>
          </cell>
          <cell r="B9425" t="str">
            <v>Tomada sobrepor, uso ao tempo, a prova d'água, IP67, 32A, 220-240V, 4 pólos, ref. S4209W, fab. STECK ou similar</v>
          </cell>
          <cell r="C9425" t="str">
            <v>ud</v>
          </cell>
          <cell r="D9425">
            <v>0</v>
          </cell>
          <cell r="E9425">
            <v>126</v>
          </cell>
          <cell r="F9425">
            <v>126</v>
          </cell>
        </row>
        <row r="9426">
          <cell r="A9426" t="str">
            <v>423143</v>
          </cell>
          <cell r="B9426" t="str">
            <v>Tomada sobrepor, uso ao tempo, a prova d'água, IP67, 32A, 380-440V, 4 pólos, ref. S4206W, fab. STECK ou similar</v>
          </cell>
          <cell r="C9426" t="str">
            <v>ud</v>
          </cell>
          <cell r="D9426">
            <v>0</v>
          </cell>
          <cell r="E9426">
            <v>126</v>
          </cell>
          <cell r="F9426">
            <v>126</v>
          </cell>
        </row>
        <row r="9427">
          <cell r="A9427" t="str">
            <v>423144</v>
          </cell>
          <cell r="B9427" t="str">
            <v>Tomada sobrepor, uso ao tempo, a prova d'água, IP67, 63A, 220-240V, 4 pólos, ref. S4509W, fab. STECK ou similar</v>
          </cell>
          <cell r="C9427" t="str">
            <v>ud</v>
          </cell>
          <cell r="D9427">
            <v>0</v>
          </cell>
          <cell r="E9427">
            <v>370.34</v>
          </cell>
          <cell r="F9427">
            <v>370.34</v>
          </cell>
        </row>
        <row r="9428">
          <cell r="A9428" t="str">
            <v>423145</v>
          </cell>
          <cell r="B9428" t="str">
            <v>Tomada sobrepor, uso ao tempo, a prova d'água, IP67, 63A, 380-440V, 4 pólos, ref. S4506W, fab. STECK ou similar</v>
          </cell>
          <cell r="C9428" t="str">
            <v>ud</v>
          </cell>
          <cell r="D9428">
            <v>0</v>
          </cell>
          <cell r="E9428">
            <v>370.34</v>
          </cell>
          <cell r="F9428">
            <v>370.34</v>
          </cell>
        </row>
        <row r="9429">
          <cell r="A9429" t="str">
            <v>423146</v>
          </cell>
          <cell r="B9429" t="str">
            <v xml:space="preserve">Caixa de Passagem em termo-plástico 100x100x100, para montagem de equipamentos elétricos, mod. S-308, fab. STECK </v>
          </cell>
          <cell r="C9429" t="str">
            <v>ud</v>
          </cell>
          <cell r="D9429">
            <v>0</v>
          </cell>
          <cell r="E9429">
            <v>40.35</v>
          </cell>
          <cell r="F9429">
            <v>40.35</v>
          </cell>
        </row>
        <row r="9430">
          <cell r="A9430" t="str">
            <v>423147</v>
          </cell>
          <cell r="B9430" t="str">
            <v xml:space="preserve">Caixa de Passagem em termoplástico 474x396x190,  IP 56, modelo ST.44.221/N, opaca alta,  fab. STECK </v>
          </cell>
          <cell r="C9430" t="str">
            <v>ud</v>
          </cell>
          <cell r="D9430">
            <v>0</v>
          </cell>
          <cell r="E9430">
            <v>146.72</v>
          </cell>
          <cell r="F9430">
            <v>146.72</v>
          </cell>
        </row>
        <row r="9431">
          <cell r="A9431" t="str">
            <v>423148</v>
          </cell>
          <cell r="B9431" t="str">
            <v>Lampada LED 10W, 127V-240V, 806L, E-27, 6500K, tipo Bulbo, fab. Philips ou similar</v>
          </cell>
          <cell r="C9431" t="str">
            <v>ud</v>
          </cell>
          <cell r="D9431">
            <v>0</v>
          </cell>
          <cell r="E9431">
            <v>28.99</v>
          </cell>
          <cell r="F9431">
            <v>28.99</v>
          </cell>
        </row>
        <row r="9432">
          <cell r="A9432" t="str">
            <v>423149</v>
          </cell>
          <cell r="B9432" t="str">
            <v>Lampada LED 17W, 127V-240V, 2000L, E-27, 6500K, tipo Bulbo, fab. Philips ou similar</v>
          </cell>
          <cell r="C9432" t="str">
            <v>ud</v>
          </cell>
          <cell r="D9432">
            <v>0</v>
          </cell>
          <cell r="E9432">
            <v>53.4</v>
          </cell>
          <cell r="F9432">
            <v>53.4</v>
          </cell>
        </row>
        <row r="9433">
          <cell r="A9433" t="str">
            <v>423150</v>
          </cell>
          <cell r="B9433" t="str">
            <v>Lampada LED 25W,127V-240V, 2500L, E-27, 6500K, tipo Bulbo, fab. Philips ou similar</v>
          </cell>
          <cell r="C9433" t="str">
            <v>ud</v>
          </cell>
          <cell r="D9433">
            <v>0</v>
          </cell>
          <cell r="E9433">
            <v>54.99</v>
          </cell>
          <cell r="F9433">
            <v>54.99</v>
          </cell>
        </row>
        <row r="9434">
          <cell r="A9434" t="str">
            <v>423151</v>
          </cell>
          <cell r="B9434" t="str">
            <v>Lampada LED 45W, 127V-240V, 5000L, E-27, 6500K, tipo Bulbo, fab. Philips ou similar</v>
          </cell>
          <cell r="C9434" t="str">
            <v>ud</v>
          </cell>
          <cell r="D9434">
            <v>0</v>
          </cell>
          <cell r="E9434">
            <v>139.32</v>
          </cell>
          <cell r="F9434">
            <v>139.32</v>
          </cell>
        </row>
        <row r="9435">
          <cell r="A9435" t="str">
            <v>423152</v>
          </cell>
          <cell r="B9435" t="str">
            <v>Lampada LED 65W, 127V-240V, 5000L, E-27, 6500K, tipo Bulbo, fab. Philips ou similar</v>
          </cell>
          <cell r="C9435" t="str">
            <v>ud</v>
          </cell>
          <cell r="D9435">
            <v>0</v>
          </cell>
          <cell r="E9435">
            <v>296.60000000000002</v>
          </cell>
          <cell r="F9435">
            <v>296.60000000000002</v>
          </cell>
        </row>
        <row r="9436">
          <cell r="A9436" t="str">
            <v>4232</v>
          </cell>
          <cell r="B9436" t="str">
            <v>ILUMINAÇÃO EXTERNA E ACESSÓRIOS</v>
          </cell>
          <cell r="C9436">
            <v>0</v>
          </cell>
          <cell r="D9436">
            <v>0</v>
          </cell>
          <cell r="E9436">
            <v>0</v>
          </cell>
          <cell r="F9436">
            <v>0</v>
          </cell>
        </row>
        <row r="9437">
          <cell r="A9437" t="str">
            <v>423201</v>
          </cell>
          <cell r="B9437" t="str">
            <v>Anel guia galvanizado, tipo AGS-2, ref. MULTITOC ou similar</v>
          </cell>
          <cell r="C9437" t="str">
            <v>ud</v>
          </cell>
          <cell r="D9437">
            <v>0</v>
          </cell>
          <cell r="E9437">
            <v>2.12</v>
          </cell>
          <cell r="F9437">
            <v>2.12</v>
          </cell>
        </row>
        <row r="9438">
          <cell r="A9438" t="str">
            <v>423202</v>
          </cell>
          <cell r="B9438" t="str">
            <v>Anel protetor, ref. DT41160, fab. DUTOTEC ou similar</v>
          </cell>
          <cell r="C9438" t="str">
            <v>ud</v>
          </cell>
          <cell r="D9438">
            <v>0</v>
          </cell>
          <cell r="E9438">
            <v>2.0699999999999998</v>
          </cell>
          <cell r="F9438">
            <v>2.0699999999999998</v>
          </cell>
        </row>
        <row r="9439">
          <cell r="A9439" t="str">
            <v>423203</v>
          </cell>
          <cell r="B9439" t="str">
            <v>Arame de aço galvanizado, ref. GERDAU ou similar nas bitola 12 BWG (67059)</v>
          </cell>
          <cell r="C9439" t="str">
            <v>kg</v>
          </cell>
          <cell r="D9439">
            <v>0</v>
          </cell>
          <cell r="E9439">
            <v>11.52</v>
          </cell>
          <cell r="F9439">
            <v>11.52</v>
          </cell>
          <cell r="G9439">
            <v>342</v>
          </cell>
        </row>
        <row r="9440">
          <cell r="A9440" t="str">
            <v>423204</v>
          </cell>
          <cell r="B9440" t="str">
            <v>Arame de aço galvanizado, ref. GERDAU ou similar nas bitola 14 BWG</v>
          </cell>
          <cell r="C9440" t="str">
            <v>kg</v>
          </cell>
          <cell r="D9440">
            <v>0</v>
          </cell>
          <cell r="E9440">
            <v>11.79</v>
          </cell>
          <cell r="F9440">
            <v>11.79</v>
          </cell>
          <cell r="G9440">
            <v>333</v>
          </cell>
        </row>
        <row r="9441">
          <cell r="A9441" t="str">
            <v>423205</v>
          </cell>
          <cell r="B9441" t="str">
            <v>Arame de aço galvanizado, ref. GERDAU ou similar nas bitola 16 BWG (282324)</v>
          </cell>
          <cell r="C9441" t="str">
            <v>kg</v>
          </cell>
          <cell r="D9441">
            <v>0</v>
          </cell>
          <cell r="E9441">
            <v>12.75</v>
          </cell>
          <cell r="F9441">
            <v>12.75</v>
          </cell>
          <cell r="G9441">
            <v>344</v>
          </cell>
        </row>
        <row r="9442">
          <cell r="A9442" t="str">
            <v>423206</v>
          </cell>
          <cell r="B9442" t="str">
            <v>Arame de aço galvanizado, recoberto com polietileno, bitola 18 AWG, para espinar, fab. ARJ Company ou similar</v>
          </cell>
          <cell r="C9442" t="str">
            <v>kg</v>
          </cell>
          <cell r="D9442">
            <v>0</v>
          </cell>
          <cell r="E9442">
            <v>18.98</v>
          </cell>
          <cell r="F9442">
            <v>18.98</v>
          </cell>
        </row>
        <row r="9443">
          <cell r="A9443" t="str">
            <v>423207</v>
          </cell>
          <cell r="B9443" t="str">
            <v>Bateria automotiva, selada, 12V, livre de manutenção, 47A/h, fab. AC DELCO ou similar</v>
          </cell>
          <cell r="C9443" t="str">
            <v>ud</v>
          </cell>
          <cell r="D9443">
            <v>0</v>
          </cell>
          <cell r="E9443">
            <v>425</v>
          </cell>
          <cell r="F9443">
            <v>425</v>
          </cell>
        </row>
        <row r="9444">
          <cell r="A9444" t="str">
            <v>423208</v>
          </cell>
          <cell r="B9444" t="str">
            <v>Braço para Luminária BR-1, fab. ROMAGNOLE ou similar, dimensões 25x1,9x1000mm (299093)</v>
          </cell>
          <cell r="C9444" t="str">
            <v>ud</v>
          </cell>
          <cell r="D9444">
            <v>0</v>
          </cell>
          <cell r="E9444">
            <v>27.8</v>
          </cell>
          <cell r="F9444">
            <v>27.8</v>
          </cell>
        </row>
        <row r="9445">
          <cell r="A9445" t="str">
            <v>423209</v>
          </cell>
          <cell r="B9445" t="str">
            <v>Braço para Luminária BR-1, fab. ROMAGNOLE ou similar, dimensões 25x1,9x1500mm (299094)</v>
          </cell>
          <cell r="C9445" t="str">
            <v>ud</v>
          </cell>
          <cell r="D9445">
            <v>0</v>
          </cell>
          <cell r="E9445">
            <v>34.880000000000003</v>
          </cell>
          <cell r="F9445">
            <v>34.880000000000003</v>
          </cell>
        </row>
        <row r="9446">
          <cell r="A9446" t="str">
            <v>423210</v>
          </cell>
          <cell r="B9446" t="str">
            <v>Braço para Luminária BR-2, fab. ROMAGNOLE ou similar, dimensões 48x3x2000mm</v>
          </cell>
          <cell r="C9446" t="str">
            <v>ud</v>
          </cell>
          <cell r="D9446">
            <v>0</v>
          </cell>
          <cell r="E9446">
            <v>109.68</v>
          </cell>
          <cell r="F9446">
            <v>109.68</v>
          </cell>
        </row>
        <row r="9447">
          <cell r="A9447" t="str">
            <v>423211</v>
          </cell>
          <cell r="B9447" t="str">
            <v>Braço para Luminária BR-2, fab. ROMAGNOLE ou similar, dimensões 48x3x2500mm</v>
          </cell>
          <cell r="C9447" t="str">
            <v>ud</v>
          </cell>
          <cell r="D9447">
            <v>0</v>
          </cell>
          <cell r="E9447">
            <v>124.46</v>
          </cell>
          <cell r="F9447">
            <v>124.46</v>
          </cell>
        </row>
        <row r="9448">
          <cell r="A9448" t="str">
            <v>423212</v>
          </cell>
          <cell r="B9448" t="str">
            <v>Braço para Luminária BR-3, fab. ROMAGNOLE ou similar, dimensões 48x3x4000mm</v>
          </cell>
          <cell r="C9448" t="str">
            <v>ud</v>
          </cell>
          <cell r="D9448">
            <v>0</v>
          </cell>
          <cell r="E9448">
            <v>188.14</v>
          </cell>
          <cell r="F9448">
            <v>188.14</v>
          </cell>
        </row>
        <row r="9449">
          <cell r="A9449" t="str">
            <v>423213</v>
          </cell>
          <cell r="B9449" t="str">
            <v>Fecho para fita de aço inoxidável, 1/2", fab. FUSIMEC ou similar (292301)</v>
          </cell>
          <cell r="C9449" t="str">
            <v>ud</v>
          </cell>
          <cell r="D9449">
            <v>0</v>
          </cell>
          <cell r="E9449">
            <v>0.6</v>
          </cell>
          <cell r="F9449">
            <v>0.6</v>
          </cell>
        </row>
        <row r="9450">
          <cell r="A9450" t="str">
            <v>423214</v>
          </cell>
          <cell r="B9450" t="str">
            <v xml:space="preserve">Fita de aço inoxidável, largura 1/2" carga mínima de ruptura 200 kgf, fab. FUSIMEC ou similar </v>
          </cell>
          <cell r="C9450" t="str">
            <v>m</v>
          </cell>
          <cell r="D9450">
            <v>0</v>
          </cell>
          <cell r="E9450">
            <v>1.23</v>
          </cell>
          <cell r="F9450">
            <v>1.23</v>
          </cell>
        </row>
        <row r="9451">
          <cell r="A9451" t="str">
            <v>423215</v>
          </cell>
          <cell r="B9451" t="str">
            <v>Fita de borracha de alta tensão 23BR, autofusão, largura 19mm, rolo 10m, fab. SCOTCH(3M) ou similar (46671)</v>
          </cell>
          <cell r="C9451" t="str">
            <v>ud</v>
          </cell>
          <cell r="D9451">
            <v>0</v>
          </cell>
          <cell r="E9451">
            <v>1.0900000000000001</v>
          </cell>
          <cell r="F9451">
            <v>1.0900000000000001</v>
          </cell>
          <cell r="G9451" t="str">
            <v>404</v>
          </cell>
        </row>
        <row r="9452">
          <cell r="A9452" t="str">
            <v>423216</v>
          </cell>
          <cell r="B9452" t="str">
            <v>Fita plástica isolante, largura 19mm, em rolos de 20m de comprimento, fab. 3M ou similar (46698)</v>
          </cell>
          <cell r="C9452" t="str">
            <v>ud</v>
          </cell>
          <cell r="D9452">
            <v>0</v>
          </cell>
          <cell r="E9452">
            <v>8</v>
          </cell>
          <cell r="F9452">
            <v>8</v>
          </cell>
          <cell r="G9452">
            <v>20111</v>
          </cell>
        </row>
        <row r="9453">
          <cell r="A9453" t="str">
            <v>423217</v>
          </cell>
          <cell r="B9453" t="str">
            <v>Fita plástica isolante, largura 18mm, em rolos de 10m, fab. SCOTCH (3M) ou similar, cores Amarela (46680)</v>
          </cell>
          <cell r="C9453" t="str">
            <v>ud</v>
          </cell>
          <cell r="D9453">
            <v>0</v>
          </cell>
          <cell r="E9453">
            <v>2.7</v>
          </cell>
          <cell r="F9453">
            <v>2.7</v>
          </cell>
        </row>
        <row r="9454">
          <cell r="A9454" t="str">
            <v>423218</v>
          </cell>
          <cell r="B9454" t="str">
            <v>Fita plástica isolante, largura 18mm, em rolos de 10m, fab. SCOTCH (3M) ou similar, cores Branca (93734)</v>
          </cell>
          <cell r="C9454" t="str">
            <v>ud</v>
          </cell>
          <cell r="D9454">
            <v>0</v>
          </cell>
          <cell r="E9454">
            <v>2.7</v>
          </cell>
          <cell r="F9454">
            <v>2.7</v>
          </cell>
        </row>
        <row r="9455">
          <cell r="A9455" t="str">
            <v>423219</v>
          </cell>
          <cell r="B9455" t="str">
            <v>Fita plástica isolante, largura 18mm, em rolos de 10m, fab. SCOTCH (3M) ou similar, cores Vermelha (46710)</v>
          </cell>
          <cell r="C9455" t="str">
            <v>ud</v>
          </cell>
          <cell r="D9455">
            <v>0</v>
          </cell>
          <cell r="E9455">
            <v>2.7</v>
          </cell>
          <cell r="F9455">
            <v>2.7</v>
          </cell>
        </row>
        <row r="9456">
          <cell r="A9456" t="str">
            <v>423220</v>
          </cell>
          <cell r="B9456" t="str">
            <v>Fita plástica isolante, largura 18mm, em rolos de 10m, fab. SCOTCH (3M) ou similar, cores Verde (46701)</v>
          </cell>
          <cell r="C9456" t="str">
            <v>ud</v>
          </cell>
          <cell r="D9456">
            <v>0</v>
          </cell>
          <cell r="E9456">
            <v>2.7</v>
          </cell>
          <cell r="F9456">
            <v>2.7</v>
          </cell>
        </row>
        <row r="9457">
          <cell r="A9457" t="str">
            <v>423221</v>
          </cell>
          <cell r="B9457" t="str">
            <v>Filtro de linha com 6 tomadas, fab. CLONE ou similar (282342)</v>
          </cell>
          <cell r="C9457" t="str">
            <v>ud</v>
          </cell>
          <cell r="D9457">
            <v>0</v>
          </cell>
          <cell r="E9457">
            <v>34.5</v>
          </cell>
          <cell r="F9457">
            <v>34.5</v>
          </cell>
        </row>
        <row r="9458">
          <cell r="A9458" t="str">
            <v>423222</v>
          </cell>
          <cell r="B9458" t="str">
            <v>Grade de proteção para projetor, confeccionado em chapa moeda de aço inox, com aro em chapa de aço inox ou alumínio</v>
          </cell>
          <cell r="C9458" t="str">
            <v>ud</v>
          </cell>
          <cell r="D9458">
            <v>0</v>
          </cell>
          <cell r="E9458">
            <v>40.83</v>
          </cell>
          <cell r="F9458">
            <v>40.83</v>
          </cell>
        </row>
        <row r="9459">
          <cell r="A9459" t="str">
            <v>423223</v>
          </cell>
          <cell r="B9459" t="str">
            <v>Luminária tipo globo de vidro leitoso, refrator  para alta temperatura, base em liga de alumínio fundido c/alojamento para reator, cor preto, encaixe Ø 48,5mm, para uma lâmpada luz mista 160W, base E-27, tipo ZE-160, fab. REEME ou similar</v>
          </cell>
          <cell r="C9459" t="str">
            <v>ud</v>
          </cell>
          <cell r="D9459">
            <v>0</v>
          </cell>
          <cell r="E9459">
            <v>172.22</v>
          </cell>
          <cell r="F9459">
            <v>172.22</v>
          </cell>
        </row>
        <row r="9460">
          <cell r="A9460" t="str">
            <v>423224</v>
          </cell>
          <cell r="B9460" t="str">
            <v>Luminária com refrator prismático em vidro boro-silicato ou policarbonato, corpo em chapa de alumínio, p/1 lâmpada vapor de mercúrio 400W, instalação em poste curvo, encaixe para tubo de Ø 48,3mm, ref. ZE-130 fab. REEME ou similar</v>
          </cell>
          <cell r="C9460" t="str">
            <v>ud</v>
          </cell>
          <cell r="D9460">
            <v>0</v>
          </cell>
          <cell r="E9460">
            <v>184.92</v>
          </cell>
          <cell r="F9460">
            <v>184.92</v>
          </cell>
        </row>
        <row r="9461">
          <cell r="A9461" t="str">
            <v>423225</v>
          </cell>
          <cell r="B9461" t="str">
            <v xml:space="preserve">Luminária para iluminação pública, com alojamento para equipamentos auxiliares, para uma lâmpada vapor de sódio 250/400W, para instalação em poste curvo, base ø60,3mm, ref. ZE-163, fab. REEME ou similar </v>
          </cell>
          <cell r="C9461" t="str">
            <v>ud</v>
          </cell>
          <cell r="D9461">
            <v>0</v>
          </cell>
          <cell r="E9461">
            <v>545.54</v>
          </cell>
          <cell r="F9461">
            <v>545.54</v>
          </cell>
        </row>
        <row r="9462">
          <cell r="A9462" t="str">
            <v>423226</v>
          </cell>
          <cell r="B9462" t="str">
            <v>Lâmpada de luz mista 160W, 220V, base E27, fab. PHILIPS ou similar (47490)</v>
          </cell>
          <cell r="C9462" t="str">
            <v>ud</v>
          </cell>
          <cell r="D9462">
            <v>0</v>
          </cell>
          <cell r="E9462">
            <v>18.78</v>
          </cell>
          <cell r="F9462">
            <v>18.78</v>
          </cell>
          <cell r="G9462">
            <v>3755</v>
          </cell>
        </row>
        <row r="9463">
          <cell r="A9463" t="str">
            <v>423228</v>
          </cell>
          <cell r="B9463" t="str">
            <v>Lâmpada de luz mista 250W, 220V, base E40, fab. PHILIPS ou similar (179639)</v>
          </cell>
          <cell r="C9463" t="str">
            <v>ud</v>
          </cell>
          <cell r="D9463">
            <v>0</v>
          </cell>
          <cell r="E9463">
            <v>35.5</v>
          </cell>
          <cell r="F9463">
            <v>35.5</v>
          </cell>
        </row>
        <row r="9464">
          <cell r="A9464" t="str">
            <v>423229</v>
          </cell>
          <cell r="B9464" t="str">
            <v>Lâmpada vapor de mercúrio 250W, base E40, tipo HPL/N-250W, fab. PHILIPS ou similar  (47686)</v>
          </cell>
          <cell r="C9464" t="str">
            <v>ud</v>
          </cell>
          <cell r="D9464">
            <v>0</v>
          </cell>
          <cell r="E9464">
            <v>38.32</v>
          </cell>
          <cell r="F9464">
            <v>38.32</v>
          </cell>
        </row>
        <row r="9465">
          <cell r="A9465" t="str">
            <v>423230</v>
          </cell>
          <cell r="B9465" t="str">
            <v>Lâmpada vapor de mercúrio 400W, base E40, tipo HPL/N-400W, fab. PHILIPS ou similar (47694)</v>
          </cell>
          <cell r="C9465" t="str">
            <v>ud</v>
          </cell>
          <cell r="D9465">
            <v>0</v>
          </cell>
          <cell r="E9465">
            <v>63.25</v>
          </cell>
          <cell r="F9465">
            <v>63.25</v>
          </cell>
        </row>
        <row r="9466">
          <cell r="A9466" t="str">
            <v>423231</v>
          </cell>
          <cell r="B9466" t="str">
            <v>Lâmpada vapor de sódio 70W, base E27, ovóide, tipo SON-70W-E, fab. PHILIPS ou similar (131253)</v>
          </cell>
          <cell r="C9466" t="str">
            <v>ud</v>
          </cell>
          <cell r="D9466">
            <v>0</v>
          </cell>
          <cell r="E9466">
            <v>28.81</v>
          </cell>
          <cell r="F9466">
            <v>28.81</v>
          </cell>
        </row>
        <row r="9467">
          <cell r="A9467" t="str">
            <v>423232</v>
          </cell>
          <cell r="B9467" t="str">
            <v xml:space="preserve">Lâmpada vapor de sódio 100W, base E40, ovóide, tipo SON-100W-E, fab. PHILIPS ou similar </v>
          </cell>
          <cell r="C9467" t="str">
            <v>ud</v>
          </cell>
          <cell r="D9467">
            <v>0</v>
          </cell>
          <cell r="E9467">
            <v>49.03</v>
          </cell>
          <cell r="F9467">
            <v>49.03</v>
          </cell>
        </row>
        <row r="9468">
          <cell r="A9468" t="str">
            <v>423233</v>
          </cell>
          <cell r="B9468" t="str">
            <v>Lâmpada vapor de sódio 150W, base E40, ovóide, tipo SON-150W-E, fab. PHILIPS ou similar (295562)</v>
          </cell>
          <cell r="C9468" t="str">
            <v>ud</v>
          </cell>
          <cell r="D9468">
            <v>0</v>
          </cell>
          <cell r="E9468">
            <v>44.3</v>
          </cell>
          <cell r="F9468">
            <v>44.3</v>
          </cell>
        </row>
        <row r="9469">
          <cell r="A9469" t="str">
            <v>423234</v>
          </cell>
          <cell r="B9469" t="str">
            <v>Lâmpada vapor de sódio 250W, base E40, ovóide, tipo SON-250W-E, fab. PHILIPS ou similar (280674)</v>
          </cell>
          <cell r="C9469" t="str">
            <v>ud</v>
          </cell>
          <cell r="D9469">
            <v>0</v>
          </cell>
          <cell r="E9469">
            <v>52.26</v>
          </cell>
          <cell r="F9469">
            <v>52.26</v>
          </cell>
        </row>
        <row r="9470">
          <cell r="A9470" t="str">
            <v>423235</v>
          </cell>
          <cell r="B9470" t="str">
            <v xml:space="preserve">Lâmpada vapor de sódio 400W, base E40, ovóide, tipo SON-400W-E, fab. PHILIPS ou similar </v>
          </cell>
          <cell r="C9470" t="str">
            <v>ud</v>
          </cell>
          <cell r="D9470">
            <v>0</v>
          </cell>
          <cell r="E9470">
            <v>74.47</v>
          </cell>
          <cell r="F9470">
            <v>74.47</v>
          </cell>
        </row>
        <row r="9471">
          <cell r="A9471" t="str">
            <v>423236</v>
          </cell>
          <cell r="B9471" t="str">
            <v xml:space="preserve">Projetor p/ lâmpada mista, V. mercurio, V. sódio, V. metálico até 400 W, em AL fundido, com aletas, lente plana, aro e junta de vedação, esmaltado na cor cinza martelado, soquete E40, 440x315x355mm, ref. MA-318, fab. REEME ou similar </v>
          </cell>
          <cell r="C9471" t="str">
            <v>ud</v>
          </cell>
          <cell r="D9471">
            <v>0</v>
          </cell>
          <cell r="E9471">
            <v>328.01</v>
          </cell>
          <cell r="F9471">
            <v>328.01</v>
          </cell>
        </row>
        <row r="9472">
          <cell r="A9472" t="str">
            <v>423237</v>
          </cell>
          <cell r="B9472" t="str">
            <v xml:space="preserve">Projetor p/ lâmpada mista, V. mercurio, V. sódio, V. metálico até 400 W, em alumínio, lente plana temperada, fixada c/parafuso e junta vedadora,  esmaltado na cor cinza martelado, soquete E40, 409x253x330mm, ref. MA-331, fab. REEME ou similar </v>
          </cell>
          <cell r="C9472" t="str">
            <v>ud</v>
          </cell>
          <cell r="D9472">
            <v>0</v>
          </cell>
          <cell r="E9472">
            <v>190.16</v>
          </cell>
          <cell r="F9472">
            <v>190.16</v>
          </cell>
        </row>
        <row r="9473">
          <cell r="A9473" t="str">
            <v>423238</v>
          </cell>
          <cell r="B9473" t="str">
            <v>Projetor para lâmpada mista 160 W, em chapa de alumínio, soquete E27, ref. MA-331, fab. REEME ou similar</v>
          </cell>
          <cell r="C9473" t="str">
            <v>ud</v>
          </cell>
          <cell r="D9473">
            <v>0</v>
          </cell>
          <cell r="E9473">
            <v>190.16</v>
          </cell>
          <cell r="F9473">
            <v>190.16</v>
          </cell>
        </row>
        <row r="9474">
          <cell r="A9474" t="str">
            <v>423239</v>
          </cell>
          <cell r="B9474" t="str">
            <v>Projetor para lâmpada mista até 250 W, em alumínio fundido, soquete E27, ref. MA-318, fab. REEME ou similar</v>
          </cell>
          <cell r="C9474" t="str">
            <v>ud</v>
          </cell>
          <cell r="D9474">
            <v>0</v>
          </cell>
          <cell r="E9474">
            <v>328.01</v>
          </cell>
          <cell r="F9474">
            <v>328.01</v>
          </cell>
        </row>
        <row r="9475">
          <cell r="A9475" t="str">
            <v>423240</v>
          </cell>
          <cell r="B9475" t="str">
            <v xml:space="preserve">Projetor para lâmpada vapor de sódio até 250 W, em alumínio fundido, soquete E40, ref. MA-331, fab. REEME ou similar (291767) </v>
          </cell>
          <cell r="C9475" t="str">
            <v>ud</v>
          </cell>
          <cell r="D9475">
            <v>0</v>
          </cell>
          <cell r="E9475">
            <v>190.16</v>
          </cell>
          <cell r="F9475">
            <v>190.16</v>
          </cell>
        </row>
        <row r="9476">
          <cell r="A9476" t="str">
            <v>423241</v>
          </cell>
          <cell r="B9476" t="str">
            <v>Projetor para lâmpada vapor de sódio até 400 W, em chapa de alumínio, soquete E40, ref. ILR-2-EST, fab. ILUMATIC ou similar (286206)</v>
          </cell>
          <cell r="C9476" t="str">
            <v>ud</v>
          </cell>
          <cell r="D9476">
            <v>0</v>
          </cell>
          <cell r="E9476">
            <v>126.81</v>
          </cell>
          <cell r="F9476">
            <v>126.81</v>
          </cell>
        </row>
        <row r="9477">
          <cell r="A9477" t="str">
            <v>423242</v>
          </cell>
          <cell r="B9477" t="str">
            <v xml:space="preserve">Projetor para lâmpada vapor de sódio até 250 W, em chapa de alumínio, com alojamento para equipamentos auxiliares, soquete E40, ref. MA-331/2, fab. REEME ou similar </v>
          </cell>
          <cell r="C9477" t="str">
            <v>ud</v>
          </cell>
          <cell r="D9477">
            <v>0</v>
          </cell>
          <cell r="E9477">
            <v>260.83999999999997</v>
          </cell>
          <cell r="F9477">
            <v>260.83999999999997</v>
          </cell>
        </row>
        <row r="9478">
          <cell r="A9478" t="str">
            <v>423243</v>
          </cell>
          <cell r="B9478" t="str">
            <v>Projetor para lâmpada vapor de sódio até 250 W, c/alojamento para equipamentos auxiliares em AL, refletor em AL de alto brilho, lente em vidro temperado, soquete E40, pintura eletrostática cor preta, ref. ILR-4010, fab. ILUMATIC ou similar</v>
          </cell>
          <cell r="C9478" t="str">
            <v>ud</v>
          </cell>
          <cell r="D9478">
            <v>0</v>
          </cell>
          <cell r="E9478">
            <v>239.22</v>
          </cell>
          <cell r="F9478">
            <v>239.22</v>
          </cell>
        </row>
        <row r="9479">
          <cell r="A9479" t="str">
            <v>423244</v>
          </cell>
          <cell r="B9479" t="str">
            <v>Reator externo galvanizado para lâmpada vapor de sódio 250W, alto fator de potência, com ignitor incorporado, conjugado base para relé fotoelétrico, 220V, uso externo, ref.SON226AC+IG+G, fab. Ilumatic (151025)</v>
          </cell>
          <cell r="C9479" t="str">
            <v>ud</v>
          </cell>
          <cell r="D9479">
            <v>0</v>
          </cell>
          <cell r="E9479">
            <v>70.02</v>
          </cell>
          <cell r="F9479">
            <v>70.02</v>
          </cell>
        </row>
        <row r="9480">
          <cell r="A9480" t="str">
            <v>423245</v>
          </cell>
          <cell r="B9480" t="str">
            <v>Reator externo galvanizado para lâmpada vapor de sódio 400W, alto fator de potência, com ignitor incorporado, conjugado base para relé fotoelétrico, 220V, uso externo, ref.SON426AC+IG+G, fab. Ilumatic (63339)</v>
          </cell>
          <cell r="C9480" t="str">
            <v>ud</v>
          </cell>
          <cell r="D9480">
            <v>0</v>
          </cell>
          <cell r="E9480">
            <v>87.06</v>
          </cell>
          <cell r="F9480">
            <v>87.06</v>
          </cell>
        </row>
        <row r="9481">
          <cell r="A9481" t="str">
            <v>423246</v>
          </cell>
          <cell r="B9481" t="str">
            <v>Reator para lâmpada vapor de mercúrio 250W, alto fator de potência 220V, uso interno, ref. VMTI250A26P, e capacitor 16µF x 250V, fab. PHILIPS ou similar (47929)</v>
          </cell>
          <cell r="C9481" t="str">
            <v>ud</v>
          </cell>
          <cell r="D9481">
            <v>0</v>
          </cell>
          <cell r="E9481">
            <v>71.430000000000007</v>
          </cell>
          <cell r="F9481">
            <v>71.430000000000007</v>
          </cell>
        </row>
        <row r="9482">
          <cell r="A9482" t="str">
            <v>423247</v>
          </cell>
          <cell r="B9482" t="str">
            <v>Reator para lâmpada vapor de mercúrio 400W, alto fator de potência 220V, uso interno, ref. VMTI400A26P, e capacitor 25µF x 250V, fab. PHILIPS ou similar (47937)</v>
          </cell>
          <cell r="C9482" t="str">
            <v>ud</v>
          </cell>
          <cell r="D9482">
            <v>0</v>
          </cell>
          <cell r="E9482">
            <v>107.38</v>
          </cell>
          <cell r="F9482">
            <v>107.38</v>
          </cell>
        </row>
        <row r="9483">
          <cell r="A9483" t="str">
            <v>423248</v>
          </cell>
          <cell r="B9483" t="str">
            <v>Reator para lâmpada vapor de sódio 70W, alto fator de potência, com ignitor e capacitor incorporado, 220V, uso externo, ref VSTE70A26IGP fab.PHILIPS ou similar (92975)</v>
          </cell>
          <cell r="C9483" t="str">
            <v>ud</v>
          </cell>
          <cell r="D9483">
            <v>0</v>
          </cell>
          <cell r="E9483">
            <v>60</v>
          </cell>
          <cell r="F9483">
            <v>60</v>
          </cell>
        </row>
        <row r="9484">
          <cell r="A9484" t="str">
            <v>423249</v>
          </cell>
          <cell r="B9484" t="str">
            <v>Reator para lâmpada vapor de sódio 100W, alto fator de potência, com ignitor e capacitor incorporado, 220V, uso externo, ref VSTI100A26EGP fab.PHILIPS ou similar (28096)</v>
          </cell>
          <cell r="C9484" t="str">
            <v>ud</v>
          </cell>
          <cell r="D9484">
            <v>0</v>
          </cell>
          <cell r="E9484">
            <v>60.22</v>
          </cell>
          <cell r="F9484">
            <v>60.22</v>
          </cell>
        </row>
        <row r="9485">
          <cell r="A9485" t="str">
            <v>423250</v>
          </cell>
          <cell r="B9485" t="str">
            <v>Reator para lâmpada vapor de sódio 150W, alto fator de potência, com ignitor IGN-50P, capacitor 18µF/250V, 220V, uso interno, ref. VSTI150A26IG  fab. PHILIPS ou similar</v>
          </cell>
          <cell r="C9485" t="str">
            <v>ud</v>
          </cell>
          <cell r="D9485">
            <v>0</v>
          </cell>
          <cell r="E9485">
            <v>58.57</v>
          </cell>
          <cell r="F9485">
            <v>58.57</v>
          </cell>
        </row>
        <row r="9486">
          <cell r="A9486" t="str">
            <v>423251</v>
          </cell>
          <cell r="B9486" t="str">
            <v>Reator para lâmpada vapor de sódio 250W, alto fator de potência, com ignitor e capacitor incorporados, 220V, uso externo, ref. VSTE250A26IGOS  fab.PHILIPS ou similar (151025)</v>
          </cell>
          <cell r="C9486" t="str">
            <v>ud</v>
          </cell>
          <cell r="D9486">
            <v>0</v>
          </cell>
          <cell r="E9486">
            <v>103.48</v>
          </cell>
          <cell r="F9486">
            <v>103.48</v>
          </cell>
          <cell r="G9486">
            <v>1082</v>
          </cell>
        </row>
        <row r="9487">
          <cell r="A9487" t="str">
            <v>423252</v>
          </cell>
          <cell r="B9487" t="str">
            <v>Reator para lâmpada vapor de sódio 150W, alto fator de potência, com ignitor incorporado, 220V, conjugado com base para relé fotoelétrico, ref. SON-126AC+IG+G, ILUMATIC ou similar (63614)</v>
          </cell>
          <cell r="C9487" t="str">
            <v>ud</v>
          </cell>
          <cell r="D9487">
            <v>0</v>
          </cell>
          <cell r="E9487">
            <v>62.93</v>
          </cell>
          <cell r="F9487">
            <v>62.93</v>
          </cell>
        </row>
        <row r="9488">
          <cell r="A9488" t="str">
            <v>423253</v>
          </cell>
          <cell r="B9488" t="str">
            <v xml:space="preserve">Reator para lâmpada vapor de sódio 400W, alto fator de potência, com ignitor e capacitor incorporados, 220V, uso externo, ref VSTE400A26IGOSP fab.PHILIPS ou similar </v>
          </cell>
          <cell r="C9488" t="str">
            <v>ud</v>
          </cell>
          <cell r="D9488">
            <v>0</v>
          </cell>
          <cell r="E9488">
            <v>89.93</v>
          </cell>
          <cell r="F9488">
            <v>89.93</v>
          </cell>
        </row>
        <row r="9489">
          <cell r="A9489" t="str">
            <v>423254</v>
          </cell>
          <cell r="B9489" t="str">
            <v>Relé foto-elétrico (foto-célula) com base BRM-1 acoplada, 220V, 60Hz, 1000VA, ref. RE83D fab. ILUMATIC ou similar</v>
          </cell>
          <cell r="C9489" t="str">
            <v>ud</v>
          </cell>
          <cell r="D9489">
            <v>0</v>
          </cell>
          <cell r="E9489">
            <v>28.3</v>
          </cell>
          <cell r="F9489">
            <v>28.3</v>
          </cell>
        </row>
        <row r="9490">
          <cell r="A9490" t="str">
            <v>423255</v>
          </cell>
          <cell r="B9490" t="str">
            <v>Relé foto-elétrico (foto-célula) com base BRM-1 acoplada, 220V, 60Hz, 1800VA, tipo RE98 PLUS fab. ILUMATIC ou similar</v>
          </cell>
          <cell r="C9490" t="str">
            <v>ud</v>
          </cell>
          <cell r="D9490">
            <v>0</v>
          </cell>
          <cell r="E9490">
            <v>34.32</v>
          </cell>
          <cell r="F9490">
            <v>34.32</v>
          </cell>
        </row>
        <row r="9491">
          <cell r="A9491" t="str">
            <v>423256</v>
          </cell>
          <cell r="B9491" t="str">
            <v>Painel solar fotovoltaico, módulo solar, modelo NCM 8541.40.32, 12V, 140Wp, fab. SUN  LAB POWER ou similar</v>
          </cell>
          <cell r="C9491" t="str">
            <v>ud</v>
          </cell>
          <cell r="D9491">
            <v>0</v>
          </cell>
          <cell r="E9491">
            <v>589</v>
          </cell>
          <cell r="F9491">
            <v>589</v>
          </cell>
        </row>
        <row r="9492">
          <cell r="A9492" t="str">
            <v>423257</v>
          </cell>
          <cell r="B9492" t="str">
            <v>Sinalizador de topo simples com relé fotoelétrico, 110V,  para uma lâmpada incandescente de 60W, ref. ASE-1 cód. 003040070 fab. WETZEL ou similar</v>
          </cell>
          <cell r="C9492" t="str">
            <v>ud</v>
          </cell>
          <cell r="D9492">
            <v>0</v>
          </cell>
          <cell r="E9492">
            <v>50.41</v>
          </cell>
          <cell r="F9492">
            <v>50.41</v>
          </cell>
        </row>
        <row r="9493">
          <cell r="A9493" t="str">
            <v>423258</v>
          </cell>
          <cell r="B9493" t="str">
            <v>Sinalizador de topo duplo com relé fotoelétrico, 110V,  para duas lâmpadas incandescentes de 60W, ref. ASE-2 cód. 003040020 fab. WETZEL ou similar (294198)</v>
          </cell>
          <cell r="C9493" t="str">
            <v>ud</v>
          </cell>
          <cell r="D9493">
            <v>0</v>
          </cell>
          <cell r="E9493">
            <v>116.08</v>
          </cell>
          <cell r="F9493">
            <v>116.08</v>
          </cell>
        </row>
        <row r="9494">
          <cell r="A9494" t="str">
            <v>423259</v>
          </cell>
          <cell r="B9494" t="str">
            <v>Suporte "L" para chave fusível em cruzeta de concreto, em aço galvanizado à fogo, fab. ROMAGNOLE ou similar</v>
          </cell>
          <cell r="C9494" t="str">
            <v>ud</v>
          </cell>
          <cell r="D9494">
            <v>0</v>
          </cell>
          <cell r="E9494">
            <v>17.440000000000001</v>
          </cell>
          <cell r="F9494">
            <v>17.440000000000001</v>
          </cell>
        </row>
        <row r="9495">
          <cell r="A9495" t="str">
            <v>423260</v>
          </cell>
          <cell r="B9495" t="str">
            <v xml:space="preserve">Suporte para chave fusível e para raio 15KV 1/4" reto, em aço galvanizado à fogo, fab. ROMAGNOLE ou similar </v>
          </cell>
          <cell r="C9495" t="str">
            <v>ud</v>
          </cell>
          <cell r="D9495">
            <v>0</v>
          </cell>
          <cell r="E9495">
            <v>31.27</v>
          </cell>
          <cell r="F9495">
            <v>31.27</v>
          </cell>
        </row>
        <row r="9496">
          <cell r="A9496" t="str">
            <v>423261</v>
          </cell>
          <cell r="B9496" t="str">
            <v>Fita plástica isolante, largura 18mm, em rolos de 10m, fab. SCOTCH (3M) ou similar, cores Azul Claro (287748)</v>
          </cell>
          <cell r="C9496" t="str">
            <v>ud</v>
          </cell>
          <cell r="D9496">
            <v>0</v>
          </cell>
          <cell r="E9496">
            <v>8.49</v>
          </cell>
          <cell r="F9496">
            <v>8.49</v>
          </cell>
        </row>
        <row r="9497">
          <cell r="A9497" t="str">
            <v>423262</v>
          </cell>
          <cell r="B9497" t="str">
            <v xml:space="preserve">Reator para lâmpada vapor de sódio 70W, alto fator de potência, com ignitor IGN-70P, capacitor 10µF/250V, 220V, uso interno, ref VSTI70A26IG, fab.PHILIPS ou similar </v>
          </cell>
          <cell r="C9497" t="str">
            <v>ud</v>
          </cell>
          <cell r="D9497">
            <v>0</v>
          </cell>
          <cell r="E9497">
            <v>41.78</v>
          </cell>
          <cell r="F9497">
            <v>41.78</v>
          </cell>
        </row>
        <row r="9498">
          <cell r="A9498" t="str">
            <v>423263</v>
          </cell>
          <cell r="B9498" t="str">
            <v xml:space="preserve">Reator para lâmpada vapor de sódio 250W, alto fator de potência, com ignitor IGN-50P, capacitor 32µF/250V, 220V, uso interno, ref. VSTI250A26IGOS  fab. PHILIPS ou similar   </v>
          </cell>
          <cell r="C9498" t="str">
            <v>ud</v>
          </cell>
          <cell r="D9498">
            <v>0</v>
          </cell>
          <cell r="E9498">
            <v>69.28</v>
          </cell>
          <cell r="F9498">
            <v>69.28</v>
          </cell>
        </row>
        <row r="9499">
          <cell r="A9499" t="str">
            <v>423264</v>
          </cell>
          <cell r="B9499" t="str">
            <v xml:space="preserve">Lâmpada vapor de sódio 100W, base E40, tubular, tipo SONT-100W-RE, fab. PHILIPS ou similar </v>
          </cell>
          <cell r="C9499" t="str">
            <v>ud</v>
          </cell>
          <cell r="D9499">
            <v>0</v>
          </cell>
          <cell r="E9499">
            <v>26.6</v>
          </cell>
          <cell r="F9499">
            <v>26.6</v>
          </cell>
        </row>
        <row r="9500">
          <cell r="A9500" t="str">
            <v>423265</v>
          </cell>
          <cell r="B9500" t="str">
            <v>Lâmpada vapor de sódio 150W, base E40, tubular, tipo SONT-150W-RE, fab. PHILIPS ou similar (287735)</v>
          </cell>
          <cell r="C9500" t="str">
            <v>ud</v>
          </cell>
          <cell r="D9500">
            <v>0</v>
          </cell>
          <cell r="E9500">
            <v>27.44</v>
          </cell>
          <cell r="F9500">
            <v>27.44</v>
          </cell>
        </row>
        <row r="9501">
          <cell r="A9501" t="str">
            <v>423266</v>
          </cell>
          <cell r="B9501" t="str">
            <v>Lâmpada vapor de sódio 250W, base E40, tubular, tipo SONT-250W-RE, fab. PHILIPS ou similar (105503)</v>
          </cell>
          <cell r="C9501" t="str">
            <v>ud</v>
          </cell>
          <cell r="D9501">
            <v>0</v>
          </cell>
          <cell r="E9501">
            <v>40.18</v>
          </cell>
          <cell r="F9501">
            <v>40.18</v>
          </cell>
        </row>
        <row r="9502">
          <cell r="A9502" t="str">
            <v>423267</v>
          </cell>
          <cell r="B9502" t="str">
            <v>Lâmpada vapor de sódio 400W, base E40, tubular, tipo SONT-400W-RE, fab. PHILIPS ou similar (63347)</v>
          </cell>
          <cell r="C9502" t="str">
            <v>ud</v>
          </cell>
          <cell r="D9502">
            <v>0</v>
          </cell>
          <cell r="E9502">
            <v>47.14</v>
          </cell>
          <cell r="F9502">
            <v>47.14</v>
          </cell>
        </row>
        <row r="9503">
          <cell r="A9503" t="str">
            <v>423268</v>
          </cell>
          <cell r="B9503" t="str">
            <v>Lâmpada vapor metálico 250W, base E40, tubular, tipo HPIT-250W-PLUS, fab. PHILIPS ou similar (294063)</v>
          </cell>
          <cell r="C9503" t="str">
            <v>ud</v>
          </cell>
          <cell r="D9503">
            <v>0</v>
          </cell>
          <cell r="E9503">
            <v>41.88</v>
          </cell>
          <cell r="F9503">
            <v>41.88</v>
          </cell>
        </row>
        <row r="9504">
          <cell r="A9504" t="str">
            <v>423269</v>
          </cell>
          <cell r="B9504" t="str">
            <v>Lâmpada vapor metálico 400W, base E40, tubular, tipo HPIT-400W-PLUS, fab. PHILIPS ou similar (295417)</v>
          </cell>
          <cell r="C9504" t="str">
            <v>ud</v>
          </cell>
          <cell r="D9504">
            <v>0</v>
          </cell>
          <cell r="E9504">
            <v>61.56</v>
          </cell>
          <cell r="F9504">
            <v>61.56</v>
          </cell>
        </row>
        <row r="9505">
          <cell r="A9505" t="str">
            <v>423270</v>
          </cell>
          <cell r="B9505" t="str">
            <v xml:space="preserve">Reator para lâmpada vapor metálico 250W, alto fator de potência, com ignitor IGN-51P e capacitor 15µF/250V, 220V, uso interno, ref. VMTI250A26IGP, fab. PHILIPS ou similar </v>
          </cell>
          <cell r="C9505" t="str">
            <v>ud</v>
          </cell>
          <cell r="D9505">
            <v>0</v>
          </cell>
          <cell r="E9505">
            <v>62.95</v>
          </cell>
          <cell r="F9505">
            <v>62.95</v>
          </cell>
        </row>
        <row r="9506">
          <cell r="A9506" t="str">
            <v>423271</v>
          </cell>
          <cell r="B9506" t="str">
            <v xml:space="preserve">Reator para lâmpada vapor metálico 400W, alto fator de potência, com ignitor IGN-51P e capacitor 22µF/250V, 220V, uso interno, ref. VMTI400A26IGP, fab. PHILIPS ou similar </v>
          </cell>
          <cell r="C9506" t="str">
            <v>ud</v>
          </cell>
          <cell r="D9506">
            <v>0</v>
          </cell>
          <cell r="E9506">
            <v>86.73</v>
          </cell>
          <cell r="F9506">
            <v>86.73</v>
          </cell>
        </row>
        <row r="9507">
          <cell r="A9507" t="str">
            <v>423272</v>
          </cell>
          <cell r="B9507" t="str">
            <v>Reator para lâmpada vapor metálico 250W, alto fator de potência, com ignitor e capacitor incoporados, 220V, uso externo, ref. VMTE250A26IGP, fab. PHILIPS ou similar (140813)</v>
          </cell>
          <cell r="C9507" t="str">
            <v>ud</v>
          </cell>
          <cell r="D9507">
            <v>0</v>
          </cell>
          <cell r="E9507">
            <v>72.069999999999993</v>
          </cell>
          <cell r="F9507">
            <v>72.069999999999993</v>
          </cell>
        </row>
        <row r="9508">
          <cell r="A9508" t="str">
            <v>423273</v>
          </cell>
          <cell r="B9508" t="str">
            <v xml:space="preserve">Reator para lâmpada vapor metálico 400W, alto fator de potência, com ignitor e capacitor incoporados, 220V, uso externo, ref. VMTE400A26IGP, fab. PHILIPS ou similar </v>
          </cell>
          <cell r="C9508" t="str">
            <v>ud</v>
          </cell>
          <cell r="D9508">
            <v>0</v>
          </cell>
          <cell r="E9508">
            <v>85.93</v>
          </cell>
          <cell r="F9508">
            <v>85.93</v>
          </cell>
        </row>
        <row r="9509">
          <cell r="A9509" t="str">
            <v>423274</v>
          </cell>
          <cell r="B9509" t="str">
            <v>Reator eletrônico para lâmpada fluorescente tubular, 2x16W, 127/220V, fator de potência 0,95, ref. EB216A16/26 S, fab. PHILIPS ou similar (295866)</v>
          </cell>
          <cell r="C9509" t="str">
            <v>ud</v>
          </cell>
          <cell r="D9509">
            <v>0</v>
          </cell>
          <cell r="E9509">
            <v>30.85</v>
          </cell>
          <cell r="F9509">
            <v>30.85</v>
          </cell>
        </row>
        <row r="9510">
          <cell r="A9510" t="str">
            <v>423275</v>
          </cell>
          <cell r="B9510" t="str">
            <v>Reator eletrônico para lâmpada fluorescente tubular, 2x32W, 127/220V, fator de potência 0,95, ref. EB232A16/26 S, fab. PHILIPS ou similar (295946)</v>
          </cell>
          <cell r="C9510" t="str">
            <v>ud</v>
          </cell>
          <cell r="D9510">
            <v>0</v>
          </cell>
          <cell r="E9510">
            <v>29.84</v>
          </cell>
          <cell r="F9510">
            <v>29.84</v>
          </cell>
        </row>
        <row r="9511">
          <cell r="A9511" t="str">
            <v>423276</v>
          </cell>
          <cell r="B9511" t="str">
            <v>Reator eletrônico para lâmpada fluorescente tubular, 2x14W ou 2x28W, 100-240V, fator de potência 0,99, ref. EL214-28A26, fab. PHILIPS ou similar (293942)</v>
          </cell>
          <cell r="C9511" t="str">
            <v>ud</v>
          </cell>
          <cell r="D9511">
            <v>0</v>
          </cell>
          <cell r="E9511">
            <v>84.65</v>
          </cell>
          <cell r="F9511">
            <v>84.65</v>
          </cell>
        </row>
        <row r="9512">
          <cell r="A9512" t="str">
            <v>4233</v>
          </cell>
          <cell r="B9512" t="str">
            <v>PARAFUSOS EM AÇO GALV.,  INOX E PORCAS</v>
          </cell>
          <cell r="C9512">
            <v>0</v>
          </cell>
          <cell r="D9512">
            <v>0</v>
          </cell>
          <cell r="E9512">
            <v>0</v>
          </cell>
          <cell r="F9512">
            <v>0</v>
          </cell>
        </row>
        <row r="9513">
          <cell r="A9513" t="str">
            <v>423301</v>
          </cell>
          <cell r="B9513" t="str">
            <v>Parafuso cabeça quadrada , tipo máquina, em aço galvanizado a fogo, com porca quadrada em AG, fab. ROMAGNOLE ou similar, bitola 16x50mm</v>
          </cell>
          <cell r="C9513" t="str">
            <v>ud</v>
          </cell>
          <cell r="D9513">
            <v>0</v>
          </cell>
          <cell r="E9513">
            <v>3.98</v>
          </cell>
          <cell r="F9513">
            <v>3.98</v>
          </cell>
        </row>
        <row r="9514">
          <cell r="A9514" t="str">
            <v>423302</v>
          </cell>
          <cell r="B9514" t="str">
            <v>Parafuso cabeça quadrada , tipo máquina, em aço galvanizado a fogo, com porca quadrada em AG, fab. ROMAGNOLE ou similar, bitola 16x75mm</v>
          </cell>
          <cell r="C9514" t="str">
            <v>ud</v>
          </cell>
          <cell r="D9514">
            <v>0</v>
          </cell>
          <cell r="E9514">
            <v>4.34</v>
          </cell>
          <cell r="F9514">
            <v>4.34</v>
          </cell>
        </row>
        <row r="9515">
          <cell r="A9515" t="str">
            <v>423303</v>
          </cell>
          <cell r="B9515" t="str">
            <v>Parafuso cabeça quadrada , tipo máquina, em aço galvanizado a fogo, com porca quadrada em AG, fab. ROMAGNOLE ou similar, bitola 16x100mm</v>
          </cell>
          <cell r="C9515" t="str">
            <v>ud</v>
          </cell>
          <cell r="D9515">
            <v>0</v>
          </cell>
          <cell r="E9515">
            <v>4.5599999999999996</v>
          </cell>
          <cell r="F9515">
            <v>4.5599999999999996</v>
          </cell>
        </row>
        <row r="9516">
          <cell r="A9516" t="str">
            <v>423304</v>
          </cell>
          <cell r="B9516" t="str">
            <v>Parafuso cabeça quadrada , tipo máquina, em aço galvanizado a fogo, com porca quadrada em AG, fab. ROMAGNOLE ou similar, bitola 16x125mm</v>
          </cell>
          <cell r="C9516" t="str">
            <v>ud</v>
          </cell>
          <cell r="D9516">
            <v>0</v>
          </cell>
          <cell r="E9516">
            <v>3.45</v>
          </cell>
          <cell r="F9516">
            <v>3.45</v>
          </cell>
        </row>
        <row r="9517">
          <cell r="A9517" t="str">
            <v>423305</v>
          </cell>
          <cell r="B9517" t="str">
            <v>Parafuso cabeça quadrada , tipo máquina, em aço galvanizado a fogo, com porca quadrada em AG, fab. ROMAGNOLE ou similar, bitola 16x150mm</v>
          </cell>
          <cell r="C9517" t="str">
            <v>ud</v>
          </cell>
          <cell r="D9517">
            <v>0</v>
          </cell>
          <cell r="E9517">
            <v>3.82</v>
          </cell>
          <cell r="F9517">
            <v>3.82</v>
          </cell>
        </row>
        <row r="9518">
          <cell r="A9518" t="str">
            <v>423306</v>
          </cell>
          <cell r="B9518" t="str">
            <v>Parafuso cabeça quadrada , tipo máquina, em aço galvanizado a fogo, com porca quadrada em AG, fab. ROMAGNOLE ou similar, bitola 16x175mm</v>
          </cell>
          <cell r="C9518" t="str">
            <v>ud</v>
          </cell>
          <cell r="D9518">
            <v>0</v>
          </cell>
          <cell r="E9518">
            <v>3.89</v>
          </cell>
          <cell r="F9518">
            <v>3.89</v>
          </cell>
        </row>
        <row r="9519">
          <cell r="A9519" t="str">
            <v>423307</v>
          </cell>
          <cell r="B9519" t="str">
            <v>Parafuso cabeça quadrada , tipo máquina, em aço galvanizado a fogo, com porca quadrada em AG, fab. ROMAGNOLE ou similar, bitola 16x200mm</v>
          </cell>
          <cell r="C9519" t="str">
            <v>ud</v>
          </cell>
          <cell r="D9519">
            <v>0</v>
          </cell>
          <cell r="E9519">
            <v>4.5199999999999996</v>
          </cell>
          <cell r="F9519">
            <v>4.5199999999999996</v>
          </cell>
        </row>
        <row r="9520">
          <cell r="A9520" t="str">
            <v>423308</v>
          </cell>
          <cell r="B9520" t="str">
            <v>Parafuso cabeça quadrada , tipo máquina, em aço galvanizado a fogo, com porca quadrada em AG, fab. ROMAGNOLE ou similar, bitola 16x225mm</v>
          </cell>
          <cell r="C9520" t="str">
            <v>ud</v>
          </cell>
          <cell r="D9520">
            <v>0</v>
          </cell>
          <cell r="E9520">
            <v>4.75</v>
          </cell>
          <cell r="F9520">
            <v>4.75</v>
          </cell>
        </row>
        <row r="9521">
          <cell r="A9521" t="str">
            <v>423309</v>
          </cell>
          <cell r="B9521" t="str">
            <v>Parafuso cabeça quadrada , tipo máquina, em aço galvanizado a fogo, com porca quadrada em AG, fab. ROMAGNOLE ou similar, bitola 16x250mm</v>
          </cell>
          <cell r="C9521" t="str">
            <v>ud</v>
          </cell>
          <cell r="D9521">
            <v>0</v>
          </cell>
          <cell r="E9521">
            <v>5.29</v>
          </cell>
          <cell r="F9521">
            <v>5.29</v>
          </cell>
        </row>
        <row r="9522">
          <cell r="A9522" t="str">
            <v>423310</v>
          </cell>
          <cell r="B9522" t="str">
            <v>Parafuso cabeça quadrada , tipo máquina, em aço galvanizado a fogo, com porca quadrada em AG, fab. ROMAGNOLE ou similar, bitola 16x300mm</v>
          </cell>
          <cell r="C9522" t="str">
            <v>ud</v>
          </cell>
          <cell r="D9522">
            <v>0</v>
          </cell>
          <cell r="E9522">
            <v>7.39</v>
          </cell>
          <cell r="F9522">
            <v>7.39</v>
          </cell>
        </row>
        <row r="9523">
          <cell r="A9523" t="str">
            <v>423311</v>
          </cell>
          <cell r="B9523" t="str">
            <v>Parafuso cabeça quadrada , tipo máquina, em aço galvanizado a fogo, com porca quadrada em AG, fab. ROMAGNOLE ou similar, bitola 16x350mm</v>
          </cell>
          <cell r="C9523" t="str">
            <v>ud</v>
          </cell>
          <cell r="D9523">
            <v>0</v>
          </cell>
          <cell r="E9523">
            <v>8.19</v>
          </cell>
          <cell r="F9523">
            <v>8.19</v>
          </cell>
        </row>
        <row r="9524">
          <cell r="A9524" t="str">
            <v>423312</v>
          </cell>
          <cell r="B9524" t="str">
            <v>Parafuso cabeça quadrada , tipo máquina, em aço galvanizado a fogo, com porca quadrada em AG, fab. ROMAGNOLE ou similar, bitola 16x400mm</v>
          </cell>
          <cell r="C9524" t="str">
            <v>ud</v>
          </cell>
          <cell r="D9524">
            <v>0</v>
          </cell>
          <cell r="E9524">
            <v>9.01</v>
          </cell>
          <cell r="F9524">
            <v>9.01</v>
          </cell>
        </row>
        <row r="9525">
          <cell r="A9525" t="str">
            <v>423313</v>
          </cell>
          <cell r="B9525" t="str">
            <v>Parafuso cabeça quadrada , tipo máquina, em aço galvanizado a fogo, com porca quadrada em AG, fab. ROMAGNOLE ou similar, bitola 16x450mm</v>
          </cell>
          <cell r="C9525" t="str">
            <v>ud</v>
          </cell>
          <cell r="D9525">
            <v>0</v>
          </cell>
          <cell r="E9525">
            <v>11.3</v>
          </cell>
          <cell r="F9525">
            <v>11.3</v>
          </cell>
        </row>
        <row r="9526">
          <cell r="A9526" t="str">
            <v>423314</v>
          </cell>
          <cell r="B9526" t="str">
            <v>Parafuso cabeça quadrada , tipo máquina, em aço galvanizado a fogo, com porca quadrada em AG, fab. ROMAGNOLE ou similar, bitola 16x500mm</v>
          </cell>
          <cell r="C9526" t="str">
            <v>ud</v>
          </cell>
          <cell r="D9526">
            <v>0</v>
          </cell>
          <cell r="E9526">
            <v>12.56</v>
          </cell>
          <cell r="F9526">
            <v>12.56</v>
          </cell>
        </row>
        <row r="9527">
          <cell r="A9527" t="str">
            <v>423315</v>
          </cell>
          <cell r="B9527" t="str">
            <v>Parafuso cabeça quadrada , tipo máquina, em aço galvanizado a fogo, com porca quadrada em AG, fab. ROMAGNOLE ou similar, bitola 16x600mm</v>
          </cell>
          <cell r="C9527" t="str">
            <v>ud</v>
          </cell>
          <cell r="D9527">
            <v>0</v>
          </cell>
          <cell r="E9527">
            <v>15.62</v>
          </cell>
          <cell r="F9527">
            <v>15.62</v>
          </cell>
        </row>
        <row r="9528">
          <cell r="A9528" t="str">
            <v>423316</v>
          </cell>
          <cell r="B9528" t="str">
            <v>Parafuso cabeça sextavada, em aço galvanizado a fogo, com porca sextavada, duas arruelas lisas e uma arruela de pressão, fab. MANGNOLE ou similar, bitola 1/2" x 1.1/2"</v>
          </cell>
          <cell r="C9528" t="str">
            <v>ud</v>
          </cell>
          <cell r="D9528">
            <v>0</v>
          </cell>
          <cell r="E9528">
            <v>3.05</v>
          </cell>
          <cell r="F9528">
            <v>3.05</v>
          </cell>
        </row>
        <row r="9529">
          <cell r="A9529" t="str">
            <v>423317</v>
          </cell>
          <cell r="B9529" t="str">
            <v>Parafuso cabeça sextavada, em latão, com porca, arruela lisa e pressão, ref. MANGNOLE ou similar, bitola 3/8" x 2"</v>
          </cell>
          <cell r="C9529" t="str">
            <v>ud</v>
          </cell>
          <cell r="D9529">
            <v>0</v>
          </cell>
          <cell r="E9529">
            <v>7.39</v>
          </cell>
          <cell r="F9529">
            <v>7.39</v>
          </cell>
        </row>
        <row r="9530">
          <cell r="A9530" t="str">
            <v>423318</v>
          </cell>
          <cell r="B9530" t="str">
            <v>Parafuso de aço com porca e arruela, ref. MANGNOLE ou similar, bitola 18x50mm</v>
          </cell>
          <cell r="C9530" t="str">
            <v>ud</v>
          </cell>
          <cell r="D9530">
            <v>0</v>
          </cell>
          <cell r="E9530">
            <v>3.38</v>
          </cell>
          <cell r="F9530">
            <v>3.38</v>
          </cell>
        </row>
        <row r="9531">
          <cell r="A9531" t="str">
            <v>423319</v>
          </cell>
          <cell r="B9531" t="str">
            <v>Parafuso de aço inox, cabeça redonda com fenda, rosca soberba, 4,2x45mm, fab. CISER ou similar</v>
          </cell>
          <cell r="C9531" t="str">
            <v>ud</v>
          </cell>
          <cell r="D9531">
            <v>0</v>
          </cell>
          <cell r="E9531">
            <v>0.21</v>
          </cell>
          <cell r="F9531">
            <v>0.21</v>
          </cell>
        </row>
        <row r="9532">
          <cell r="A9532" t="str">
            <v>423320</v>
          </cell>
          <cell r="B9532" t="str">
            <v xml:space="preserve">Parafuso de aço inox, cabeça sextavada, com porca e arruela lisa, fab. CISER ou similar, bitola 1/4 x 1/2" </v>
          </cell>
          <cell r="C9532" t="str">
            <v>ud</v>
          </cell>
          <cell r="D9532">
            <v>0</v>
          </cell>
          <cell r="E9532">
            <v>0.2</v>
          </cell>
          <cell r="F9532">
            <v>0.2</v>
          </cell>
        </row>
        <row r="9533">
          <cell r="A9533" t="str">
            <v>423321</v>
          </cell>
          <cell r="B9533" t="str">
            <v>Parafuso de aço inox, cabeça sextavada, com porca e arruela lisa, fab. CISER ou similar, bitola 1/4"x3/4"</v>
          </cell>
          <cell r="C9533" t="str">
            <v>ud</v>
          </cell>
          <cell r="D9533">
            <v>0</v>
          </cell>
          <cell r="E9533">
            <v>0.24</v>
          </cell>
          <cell r="F9533">
            <v>0.24</v>
          </cell>
        </row>
        <row r="9534">
          <cell r="A9534" t="str">
            <v>423322</v>
          </cell>
          <cell r="B9534" t="str">
            <v>Parafuso de aço inox, cabeça sextavada, com porca e arruela lisa, fab. CISER ou similar, bitola 3/8"x1"</v>
          </cell>
          <cell r="C9534" t="str">
            <v>ud</v>
          </cell>
          <cell r="D9534">
            <v>0</v>
          </cell>
          <cell r="E9534">
            <v>0.55000000000000004</v>
          </cell>
          <cell r="F9534">
            <v>0.55000000000000004</v>
          </cell>
        </row>
        <row r="9535">
          <cell r="A9535" t="str">
            <v>423323</v>
          </cell>
          <cell r="B9535" t="str">
            <v>Parafuso de aço inox, cabeça sextavada, com porca e arruela lisa, fab. CISER ou similar, bitola 3/8"x2"</v>
          </cell>
          <cell r="C9535" t="str">
            <v>ud</v>
          </cell>
          <cell r="D9535">
            <v>0</v>
          </cell>
          <cell r="E9535">
            <v>0.87</v>
          </cell>
          <cell r="F9535">
            <v>0.87</v>
          </cell>
        </row>
        <row r="9536">
          <cell r="A9536" t="str">
            <v>423324</v>
          </cell>
          <cell r="B9536" t="str">
            <v xml:space="preserve">Parafuso de latão cabeça cônica com fenda, com uma porca e uma arruela lisa, ref. TEL-5320, fab. TERMOTÉCNICA ou similar, bitola 1/4"x7/8" </v>
          </cell>
          <cell r="C9536" t="str">
            <v>ud</v>
          </cell>
          <cell r="D9536">
            <v>0</v>
          </cell>
          <cell r="E9536">
            <v>0.31</v>
          </cell>
          <cell r="F9536">
            <v>0.31</v>
          </cell>
        </row>
        <row r="9537">
          <cell r="A9537" t="str">
            <v>423325</v>
          </cell>
          <cell r="B9537" t="str">
            <v>Parafuso de latão cabeça redonda com fenda, 1/4"x1" fornecido completo com uma porca, anel de vedação, arruela de encosto e uma arruela lisa, ref. MANGNOLE ou similar</v>
          </cell>
          <cell r="C9537" t="str">
            <v>ud</v>
          </cell>
          <cell r="D9537">
            <v>0</v>
          </cell>
          <cell r="E9537">
            <v>4.3099999999999996</v>
          </cell>
          <cell r="F9537">
            <v>4.3099999999999996</v>
          </cell>
        </row>
        <row r="9538">
          <cell r="A9538" t="str">
            <v>423326</v>
          </cell>
          <cell r="B9538" t="str">
            <v>Parafuso em aço galvanizado a fogo, 45mm, de cabeça abaulada, com porca e arruela em AG, NTC 811880, fab. ROMAGNOLE ou similar</v>
          </cell>
          <cell r="C9538" t="str">
            <v>ud</v>
          </cell>
          <cell r="D9538">
            <v>0</v>
          </cell>
          <cell r="E9538">
            <v>4.3899999999999997</v>
          </cell>
          <cell r="F9538">
            <v>4.3899999999999997</v>
          </cell>
        </row>
        <row r="9539">
          <cell r="A9539" t="str">
            <v>423327</v>
          </cell>
          <cell r="B9539" t="str">
            <v>Parafuso em aço zincado, cabeça sextavada, rosca soberba, bitola 1/4" x 60 mm, ref. MANGNOLE ou similar</v>
          </cell>
          <cell r="C9539" t="str">
            <v>ud</v>
          </cell>
          <cell r="D9539">
            <v>0</v>
          </cell>
          <cell r="E9539">
            <v>0.47</v>
          </cell>
          <cell r="F9539">
            <v>0.47</v>
          </cell>
        </row>
        <row r="9540">
          <cell r="A9540" t="str">
            <v>423328</v>
          </cell>
          <cell r="B9540" t="str">
            <v xml:space="preserve">Parafuso fenda, cabeça redonda, em aço inox, ø4,2x32mm, ref. TEL-5333, fab. TERMOTÉCNICA ou similar </v>
          </cell>
          <cell r="C9540" t="str">
            <v>ud</v>
          </cell>
          <cell r="D9540">
            <v>0</v>
          </cell>
          <cell r="E9540">
            <v>0.39</v>
          </cell>
          <cell r="F9540">
            <v>0.39</v>
          </cell>
        </row>
        <row r="9541">
          <cell r="A9541" t="str">
            <v>423329</v>
          </cell>
          <cell r="B9541" t="str">
            <v>Parafuso francês, em aço galvanizado a fogo, com porca quadrada em AG, fab. ROMAGNOLE ou similar, bitola 16x45mm</v>
          </cell>
          <cell r="C9541" t="str">
            <v>ud</v>
          </cell>
          <cell r="D9541">
            <v>0</v>
          </cell>
          <cell r="E9541">
            <v>1.99</v>
          </cell>
          <cell r="F9541">
            <v>1.99</v>
          </cell>
        </row>
        <row r="9542">
          <cell r="A9542" t="str">
            <v>423330</v>
          </cell>
          <cell r="B9542" t="str">
            <v>Parafuso francês, em aço galvanizado a fogo, com porca quadrada em AG, fab. ROMAGNOLE ou similar, bitola 16x50mm</v>
          </cell>
          <cell r="C9542" t="str">
            <v>ud</v>
          </cell>
          <cell r="D9542">
            <v>0</v>
          </cell>
          <cell r="E9542">
            <v>2.2400000000000002</v>
          </cell>
          <cell r="F9542">
            <v>2.2400000000000002</v>
          </cell>
        </row>
        <row r="9543">
          <cell r="A9543" t="str">
            <v>423331</v>
          </cell>
          <cell r="B9543" t="str">
            <v>Parafuso francês, em aço galvanizado a fogo, com porca quadrada em AG, fab. ROMAGNOLE ou similar, bitola 16x60mm</v>
          </cell>
          <cell r="C9543" t="str">
            <v>ud</v>
          </cell>
          <cell r="D9543">
            <v>0</v>
          </cell>
          <cell r="E9543">
            <v>2.36</v>
          </cell>
          <cell r="F9543">
            <v>2.36</v>
          </cell>
        </row>
        <row r="9544">
          <cell r="A9544" t="str">
            <v>423332</v>
          </cell>
          <cell r="B9544" t="str">
            <v>Parafuso francês, em aço galvanizado a fogo, com porca quadrada em AG, fab. ROMAGNOLE ou similar, bitola 16x65mm</v>
          </cell>
          <cell r="C9544" t="str">
            <v>ud</v>
          </cell>
          <cell r="D9544">
            <v>0</v>
          </cell>
          <cell r="E9544">
            <v>2.31</v>
          </cell>
          <cell r="F9544">
            <v>2.31</v>
          </cell>
        </row>
        <row r="9545">
          <cell r="A9545" t="str">
            <v>423333</v>
          </cell>
          <cell r="B9545" t="str">
            <v>Parafuso francês, em aço galvanizado a fogo, com porca quadrada em AG, fab. ROMAGNOLE ou similar, bitola 16x70mm</v>
          </cell>
          <cell r="C9545" t="str">
            <v>ud</v>
          </cell>
          <cell r="D9545">
            <v>0</v>
          </cell>
          <cell r="E9545">
            <v>2.38</v>
          </cell>
          <cell r="F9545">
            <v>2.38</v>
          </cell>
        </row>
        <row r="9546">
          <cell r="A9546" t="str">
            <v>423335</v>
          </cell>
          <cell r="B9546" t="str">
            <v>Parafuso francês, em aço galvanizado a fogo, com porca quadrada em AG, fab. ROMAGNOLE ou similar, bitola 16x90mm</v>
          </cell>
          <cell r="C9546" t="str">
            <v>ud</v>
          </cell>
          <cell r="D9546">
            <v>0</v>
          </cell>
          <cell r="E9546">
            <v>4.0999999999999996</v>
          </cell>
          <cell r="F9546">
            <v>4.0999999999999996</v>
          </cell>
        </row>
        <row r="9547">
          <cell r="A9547" t="str">
            <v>423336</v>
          </cell>
          <cell r="B9547" t="str">
            <v>Parafuso francês, em aço galvanizado a fogo, com porca quadrada em AG, fab. ROMAGNOLE ou similar, bitola 16x100mm</v>
          </cell>
          <cell r="C9547" t="str">
            <v>ud</v>
          </cell>
          <cell r="D9547">
            <v>0</v>
          </cell>
          <cell r="E9547">
            <v>3.89</v>
          </cell>
          <cell r="F9547">
            <v>3.89</v>
          </cell>
        </row>
        <row r="9548">
          <cell r="A9548" t="str">
            <v>423337</v>
          </cell>
          <cell r="B9548" t="str">
            <v>Parafuso francês, em aço galvanizado a fogo, com porca quadrada em AG, fab. ROMAGNOLE ou similar, bitola 16x125mm</v>
          </cell>
          <cell r="C9548" t="str">
            <v>ud</v>
          </cell>
          <cell r="D9548">
            <v>0</v>
          </cell>
          <cell r="E9548">
            <v>4.51</v>
          </cell>
          <cell r="F9548">
            <v>4.51</v>
          </cell>
        </row>
        <row r="9549">
          <cell r="A9549" t="str">
            <v>423338</v>
          </cell>
          <cell r="B9549" t="str">
            <v>Parafuso francês, em aço galvanizado a fogo, com porca quadrada em AG, fab. ROMAGNOLE ou similar, bitola 16x150mm</v>
          </cell>
          <cell r="C9549" t="str">
            <v>ud</v>
          </cell>
          <cell r="D9549">
            <v>0</v>
          </cell>
          <cell r="E9549">
            <v>4.5599999999999996</v>
          </cell>
          <cell r="F9549">
            <v>4.5599999999999996</v>
          </cell>
        </row>
        <row r="9550">
          <cell r="A9550" t="str">
            <v>423339</v>
          </cell>
          <cell r="B9550" t="str">
            <v>Parafuso francês, em aço galvanizado a fogo, com porca quadrada em AG, fab. ROMAGNOLE ou similar, bitola 16x200mm</v>
          </cell>
          <cell r="C9550" t="str">
            <v>ud</v>
          </cell>
          <cell r="D9550">
            <v>0</v>
          </cell>
          <cell r="E9550">
            <v>5.2</v>
          </cell>
          <cell r="F9550">
            <v>5.2</v>
          </cell>
        </row>
        <row r="9551">
          <cell r="A9551" t="str">
            <v>423340</v>
          </cell>
          <cell r="B9551" t="str">
            <v>Parafuso rosca dupla, com 4 porcas em aço galvanizado a fogo, Fab. ROMAGNOLE ou similar, dimensão M-16X200mm</v>
          </cell>
          <cell r="C9551" t="str">
            <v>ud</v>
          </cell>
          <cell r="D9551">
            <v>0</v>
          </cell>
          <cell r="E9551">
            <v>6.19</v>
          </cell>
          <cell r="F9551">
            <v>6.19</v>
          </cell>
        </row>
        <row r="9552">
          <cell r="A9552" t="str">
            <v>423341</v>
          </cell>
          <cell r="B9552" t="str">
            <v>Parafuso rosca dupla, com 4 porcas em aço galvanizado a fogo, Fab. ROMAGNOLE ou similar, dimensão M-16X250mm</v>
          </cell>
          <cell r="C9552" t="str">
            <v>ud</v>
          </cell>
          <cell r="D9552">
            <v>0</v>
          </cell>
          <cell r="E9552">
            <v>7.15</v>
          </cell>
          <cell r="F9552">
            <v>7.15</v>
          </cell>
        </row>
        <row r="9553">
          <cell r="A9553" t="str">
            <v>423342</v>
          </cell>
          <cell r="B9553" t="str">
            <v>Parafuso rosca dupla, com 4 porcas em aço galvanizado a fogo, Fab. ROMAGNOLE ou similar, dimensão M-16X300mm</v>
          </cell>
          <cell r="C9553" t="str">
            <v>ud</v>
          </cell>
          <cell r="D9553">
            <v>0</v>
          </cell>
          <cell r="E9553">
            <v>8.1300000000000008</v>
          </cell>
          <cell r="F9553">
            <v>8.1300000000000008</v>
          </cell>
        </row>
        <row r="9554">
          <cell r="A9554" t="str">
            <v>423343</v>
          </cell>
          <cell r="B9554" t="str">
            <v>Parafuso rosca dupla, com 4 porcas em aço galvanizado a fogo, Fab. ROMAGNOLE ou similar, dimensão M-16X350mm</v>
          </cell>
          <cell r="C9554" t="str">
            <v>ud</v>
          </cell>
          <cell r="D9554">
            <v>0</v>
          </cell>
          <cell r="E9554">
            <v>8.8699999999999992</v>
          </cell>
          <cell r="F9554">
            <v>8.8699999999999992</v>
          </cell>
        </row>
        <row r="9555">
          <cell r="A9555" t="str">
            <v>423344</v>
          </cell>
          <cell r="B9555" t="str">
            <v>Parafuso rosca dupla, com 4 porcas em aço galvanizado a fogo, Fab. ROMAGNOLE ou similar, dimensão M-16X400mm</v>
          </cell>
          <cell r="C9555" t="str">
            <v>ud</v>
          </cell>
          <cell r="D9555">
            <v>0</v>
          </cell>
          <cell r="E9555">
            <v>9.68</v>
          </cell>
          <cell r="F9555">
            <v>9.68</v>
          </cell>
        </row>
        <row r="9556">
          <cell r="A9556" t="str">
            <v>423345</v>
          </cell>
          <cell r="B9556" t="str">
            <v>Parafuso rosca dupla, com 4 porcas em aço galvanizado a fogo, Fab. ROMAGNOLE ou similar, dimensão M-16X450mm</v>
          </cell>
          <cell r="C9556" t="str">
            <v>ud</v>
          </cell>
          <cell r="D9556">
            <v>0</v>
          </cell>
          <cell r="E9556">
            <v>10.59</v>
          </cell>
          <cell r="F9556">
            <v>10.59</v>
          </cell>
        </row>
        <row r="9557">
          <cell r="A9557" t="str">
            <v>423346</v>
          </cell>
          <cell r="B9557" t="str">
            <v>Parafuso rosca dupla, com 4 porcas em aço galvanizado a fogo, Fab. ROMAGNOLE ou similar, dimensão M-16X500mm</v>
          </cell>
          <cell r="C9557" t="str">
            <v>ud</v>
          </cell>
          <cell r="D9557">
            <v>0</v>
          </cell>
          <cell r="E9557">
            <v>11.46</v>
          </cell>
          <cell r="F9557">
            <v>11.46</v>
          </cell>
        </row>
        <row r="9558">
          <cell r="A9558" t="str">
            <v>423347</v>
          </cell>
          <cell r="B9558" t="str">
            <v>Parafuso rosca dupla, com 4 porcas em aço galvanizado a fogo, Fab. ROMAGNOLE ou similar, dimensão M-16X550mm</v>
          </cell>
          <cell r="C9558" t="str">
            <v>ud</v>
          </cell>
          <cell r="D9558">
            <v>0</v>
          </cell>
          <cell r="E9558">
            <v>12.17</v>
          </cell>
          <cell r="F9558">
            <v>12.17</v>
          </cell>
        </row>
        <row r="9559">
          <cell r="A9559" t="str">
            <v>423348</v>
          </cell>
          <cell r="B9559" t="str">
            <v>Parafuso rosca dupla, com 4 porcas em aço galvanizado a fogo, Fab. ROMAGNOLE ou similar, dimensão M-16X600mm</v>
          </cell>
          <cell r="C9559" t="str">
            <v>ud</v>
          </cell>
          <cell r="D9559">
            <v>0</v>
          </cell>
          <cell r="E9559">
            <v>13.43</v>
          </cell>
          <cell r="F9559">
            <v>13.43</v>
          </cell>
        </row>
        <row r="9560">
          <cell r="A9560" t="str">
            <v>423349</v>
          </cell>
          <cell r="B9560" t="str">
            <v>Parafuso rosca dupla, com 4 porcas em aço galvanizado a fogo, Fab. ROMAGNOLE ou similar, dimensão M-16X650mm</v>
          </cell>
          <cell r="C9560" t="str">
            <v>ud</v>
          </cell>
          <cell r="D9560">
            <v>0</v>
          </cell>
          <cell r="E9560">
            <v>14.64</v>
          </cell>
          <cell r="F9560">
            <v>14.64</v>
          </cell>
        </row>
        <row r="9561">
          <cell r="A9561" t="str">
            <v>423350</v>
          </cell>
          <cell r="B9561" t="str">
            <v>Parafuso rosca dupla, com 4 porcas em aço galvanizado a fogo, Fab. ROMAGNOLE ou similar, dimensão M-16X700mm</v>
          </cell>
          <cell r="C9561" t="str">
            <v>ud</v>
          </cell>
          <cell r="D9561">
            <v>0</v>
          </cell>
          <cell r="E9561">
            <v>15.23</v>
          </cell>
          <cell r="F9561">
            <v>15.23</v>
          </cell>
        </row>
        <row r="9562">
          <cell r="A9562" t="str">
            <v>423351</v>
          </cell>
          <cell r="B9562" t="str">
            <v>Parafuso tipo lentilha, ø 1/4x1/2", em aço inox, completo com uma porca e uma arruela lisa, ref. DP-613, fab. DISPAN ou similar</v>
          </cell>
          <cell r="C9562" t="str">
            <v>ud</v>
          </cell>
          <cell r="D9562">
            <v>0</v>
          </cell>
          <cell r="E9562">
            <v>0.64</v>
          </cell>
          <cell r="F9562">
            <v>0.64</v>
          </cell>
        </row>
        <row r="9563">
          <cell r="A9563" t="str">
            <v>423352</v>
          </cell>
          <cell r="B9563" t="str">
            <v>Parafuso tipo lentilha, ø 1/4x5/8", em aço inox, completo com uma porca e uma arruela lisa, ref. DP-613, fab. DISPAN ou similar</v>
          </cell>
          <cell r="C9563" t="str">
            <v>ud</v>
          </cell>
          <cell r="D9563">
            <v>0</v>
          </cell>
          <cell r="E9563">
            <v>0.25</v>
          </cell>
          <cell r="F9563">
            <v>0.25</v>
          </cell>
        </row>
        <row r="9564">
          <cell r="A9564" t="str">
            <v>423353</v>
          </cell>
          <cell r="B9564" t="str">
            <v>Parafuso tipo lentilha, ø 1/4x3/4", em aço inox, completo com uma porca e uma arruela lisa, ref. DP-613, fab. DISPAN ou similar</v>
          </cell>
          <cell r="C9564" t="str">
            <v>ud</v>
          </cell>
          <cell r="D9564">
            <v>0</v>
          </cell>
          <cell r="E9564">
            <v>0.91</v>
          </cell>
          <cell r="F9564">
            <v>0.91</v>
          </cell>
        </row>
        <row r="9565">
          <cell r="A9565" t="str">
            <v>423354</v>
          </cell>
          <cell r="B9565" t="str">
            <v>Parafuso tipo lentilha, ø 5/16x3/4", em aço inox, completo com uma porca e uma arruela lisa, ref. DP-613, fab. DISPAN ou similar</v>
          </cell>
          <cell r="C9565" t="str">
            <v>ud</v>
          </cell>
          <cell r="D9565">
            <v>0</v>
          </cell>
          <cell r="E9565">
            <v>1.21</v>
          </cell>
          <cell r="F9565">
            <v>1.21</v>
          </cell>
        </row>
        <row r="9566">
          <cell r="A9566" t="str">
            <v>423355</v>
          </cell>
          <cell r="B9566" t="str">
            <v>Parafuso tipo lentilha, ø 3/8x3/4", em aço inox, completo com uma porca e uma arruela lisa, ref. DP-613, fab. DISPAN ou similar</v>
          </cell>
          <cell r="C9566" t="str">
            <v>ud</v>
          </cell>
          <cell r="D9566">
            <v>0</v>
          </cell>
          <cell r="E9566">
            <v>1.56</v>
          </cell>
          <cell r="F9566">
            <v>1.56</v>
          </cell>
        </row>
        <row r="9567">
          <cell r="A9567" t="str">
            <v>423356</v>
          </cell>
          <cell r="B9567" t="str">
            <v xml:space="preserve">Porca losangular com rosca, sem mola, em aço galvanizado, ø 1/4", ref. DP-621, fab. DISPAN ou similar </v>
          </cell>
          <cell r="C9567" t="str">
            <v>ud</v>
          </cell>
          <cell r="D9567">
            <v>0</v>
          </cell>
          <cell r="E9567">
            <v>0.31</v>
          </cell>
          <cell r="F9567">
            <v>0.31</v>
          </cell>
        </row>
        <row r="9568">
          <cell r="A9568" t="str">
            <v>423357</v>
          </cell>
          <cell r="B9568" t="str">
            <v xml:space="preserve">Porca losangular com rosca, sem mola, em aço galvanizado, ø 5/16", ref. DP-621, fab. DISPAN ou similar </v>
          </cell>
          <cell r="C9568" t="str">
            <v>ud</v>
          </cell>
          <cell r="D9568">
            <v>0</v>
          </cell>
          <cell r="E9568">
            <v>0.2</v>
          </cell>
          <cell r="F9568">
            <v>0.2</v>
          </cell>
        </row>
        <row r="9569">
          <cell r="A9569" t="str">
            <v>423358</v>
          </cell>
          <cell r="B9569" t="str">
            <v xml:space="preserve">Porca losangular com rosca, sem mola, em aço galvanizado, ø3/8", ref. DP-621, fab. DISPAN ou similar </v>
          </cell>
          <cell r="C9569" t="str">
            <v>ud</v>
          </cell>
          <cell r="D9569">
            <v>0</v>
          </cell>
          <cell r="E9569">
            <v>2.4500000000000002</v>
          </cell>
          <cell r="F9569">
            <v>2.4500000000000002</v>
          </cell>
        </row>
        <row r="9570">
          <cell r="A9570" t="str">
            <v>423359</v>
          </cell>
          <cell r="B9570" t="str">
            <v xml:space="preserve">Porca losangular com rosca, sem mola, em aço galvanizado, ø1/2", ref. DP-621, fab. DISPAN ou similar </v>
          </cell>
          <cell r="C9570" t="str">
            <v>ud</v>
          </cell>
          <cell r="D9570">
            <v>0</v>
          </cell>
          <cell r="E9570">
            <v>3.69</v>
          </cell>
          <cell r="F9570">
            <v>3.69</v>
          </cell>
        </row>
        <row r="9571">
          <cell r="A9571" t="str">
            <v>423360</v>
          </cell>
          <cell r="B9571" t="str">
            <v xml:space="preserve">Porca olhal, de aço galvanizado a fogo, rosca  M16x2,16mm,  NTC 812020,  fab. ROMAGNOLE ou similar </v>
          </cell>
          <cell r="C9571" t="str">
            <v>ud</v>
          </cell>
          <cell r="D9571">
            <v>0</v>
          </cell>
          <cell r="E9571">
            <v>9.5</v>
          </cell>
          <cell r="F9571">
            <v>9.5</v>
          </cell>
        </row>
        <row r="9572">
          <cell r="A9572" t="str">
            <v>423361</v>
          </cell>
          <cell r="B9572" t="str">
            <v xml:space="preserve">Porca sextavada, de aço galvanizado, ø1/4", ref. SRS-577-3, ref. SISA ou similar </v>
          </cell>
          <cell r="C9572" t="str">
            <v>ud</v>
          </cell>
          <cell r="D9572">
            <v>0</v>
          </cell>
          <cell r="E9572">
            <v>0.1</v>
          </cell>
          <cell r="F9572">
            <v>0.1</v>
          </cell>
        </row>
        <row r="9573">
          <cell r="A9573" t="str">
            <v>423362</v>
          </cell>
          <cell r="B9573" t="str">
            <v xml:space="preserve">Porca sextavada, de aço zincado,  ø1/4", ref. DP-618, fab. DISPAN ou similar </v>
          </cell>
          <cell r="C9573" t="str">
            <v>ud</v>
          </cell>
          <cell r="D9573">
            <v>0</v>
          </cell>
          <cell r="E9573">
            <v>0.06</v>
          </cell>
          <cell r="F9573">
            <v>0.06</v>
          </cell>
        </row>
        <row r="9574">
          <cell r="A9574" t="str">
            <v>423363</v>
          </cell>
          <cell r="B9574" t="str">
            <v xml:space="preserve">Porca sextavada, de aço zincado,  ø5/16", ref. DP-618, fab. DISPAN ou similar </v>
          </cell>
          <cell r="C9574" t="str">
            <v>ud</v>
          </cell>
          <cell r="D9574">
            <v>0</v>
          </cell>
          <cell r="E9574">
            <v>0.06</v>
          </cell>
          <cell r="F9574">
            <v>0.06</v>
          </cell>
        </row>
        <row r="9575">
          <cell r="A9575" t="str">
            <v>423364</v>
          </cell>
          <cell r="B9575" t="str">
            <v xml:space="preserve">Porca sextavada, de aço zincado,  ø3/8", ref. DP-618, fab. DISPAN ou similar </v>
          </cell>
          <cell r="C9575" t="str">
            <v>ud</v>
          </cell>
          <cell r="D9575">
            <v>0</v>
          </cell>
          <cell r="E9575">
            <v>0.1</v>
          </cell>
          <cell r="F9575">
            <v>0.1</v>
          </cell>
        </row>
        <row r="9576">
          <cell r="A9576" t="str">
            <v>423365</v>
          </cell>
          <cell r="B9576" t="str">
            <v xml:space="preserve">Porca sextavada, de aço zincado, ø1/2", ref. DP-618, fab. DISPAN ou similar </v>
          </cell>
          <cell r="C9576" t="str">
            <v>ud</v>
          </cell>
          <cell r="D9576">
            <v>0</v>
          </cell>
          <cell r="E9576">
            <v>0.2</v>
          </cell>
          <cell r="F9576">
            <v>0.2</v>
          </cell>
        </row>
        <row r="9577">
          <cell r="A9577" t="str">
            <v>423366</v>
          </cell>
          <cell r="B9577" t="str">
            <v>Parafuso tipo lentilha, ø 1/4", em aço inox, completo com uma porca e uma arruela lisa, REF.DP-613, fab. DISPAN ou similar</v>
          </cell>
          <cell r="C9577" t="str">
            <v>ud</v>
          </cell>
          <cell r="D9577">
            <v>0</v>
          </cell>
          <cell r="E9577">
            <v>1.21</v>
          </cell>
          <cell r="F9577">
            <v>1.21</v>
          </cell>
        </row>
        <row r="9578">
          <cell r="A9578" t="str">
            <v>423367</v>
          </cell>
          <cell r="B9578" t="str">
            <v xml:space="preserve">Parafuso tipo lentilha, ø 5/16", em aço zincado, REF. DP-613, fab. DISPAN ou similar </v>
          </cell>
          <cell r="C9578" t="str">
            <v>ud</v>
          </cell>
          <cell r="D9578">
            <v>0</v>
          </cell>
          <cell r="E9578">
            <v>0.23</v>
          </cell>
          <cell r="F9578">
            <v>0.23</v>
          </cell>
        </row>
        <row r="9579">
          <cell r="A9579" t="str">
            <v>423368</v>
          </cell>
          <cell r="B9579" t="str">
            <v xml:space="preserve">Porca losangular com rosca, com mola, em aço galvanizado, ø 1/4", ref. DP-622, fab. DISPAN ou similar </v>
          </cell>
          <cell r="C9579" t="str">
            <v>ud</v>
          </cell>
          <cell r="D9579">
            <v>0</v>
          </cell>
          <cell r="E9579">
            <v>1.78</v>
          </cell>
          <cell r="F9579">
            <v>1.78</v>
          </cell>
        </row>
        <row r="9580">
          <cell r="A9580" t="str">
            <v>423369</v>
          </cell>
          <cell r="B9580" t="str">
            <v xml:space="preserve">Porca losangular com rosca, com mola, em aço galvanizado, ø 5/16", ref. DP-622, fab. DISPAN ou similar </v>
          </cell>
          <cell r="C9580" t="str">
            <v>ud</v>
          </cell>
          <cell r="D9580">
            <v>0</v>
          </cell>
          <cell r="E9580">
            <v>2.4500000000000002</v>
          </cell>
          <cell r="F9580">
            <v>2.4500000000000002</v>
          </cell>
        </row>
        <row r="9581">
          <cell r="A9581" t="str">
            <v>423370</v>
          </cell>
          <cell r="B9581" t="str">
            <v xml:space="preserve">Porca losangular com rosca, com mola, em aço galvanizado, ø 3/8", ref. DP-622, fab. DISPAN ou similar </v>
          </cell>
          <cell r="C9581" t="str">
            <v>ud</v>
          </cell>
          <cell r="D9581">
            <v>0</v>
          </cell>
          <cell r="E9581">
            <v>2.4500000000000002</v>
          </cell>
          <cell r="F9581">
            <v>2.4500000000000002</v>
          </cell>
        </row>
        <row r="9582">
          <cell r="A9582" t="str">
            <v>423371</v>
          </cell>
          <cell r="B9582" t="str">
            <v xml:space="preserve">Porca losangular com rosca, com mola, em aço galvanizado, ø 1/2", ref. DP-622, fab. DISPAN ou similar </v>
          </cell>
          <cell r="C9582" t="str">
            <v>ud</v>
          </cell>
          <cell r="D9582">
            <v>0</v>
          </cell>
          <cell r="E9582">
            <v>3.69</v>
          </cell>
          <cell r="F9582">
            <v>3.69</v>
          </cell>
        </row>
        <row r="9583">
          <cell r="A9583" t="str">
            <v>423372</v>
          </cell>
          <cell r="B9583" t="str">
            <v xml:space="preserve">Porca sextavada, de aço inox 306,  ø 1/4", ref. DP-618, fab. DISPAN ou similar </v>
          </cell>
          <cell r="C9583" t="str">
            <v>ud</v>
          </cell>
          <cell r="D9583">
            <v>0</v>
          </cell>
          <cell r="E9583">
            <v>0.3</v>
          </cell>
          <cell r="F9583">
            <v>0.3</v>
          </cell>
        </row>
        <row r="9584">
          <cell r="A9584" t="str">
            <v>423373</v>
          </cell>
          <cell r="B9584" t="str">
            <v xml:space="preserve">Porca sextavada, de aço inox 306,  ø 5/16", ref. DP-618, fab. DISPAN ou similar </v>
          </cell>
          <cell r="C9584" t="str">
            <v>ud</v>
          </cell>
          <cell r="D9584">
            <v>0</v>
          </cell>
          <cell r="E9584">
            <v>0.4</v>
          </cell>
          <cell r="F9584">
            <v>0.4</v>
          </cell>
        </row>
        <row r="9585">
          <cell r="A9585" t="str">
            <v>423374</v>
          </cell>
          <cell r="B9585" t="str">
            <v xml:space="preserve">Porca sextavada, de aço inox 306,  ø 3/8", ref. DP-618, fab. DISPAN ou similar </v>
          </cell>
          <cell r="C9585" t="str">
            <v>ud</v>
          </cell>
          <cell r="D9585">
            <v>0</v>
          </cell>
          <cell r="E9585">
            <v>0.49</v>
          </cell>
          <cell r="F9585">
            <v>0.49</v>
          </cell>
        </row>
        <row r="9586">
          <cell r="A9586" t="str">
            <v>423375</v>
          </cell>
          <cell r="B9586" t="str">
            <v xml:space="preserve">Porca sextavada, de aço inox 306,  ø 1/2", ref. DP-618, fab. DISPAN ou similar </v>
          </cell>
          <cell r="C9586" t="str">
            <v>ud</v>
          </cell>
          <cell r="D9586">
            <v>0</v>
          </cell>
          <cell r="E9586">
            <v>0.89</v>
          </cell>
          <cell r="F9586">
            <v>0.89</v>
          </cell>
        </row>
        <row r="9587">
          <cell r="A9587" t="str">
            <v>423376</v>
          </cell>
          <cell r="B9587" t="str">
            <v>Parafuso cabeça lentilha, em aço inox, ref. DP-613, fab. DISPAN ou similar, bitola 1/4" x 3/4"</v>
          </cell>
          <cell r="C9587" t="str">
            <v>ud</v>
          </cell>
          <cell r="D9587">
            <v>0</v>
          </cell>
          <cell r="E9587">
            <v>0.57999999999999996</v>
          </cell>
          <cell r="F9587">
            <v>0.57999999999999996</v>
          </cell>
        </row>
        <row r="9588">
          <cell r="A9588" t="str">
            <v>423377</v>
          </cell>
          <cell r="B9588" t="str">
            <v>Parafuso cabeça lentilha, em aço inox, ref. DP-613, fab. DISPAN ou similar, bitola 5/16" x 3/4"</v>
          </cell>
          <cell r="C9588" t="str">
            <v>ud</v>
          </cell>
          <cell r="D9588">
            <v>0</v>
          </cell>
          <cell r="E9588">
            <v>0.78</v>
          </cell>
          <cell r="F9588">
            <v>0.78</v>
          </cell>
        </row>
        <row r="9589">
          <cell r="A9589" t="str">
            <v>423378</v>
          </cell>
          <cell r="B9589" t="str">
            <v>Parafuso cabeça lentilha, em aço inox, ref. DP-613, fab. DISPAN ou similar, bitola 3/8" x 3/4"</v>
          </cell>
          <cell r="C9589" t="str">
            <v>ud</v>
          </cell>
          <cell r="D9589">
            <v>0</v>
          </cell>
          <cell r="E9589">
            <v>0.96</v>
          </cell>
          <cell r="F9589">
            <v>0.96</v>
          </cell>
        </row>
        <row r="9590">
          <cell r="A9590" t="str">
            <v>423379</v>
          </cell>
          <cell r="B9590" t="str">
            <v>Parafuso cabeça lentilha, em aço zincado, ref. DP-613, fab. DISPAN ou similar, bitola 1/4" x 3/4"</v>
          </cell>
          <cell r="C9590" t="str">
            <v>ud</v>
          </cell>
          <cell r="D9590">
            <v>0</v>
          </cell>
          <cell r="E9590">
            <v>0.1</v>
          </cell>
          <cell r="F9590">
            <v>0.1</v>
          </cell>
        </row>
        <row r="9591">
          <cell r="A9591" t="str">
            <v>423380</v>
          </cell>
          <cell r="B9591" t="str">
            <v>Parafuso cabeça lentilha, em aço zincado, ref. DP-613, fab. DISPAN ou similar, bitola 5/16" x 3/4"</v>
          </cell>
          <cell r="C9591" t="str">
            <v>ud</v>
          </cell>
          <cell r="D9591">
            <v>0</v>
          </cell>
          <cell r="E9591">
            <v>0.2</v>
          </cell>
          <cell r="F9591">
            <v>0.2</v>
          </cell>
        </row>
        <row r="9592">
          <cell r="A9592" t="str">
            <v>423381</v>
          </cell>
          <cell r="B9592" t="str">
            <v>Parafuso tipo lentilha, em aço zincado, ref. DP-613, fab. DISPAN ou similar, bitola 3/8" x 3/4"</v>
          </cell>
          <cell r="C9592" t="str">
            <v>ud</v>
          </cell>
          <cell r="D9592">
            <v>0</v>
          </cell>
          <cell r="E9592">
            <v>0.3</v>
          </cell>
          <cell r="F9592">
            <v>0.3</v>
          </cell>
        </row>
        <row r="9593">
          <cell r="A9593" t="str">
            <v>423382</v>
          </cell>
          <cell r="B9593" t="str">
            <v>Parafuso de aço inox, cabeça sextavada, com porca e arruela lisa, fab. CISER ou similar, bitola 1/4"x1"</v>
          </cell>
          <cell r="C9593" t="str">
            <v>ud</v>
          </cell>
          <cell r="D9593">
            <v>0</v>
          </cell>
          <cell r="E9593">
            <v>0.28000000000000003</v>
          </cell>
          <cell r="F9593">
            <v>0.28000000000000003</v>
          </cell>
        </row>
        <row r="9594">
          <cell r="A9594" t="str">
            <v>423383</v>
          </cell>
          <cell r="B9594" t="str">
            <v>Parafuso de aço inox, cabeça sextavada, com porca e arruela lisa, fab. CISER ou similar, bitola 1/4"x1.1/2"</v>
          </cell>
          <cell r="C9594" t="str">
            <v>ud</v>
          </cell>
          <cell r="D9594">
            <v>0</v>
          </cell>
          <cell r="E9594">
            <v>0.37</v>
          </cell>
          <cell r="F9594">
            <v>0.37</v>
          </cell>
        </row>
        <row r="9595">
          <cell r="A9595" t="str">
            <v>423384</v>
          </cell>
          <cell r="B9595" t="str">
            <v xml:space="preserve">Parafuso de aço inox, cabeça sextavada, com porca e arruela lisa, fab. CISER ou similar, bitola 5/16 x 1/2" </v>
          </cell>
          <cell r="C9595" t="str">
            <v>ud</v>
          </cell>
          <cell r="D9595">
            <v>0</v>
          </cell>
          <cell r="E9595">
            <v>0.28000000000000003</v>
          </cell>
          <cell r="F9595">
            <v>0.28000000000000003</v>
          </cell>
        </row>
        <row r="9596">
          <cell r="A9596" t="str">
            <v>423385</v>
          </cell>
          <cell r="B9596" t="str">
            <v>Parafuso de aço inox, cabeça sextavada, com porca e arruela lisa, fab. CISER ou similar, bitola 5/16"x3/4"</v>
          </cell>
          <cell r="C9596" t="str">
            <v>ud</v>
          </cell>
          <cell r="D9596">
            <v>0</v>
          </cell>
          <cell r="E9596">
            <v>0.33</v>
          </cell>
          <cell r="F9596">
            <v>0.33</v>
          </cell>
        </row>
        <row r="9597">
          <cell r="A9597" t="str">
            <v>423386</v>
          </cell>
          <cell r="B9597" t="str">
            <v>Parafuso de aço inox, cabeça sextavada, com porca e arruela lisa, fab. CISER ou similar, bitola 5/16"x1"</v>
          </cell>
          <cell r="C9597" t="str">
            <v>ud</v>
          </cell>
          <cell r="D9597">
            <v>0</v>
          </cell>
          <cell r="E9597">
            <v>0.4</v>
          </cell>
          <cell r="F9597">
            <v>0.4</v>
          </cell>
        </row>
        <row r="9598">
          <cell r="A9598" t="str">
            <v>423387</v>
          </cell>
          <cell r="B9598" t="str">
            <v>Parafuso de aço inox, cabeça sextavada, com porca e arruela lisa, fab. CISER ou similar, bitola 5/16"x1.1/2"</v>
          </cell>
          <cell r="C9598" t="str">
            <v>ud</v>
          </cell>
          <cell r="D9598">
            <v>0</v>
          </cell>
          <cell r="E9598">
            <v>0.51</v>
          </cell>
          <cell r="F9598">
            <v>0.51</v>
          </cell>
        </row>
        <row r="9599">
          <cell r="A9599" t="str">
            <v>423388</v>
          </cell>
          <cell r="B9599" t="str">
            <v>Parafuso de aço inox, cabeça sextavada, com porca e arruela lisa, fab. CISER ou similar, bitola 5/16"x2"</v>
          </cell>
          <cell r="C9599" t="str">
            <v>ud</v>
          </cell>
          <cell r="D9599">
            <v>0</v>
          </cell>
          <cell r="E9599">
            <v>0.63</v>
          </cell>
          <cell r="F9599">
            <v>0.63</v>
          </cell>
        </row>
        <row r="9600">
          <cell r="A9600" t="str">
            <v>4234</v>
          </cell>
          <cell r="B9600" t="str">
            <v>POSTES, CRUZETAS E ACESSÓRIOS</v>
          </cell>
          <cell r="C9600">
            <v>0</v>
          </cell>
          <cell r="D9600">
            <v>0</v>
          </cell>
          <cell r="E9600">
            <v>0</v>
          </cell>
          <cell r="F9600">
            <v>0</v>
          </cell>
        </row>
        <row r="9601">
          <cell r="A9601" t="str">
            <v>423401</v>
          </cell>
          <cell r="B9601" t="str">
            <v>Armação secundária, pesada em aço galvanizado a fogo, com um estribo, cod. 400019,  fab.  ROMAGNOLE  ou  similar</v>
          </cell>
          <cell r="C9601" t="str">
            <v>ud</v>
          </cell>
          <cell r="D9601">
            <v>0</v>
          </cell>
          <cell r="E9601">
            <v>11</v>
          </cell>
          <cell r="F9601">
            <v>11</v>
          </cell>
        </row>
        <row r="9602">
          <cell r="A9602" t="str">
            <v>423402</v>
          </cell>
          <cell r="B9602" t="str">
            <v>Cruzeta em aço galvanizado a fogo, perfil cantoneira  2.1/2"x2.1/2"x1/4", comprimento 2,0 m, ref. ROMAGNOLE ou similar</v>
          </cell>
          <cell r="C9602" t="str">
            <v>ud</v>
          </cell>
          <cell r="D9602">
            <v>0</v>
          </cell>
          <cell r="E9602">
            <v>122.49</v>
          </cell>
          <cell r="F9602">
            <v>122.49</v>
          </cell>
        </row>
        <row r="9603">
          <cell r="A9603" t="str">
            <v>423403</v>
          </cell>
          <cell r="B9603" t="str">
            <v>Cruzeta de aço galvanizado a fogo,  perfil cantoneira com abas iguais, medindo 3"x3"x1/4", comprimento 2,00m, ref. ROMAGNOLE ou similar</v>
          </cell>
          <cell r="C9603" t="str">
            <v>ud</v>
          </cell>
          <cell r="D9603">
            <v>0</v>
          </cell>
          <cell r="E9603">
            <v>149.84</v>
          </cell>
          <cell r="F9603">
            <v>149.84</v>
          </cell>
        </row>
        <row r="9604">
          <cell r="A9604" t="str">
            <v>423404</v>
          </cell>
          <cell r="B9604" t="str">
            <v>Cruzeta em concreto retangular, nas dimensões 90x90x2,00M, 250 DAN,  fab. ROMAGNOLE ou similar</v>
          </cell>
          <cell r="C9604" t="str">
            <v>ud</v>
          </cell>
          <cell r="D9604">
            <v>0</v>
          </cell>
          <cell r="E9604">
            <v>71.819999999999993</v>
          </cell>
          <cell r="F9604">
            <v>71.819999999999993</v>
          </cell>
          <cell r="G9604">
            <v>34519</v>
          </cell>
        </row>
        <row r="9605">
          <cell r="A9605" t="str">
            <v>423405</v>
          </cell>
          <cell r="B9605" t="str">
            <v>Cabeçote em alumínio, para uso em entradas de energia, fab. SÃO LUCAS ou similar, bitola 3/4"</v>
          </cell>
          <cell r="C9605" t="str">
            <v>ud</v>
          </cell>
          <cell r="D9605">
            <v>0</v>
          </cell>
          <cell r="E9605">
            <v>2.9</v>
          </cell>
          <cell r="F9605">
            <v>2.9</v>
          </cell>
          <cell r="G9605">
            <v>0</v>
          </cell>
        </row>
        <row r="9606">
          <cell r="A9606" t="str">
            <v>423406</v>
          </cell>
          <cell r="B9606" t="str">
            <v>Cabeçote em alumínio, para uso em entradas de energia, fab. SÃO LUCAS ou similar, bitola 1"</v>
          </cell>
          <cell r="C9606" t="str">
            <v>ud</v>
          </cell>
          <cell r="D9606">
            <v>0</v>
          </cell>
          <cell r="E9606">
            <v>3.9</v>
          </cell>
          <cell r="F9606">
            <v>3.9</v>
          </cell>
        </row>
        <row r="9607">
          <cell r="A9607" t="str">
            <v>423407</v>
          </cell>
          <cell r="B9607" t="str">
            <v>Cabeçote em alumínio, para uso em entradas de energia, fab. SÃO LUCAS ou similar, bitola 1.1/4"</v>
          </cell>
          <cell r="C9607" t="str">
            <v>ud</v>
          </cell>
          <cell r="D9607">
            <v>0</v>
          </cell>
          <cell r="E9607">
            <v>5</v>
          </cell>
          <cell r="F9607">
            <v>5</v>
          </cell>
        </row>
        <row r="9608">
          <cell r="A9608" t="str">
            <v>423408</v>
          </cell>
          <cell r="B9608" t="str">
            <v>Cabeçote em alumínio, para uso em entradas de energia, fab. SÃO LUCAS ou similar, bitola 1.1/2"</v>
          </cell>
          <cell r="C9608" t="str">
            <v>ud</v>
          </cell>
          <cell r="D9608">
            <v>0</v>
          </cell>
          <cell r="E9608">
            <v>5.5</v>
          </cell>
          <cell r="F9608">
            <v>5.5</v>
          </cell>
        </row>
        <row r="9609">
          <cell r="A9609" t="str">
            <v>423409</v>
          </cell>
          <cell r="B9609" t="str">
            <v>Cabeçote em alumínio, para uso em entradas de energia, fab. SÃO LUCAS ou similar, bitola 2"</v>
          </cell>
          <cell r="C9609" t="str">
            <v>ud</v>
          </cell>
          <cell r="D9609">
            <v>0</v>
          </cell>
          <cell r="E9609">
            <v>9</v>
          </cell>
          <cell r="F9609">
            <v>9</v>
          </cell>
        </row>
        <row r="9610">
          <cell r="A9610" t="str">
            <v>423410</v>
          </cell>
          <cell r="B9610" t="str">
            <v>Cabeçote em alumínio, para uso em entradas de energia, fab. SÃO LUCAS ou similar, bitola 2.1/2"</v>
          </cell>
          <cell r="C9610" t="str">
            <v>ud</v>
          </cell>
          <cell r="D9610">
            <v>0</v>
          </cell>
          <cell r="E9610">
            <v>15</v>
          </cell>
          <cell r="F9610">
            <v>15</v>
          </cell>
        </row>
        <row r="9611">
          <cell r="A9611" t="str">
            <v>423411</v>
          </cell>
          <cell r="B9611" t="str">
            <v>Cabeçote em alumínio, para uso em entradas de energia, fab. SÃO LUCAS ou similar, bitola 3"</v>
          </cell>
          <cell r="C9611" t="str">
            <v>ud</v>
          </cell>
          <cell r="D9611">
            <v>0</v>
          </cell>
          <cell r="E9611">
            <v>22</v>
          </cell>
          <cell r="F9611">
            <v>22</v>
          </cell>
        </row>
        <row r="9612">
          <cell r="A9612" t="str">
            <v>423412</v>
          </cell>
          <cell r="B9612" t="str">
            <v>Cabeçote em alumínio, para uso em entradas de energia, fab. SÃO LUCAS ou similar, bitola 4"</v>
          </cell>
          <cell r="C9612" t="str">
            <v>ud</v>
          </cell>
          <cell r="D9612">
            <v>0</v>
          </cell>
          <cell r="E9612">
            <v>30</v>
          </cell>
          <cell r="F9612">
            <v>30</v>
          </cell>
        </row>
        <row r="9613">
          <cell r="A9613" t="str">
            <v>423413</v>
          </cell>
          <cell r="B9613" t="str">
            <v>Mão francesa plana em aço galvanizado à fogo, fab. ROMAGNOLE ou similar, medida 1/4"x32x619mm</v>
          </cell>
          <cell r="C9613" t="str">
            <v>ud</v>
          </cell>
          <cell r="D9613">
            <v>0</v>
          </cell>
          <cell r="E9613">
            <v>9.1999999999999993</v>
          </cell>
          <cell r="F9613">
            <v>9.1999999999999993</v>
          </cell>
        </row>
        <row r="9614">
          <cell r="A9614" t="str">
            <v>423414</v>
          </cell>
          <cell r="B9614" t="str">
            <v>Mão francesa plana em aço galvanizado à fogo, fab. ROMAGNOLE ou similar, medida 1/4"x32x710mm</v>
          </cell>
          <cell r="C9614" t="str">
            <v>ud</v>
          </cell>
          <cell r="D9614">
            <v>0</v>
          </cell>
          <cell r="E9614">
            <v>10.46</v>
          </cell>
          <cell r="F9614">
            <v>10.46</v>
          </cell>
        </row>
        <row r="9615">
          <cell r="A9615" t="str">
            <v>423415</v>
          </cell>
          <cell r="B9615" t="str">
            <v>Mão francesa plana em aço galvanizado à fogo, fab. ROMAGNOLE ou similar, medida 1/4"x32x1053mm</v>
          </cell>
          <cell r="C9615" t="str">
            <v>ud</v>
          </cell>
          <cell r="D9615">
            <v>0</v>
          </cell>
          <cell r="E9615">
            <v>15.17</v>
          </cell>
          <cell r="F9615">
            <v>15.17</v>
          </cell>
        </row>
        <row r="9616">
          <cell r="A9616" t="str">
            <v>423416</v>
          </cell>
          <cell r="B9616" t="str">
            <v>Mão francesa perfilada em aço galvanizado à fogo, fab. ROMAGNOLE ou similar, medida 38x5x726mm</v>
          </cell>
          <cell r="C9616" t="str">
            <v>ud</v>
          </cell>
          <cell r="D9616">
            <v>0</v>
          </cell>
          <cell r="E9616">
            <v>21.26</v>
          </cell>
          <cell r="F9616">
            <v>21.26</v>
          </cell>
        </row>
        <row r="9617">
          <cell r="A9617" t="str">
            <v>423417</v>
          </cell>
          <cell r="B9617" t="str">
            <v>Mão francesa perfilada em aço galvanizado à fogo, fab. ROMAGNOLE ou similar, medida 38x5x993mm</v>
          </cell>
          <cell r="C9617" t="str">
            <v>ud</v>
          </cell>
          <cell r="D9617">
            <v>0</v>
          </cell>
          <cell r="E9617">
            <v>26.32</v>
          </cell>
          <cell r="F9617">
            <v>26.32</v>
          </cell>
        </row>
        <row r="9618">
          <cell r="A9618" t="str">
            <v>423418</v>
          </cell>
          <cell r="B9618" t="str">
            <v>Mão francesa perfilada em aço galvanizado à fogo, fab. ROMAGNOLE ou similar, medida 38x5x1534mm</v>
          </cell>
          <cell r="C9618" t="str">
            <v>ud</v>
          </cell>
          <cell r="D9618">
            <v>0</v>
          </cell>
          <cell r="E9618">
            <v>39.229999999999997</v>
          </cell>
          <cell r="F9618">
            <v>39.229999999999997</v>
          </cell>
        </row>
        <row r="9619">
          <cell r="A9619" t="str">
            <v>423419</v>
          </cell>
          <cell r="B9619" t="str">
            <v>Poste de concreto armado, seção duplo "T", com descida de cabo terra, DAN 150, fab. ROMAGNOLE ou similar, medida 7m</v>
          </cell>
          <cell r="C9619" t="str">
            <v>ud</v>
          </cell>
          <cell r="D9619">
            <v>0</v>
          </cell>
          <cell r="E9619">
            <v>355.45</v>
          </cell>
          <cell r="F9619">
            <v>355.45</v>
          </cell>
        </row>
        <row r="9620">
          <cell r="A9620" t="str">
            <v>423420</v>
          </cell>
          <cell r="B9620" t="str">
            <v>Poste de concreto armado, seção duplo "T", com descida de cabo terra, DAN 150, fab. ROMAGNOLE ou similar, medida 9m</v>
          </cell>
          <cell r="C9620" t="str">
            <v>ud</v>
          </cell>
          <cell r="D9620">
            <v>0</v>
          </cell>
          <cell r="E9620">
            <v>478.04</v>
          </cell>
          <cell r="F9620">
            <v>478.04</v>
          </cell>
        </row>
        <row r="9621">
          <cell r="A9621" t="str">
            <v>423421</v>
          </cell>
          <cell r="B9621" t="str">
            <v>Poste de concreto armado, seção duplo "T", com descida de cabo terra, DAN 150, fab. ROMAGNOLE ou similar, medida 10,5m</v>
          </cell>
          <cell r="C9621" t="str">
            <v>ud</v>
          </cell>
          <cell r="D9621">
            <v>0</v>
          </cell>
          <cell r="E9621">
            <v>573.29</v>
          </cell>
          <cell r="F9621">
            <v>573.29</v>
          </cell>
        </row>
        <row r="9622">
          <cell r="A9622" t="str">
            <v>423423</v>
          </cell>
          <cell r="B9622" t="str">
            <v>Poste de concreto armado, seção duplo "T", com descida de cabo terra, DAN 200, fab. ROMAGNOLE ou similar, medida 7,2m</v>
          </cell>
          <cell r="C9622" t="str">
            <v>ud</v>
          </cell>
          <cell r="D9622">
            <v>0</v>
          </cell>
          <cell r="E9622">
            <v>460.65</v>
          </cell>
          <cell r="F9622">
            <v>460.65</v>
          </cell>
        </row>
        <row r="9623">
          <cell r="A9623" t="str">
            <v>423424</v>
          </cell>
          <cell r="B9623" t="str">
            <v>Poste de concreto armado, seção duplo "T", com descida de cabo terra, DAN 200, fab. ROMAGNOLE ou similar, medida 9m</v>
          </cell>
          <cell r="C9623" t="str">
            <v>ud</v>
          </cell>
          <cell r="D9623">
            <v>0</v>
          </cell>
          <cell r="E9623">
            <v>525.28</v>
          </cell>
          <cell r="F9623">
            <v>525.28</v>
          </cell>
        </row>
        <row r="9624">
          <cell r="A9624" t="str">
            <v>423425</v>
          </cell>
          <cell r="B9624" t="str">
            <v>Poste de concreto armado, seção duplo "T", com descida de cabo terra, DAN 200, fab. ROMAGNOLE ou similar, medida 10,5m</v>
          </cell>
          <cell r="C9624" t="str">
            <v>ud</v>
          </cell>
          <cell r="D9624">
            <v>0</v>
          </cell>
          <cell r="E9624">
            <v>672.09</v>
          </cell>
          <cell r="F9624">
            <v>672.09</v>
          </cell>
        </row>
        <row r="9625">
          <cell r="A9625" t="str">
            <v>423426</v>
          </cell>
          <cell r="B9625" t="str">
            <v>Poste de concreto armado, seção duplo "T", com descida de cabo terra, DAN 200, fab. ROMAGNOLE ou similar, medida 12m</v>
          </cell>
          <cell r="C9625" t="str">
            <v>ud</v>
          </cell>
          <cell r="D9625">
            <v>0</v>
          </cell>
          <cell r="E9625">
            <v>815.29</v>
          </cell>
          <cell r="F9625">
            <v>815.29</v>
          </cell>
        </row>
        <row r="9626">
          <cell r="A9626" t="str">
            <v>423427</v>
          </cell>
          <cell r="B9626" t="str">
            <v>Poste de concreto armado, seção duplo "T", com descida de cabo terra, DAN 300, fab. ROMAGNOLE ou similar, medida 9m</v>
          </cell>
          <cell r="C9626" t="str">
            <v>ud</v>
          </cell>
          <cell r="D9626">
            <v>0</v>
          </cell>
          <cell r="E9626">
            <v>722.82</v>
          </cell>
          <cell r="F9626">
            <v>722.82</v>
          </cell>
        </row>
        <row r="9627">
          <cell r="A9627" t="str">
            <v>423428</v>
          </cell>
          <cell r="B9627" t="str">
            <v>Poste de concreto armado, seção duplo "T", com descida de cabo terra, DAN 300, fab. ROMAGNOLE ou similar, medida 10,5m</v>
          </cell>
          <cell r="C9627" t="str">
            <v>ud</v>
          </cell>
          <cell r="D9627">
            <v>0</v>
          </cell>
          <cell r="E9627">
            <v>846.79</v>
          </cell>
          <cell r="F9627">
            <v>846.79</v>
          </cell>
        </row>
        <row r="9628">
          <cell r="A9628" t="str">
            <v>423429</v>
          </cell>
          <cell r="B9628" t="str">
            <v>Poste de concreto armado, seção duplo "T", com descida de cabo terra, DAN 300, fab. ROMAGNOLE ou similar, medida 12m</v>
          </cell>
          <cell r="C9628" t="str">
            <v>ud</v>
          </cell>
          <cell r="D9628">
            <v>0</v>
          </cell>
          <cell r="E9628">
            <v>1074.08</v>
          </cell>
          <cell r="F9628">
            <v>1074.08</v>
          </cell>
        </row>
        <row r="9629">
          <cell r="A9629" t="str">
            <v>423430</v>
          </cell>
          <cell r="B9629" t="str">
            <v>Poste de concreto armado, seção duplo "T", com descida de cabo terra, DAN 300, fab. ROMAGNOLE ou similar, medida 15m</v>
          </cell>
          <cell r="C9629" t="str">
            <v>ud</v>
          </cell>
          <cell r="D9629">
            <v>0</v>
          </cell>
          <cell r="E9629">
            <v>1825.52</v>
          </cell>
          <cell r="F9629">
            <v>1825.52</v>
          </cell>
        </row>
        <row r="9630">
          <cell r="A9630" t="str">
            <v>423431</v>
          </cell>
          <cell r="B9630" t="str">
            <v>Poste de concreto armado, seção duplo "T", com descida de cabo terra, DAN 600, fab. ROMAGNOLE ou similar, medida 9m</v>
          </cell>
          <cell r="C9630" t="str">
            <v>ud</v>
          </cell>
          <cell r="D9630">
            <v>0</v>
          </cell>
          <cell r="E9630">
            <v>878.3</v>
          </cell>
          <cell r="F9630">
            <v>878.3</v>
          </cell>
        </row>
        <row r="9631">
          <cell r="A9631" t="str">
            <v>423432</v>
          </cell>
          <cell r="B9631" t="str">
            <v>Poste de concreto armado, seção duplo "T", com descida de cabo terra, DAN 600, fab. ROMAGNOLE ou similar, medida 10,5m</v>
          </cell>
          <cell r="C9631" t="str">
            <v>ud</v>
          </cell>
          <cell r="D9631">
            <v>0</v>
          </cell>
          <cell r="E9631">
            <v>1013.1</v>
          </cell>
          <cell r="F9631">
            <v>1013.1</v>
          </cell>
        </row>
        <row r="9632">
          <cell r="A9632" t="str">
            <v>423433</v>
          </cell>
          <cell r="B9632" t="str">
            <v>Poste de concreto armado, seção duplo "T", com descida de cabo terra, DAN 600, fab. ROMAGNOLE ou similar, medida 12m</v>
          </cell>
          <cell r="C9632" t="str">
            <v>ud</v>
          </cell>
          <cell r="D9632">
            <v>0</v>
          </cell>
          <cell r="E9632">
            <v>1315.92</v>
          </cell>
          <cell r="F9632">
            <v>1315.92</v>
          </cell>
        </row>
        <row r="9633">
          <cell r="A9633" t="str">
            <v>423434</v>
          </cell>
          <cell r="B9633" t="str">
            <v>Poste de concreto armado, seção duplo "T", com descida de cabo terra, DAN 600, fab. ROMAGNOLE ou similar, medida 15m</v>
          </cell>
          <cell r="C9633" t="str">
            <v>ud</v>
          </cell>
          <cell r="D9633">
            <v>0</v>
          </cell>
          <cell r="E9633">
            <v>2090.6799999999998</v>
          </cell>
          <cell r="F9633">
            <v>2090.6799999999998</v>
          </cell>
        </row>
        <row r="9634">
          <cell r="A9634" t="str">
            <v>423435</v>
          </cell>
          <cell r="B9634" t="str">
            <v>Poste de concreto armado, seção duplo "T", com descida de cabo terra, DAN 600, fab. ROMAGNOLE ou similar, medida 16m</v>
          </cell>
          <cell r="C9634" t="str">
            <v>ud</v>
          </cell>
          <cell r="D9634">
            <v>0</v>
          </cell>
          <cell r="E9634">
            <v>2415.23</v>
          </cell>
          <cell r="F9634">
            <v>2415.23</v>
          </cell>
        </row>
        <row r="9635">
          <cell r="A9635" t="str">
            <v>423436</v>
          </cell>
          <cell r="B9635" t="str">
            <v>Poste de concreto armado, seção duplo "T", com descida de cabo terra, DAN 300, fab. ROMAGNOLE ou similar, medida 7,20m</v>
          </cell>
          <cell r="C9635" t="str">
            <v>ud</v>
          </cell>
          <cell r="D9635">
            <v>0</v>
          </cell>
          <cell r="E9635">
            <v>401.4</v>
          </cell>
          <cell r="F9635">
            <v>401.4</v>
          </cell>
        </row>
        <row r="9636">
          <cell r="A9636" t="str">
            <v>4235</v>
          </cell>
          <cell r="B9636" t="str">
            <v>PRENSA CABO EM ALUMINIO, NYLON E LATÃO</v>
          </cell>
          <cell r="C9636">
            <v>0</v>
          </cell>
          <cell r="D9636">
            <v>0</v>
          </cell>
          <cell r="E9636">
            <v>0</v>
          </cell>
          <cell r="F9636">
            <v>0</v>
          </cell>
        </row>
        <row r="9637">
          <cell r="A9637" t="str">
            <v>423501</v>
          </cell>
          <cell r="B9637" t="str">
            <v>Prensa cabo de conexão em latão tipo GT-P22, para cabo bitola 35mm fab. GAMATEC ou similar</v>
          </cell>
          <cell r="C9637" t="str">
            <v>ud</v>
          </cell>
          <cell r="D9637">
            <v>0</v>
          </cell>
          <cell r="E9637">
            <v>6.5</v>
          </cell>
          <cell r="F9637">
            <v>6.5</v>
          </cell>
        </row>
        <row r="9638">
          <cell r="A9638" t="str">
            <v>423502</v>
          </cell>
          <cell r="B9638" t="str">
            <v>Prensa cabo em alumínio silício, rosca BSP, ref. PC.  fab. WETZEL ou similar, bitola 1/2"</v>
          </cell>
          <cell r="C9638" t="str">
            <v>ud</v>
          </cell>
          <cell r="D9638">
            <v>0</v>
          </cell>
          <cell r="E9638">
            <v>6.46</v>
          </cell>
          <cell r="F9638">
            <v>6.46</v>
          </cell>
          <cell r="G9638">
            <v>1598</v>
          </cell>
        </row>
        <row r="9639">
          <cell r="A9639" t="str">
            <v>423503</v>
          </cell>
          <cell r="B9639" t="str">
            <v>Prensa cabo em alumínio silício, rosca BSP, ref. PC.  fab. WETZEL ou similar, bitola 3/4"</v>
          </cell>
          <cell r="C9639" t="str">
            <v>ud</v>
          </cell>
          <cell r="D9639">
            <v>0</v>
          </cell>
          <cell r="E9639">
            <v>7.5</v>
          </cell>
          <cell r="F9639">
            <v>7.5</v>
          </cell>
          <cell r="G9639">
            <v>1599</v>
          </cell>
        </row>
        <row r="9640">
          <cell r="A9640" t="str">
            <v>423504</v>
          </cell>
          <cell r="B9640" t="str">
            <v>Prensa cabo em alumínio silício, rosca BSP, ref. PC.  fab. WETZEL ou similar, bitola 1"</v>
          </cell>
          <cell r="C9640" t="str">
            <v>ud</v>
          </cell>
          <cell r="D9640">
            <v>0</v>
          </cell>
          <cell r="E9640">
            <v>9.5399999999999991</v>
          </cell>
          <cell r="F9640">
            <v>9.5399999999999991</v>
          </cell>
          <cell r="G9640">
            <v>1600</v>
          </cell>
        </row>
        <row r="9641">
          <cell r="A9641" t="str">
            <v>423505</v>
          </cell>
          <cell r="B9641" t="str">
            <v>Prensa cabo em alumínio silício, rosca BSP, ref. PC.  fab. WETZEL ou similar, bitola 1.1/4"</v>
          </cell>
          <cell r="C9641" t="str">
            <v>ud</v>
          </cell>
          <cell r="D9641">
            <v>0</v>
          </cell>
          <cell r="E9641">
            <v>21.84</v>
          </cell>
          <cell r="F9641">
            <v>21.84</v>
          </cell>
          <cell r="G9641">
            <v>1601</v>
          </cell>
        </row>
        <row r="9642">
          <cell r="A9642" t="str">
            <v>423506</v>
          </cell>
          <cell r="B9642" t="str">
            <v>Prensa cabo em alumínio silício, rosca BSP, ref. PC.  fab. WETZEL ou similar, bitola 1.1/2"</v>
          </cell>
          <cell r="C9642" t="str">
            <v>ud</v>
          </cell>
          <cell r="D9642">
            <v>0</v>
          </cell>
          <cell r="E9642">
            <v>24.5</v>
          </cell>
          <cell r="F9642">
            <v>24.5</v>
          </cell>
          <cell r="G9642">
            <v>1602</v>
          </cell>
        </row>
        <row r="9643">
          <cell r="A9643" t="str">
            <v>423507</v>
          </cell>
          <cell r="B9643" t="str">
            <v>Prensa cabo em alumínio silício, rosca BSP, ref. PC.  fab. WETZEL ou similar, bitola 2"</v>
          </cell>
          <cell r="C9643" t="str">
            <v>ud</v>
          </cell>
          <cell r="D9643">
            <v>0</v>
          </cell>
          <cell r="E9643">
            <v>36.99</v>
          </cell>
          <cell r="F9643">
            <v>36.99</v>
          </cell>
          <cell r="G9643">
            <v>1603</v>
          </cell>
        </row>
        <row r="9644">
          <cell r="A9644" t="str">
            <v>423509</v>
          </cell>
          <cell r="B9644" t="str">
            <v>Prensa cabo em nylon-6 (poliamida-6), rosca BSP, ref. WG-10.  fab. WETZEL ou similar, bitola 1/2"</v>
          </cell>
          <cell r="C9644" t="str">
            <v>ud</v>
          </cell>
          <cell r="D9644">
            <v>0</v>
          </cell>
          <cell r="E9644">
            <v>1.66</v>
          </cell>
          <cell r="F9644">
            <v>1.66</v>
          </cell>
          <cell r="G9644">
            <v>0</v>
          </cell>
        </row>
        <row r="9645">
          <cell r="A9645" t="str">
            <v>423510</v>
          </cell>
          <cell r="B9645" t="str">
            <v>Prensa cabo em nylon-6 (poliamida-6), rosca BSP, ref. WG-15.  fab. WETZEL ou similar, bitola 3/4"</v>
          </cell>
          <cell r="C9645" t="str">
            <v>ud</v>
          </cell>
          <cell r="D9645">
            <v>0</v>
          </cell>
          <cell r="E9645">
            <v>2.0099999999999998</v>
          </cell>
          <cell r="F9645">
            <v>2.0099999999999998</v>
          </cell>
        </row>
        <row r="9646">
          <cell r="A9646" t="str">
            <v>423511</v>
          </cell>
          <cell r="B9646" t="str">
            <v>Prensa cabo em nylon-6 (poliamida-6), rosca BSP, ref. WG-20.  fab. WETZEL ou similar, bitola 1"</v>
          </cell>
          <cell r="C9646" t="str">
            <v>ud</v>
          </cell>
          <cell r="D9646">
            <v>0</v>
          </cell>
          <cell r="E9646">
            <v>4.7</v>
          </cell>
          <cell r="F9646">
            <v>4.7</v>
          </cell>
        </row>
        <row r="9647">
          <cell r="A9647" t="str">
            <v>423512</v>
          </cell>
          <cell r="B9647" t="str">
            <v>Prensa cabo em nylon-6 (poliamida-6), rosca BSP, ref. WG-25.  fab. WETZEL ou similar, bitola 1.1/4"</v>
          </cell>
          <cell r="C9647" t="str">
            <v>ud</v>
          </cell>
          <cell r="D9647">
            <v>0</v>
          </cell>
          <cell r="E9647">
            <v>8.5399999999999991</v>
          </cell>
          <cell r="F9647">
            <v>8.5399999999999991</v>
          </cell>
        </row>
        <row r="9648">
          <cell r="A9648" t="str">
            <v>423513</v>
          </cell>
          <cell r="B9648" t="str">
            <v>Prensa cabo em nylon-6 (poliamida-6), rosca BSP, ref. WG-30.  fab. WETZEL ou similar, bitola 1.1/2"</v>
          </cell>
          <cell r="C9648" t="str">
            <v>ud</v>
          </cell>
          <cell r="D9648">
            <v>0</v>
          </cell>
          <cell r="E9648">
            <v>13.76</v>
          </cell>
          <cell r="F9648">
            <v>13.76</v>
          </cell>
        </row>
        <row r="9649">
          <cell r="A9649" t="str">
            <v>423514</v>
          </cell>
          <cell r="B9649" t="str">
            <v>Prensa cabo em nylon-6 (poliamida-6), rosca BSP, ref. WG-35.  fab. WETZEL ou similar, bitola 2"</v>
          </cell>
          <cell r="C9649" t="str">
            <v>ud</v>
          </cell>
          <cell r="D9649">
            <v>0</v>
          </cell>
          <cell r="E9649">
            <v>27.26</v>
          </cell>
          <cell r="F9649">
            <v>27.26</v>
          </cell>
        </row>
        <row r="9650">
          <cell r="A9650" t="str">
            <v>423517</v>
          </cell>
          <cell r="B9650" t="str">
            <v>Prensa cabo em latão niquelado, IP68 - 10bar, ref. HSK-M, fab. HUMMEL ou similar, bitola 1/2" NPT aperto 5-9mm</v>
          </cell>
          <cell r="C9650" t="str">
            <v>ud</v>
          </cell>
          <cell r="D9650">
            <v>0</v>
          </cell>
          <cell r="E9650">
            <v>20.29</v>
          </cell>
          <cell r="F9650">
            <v>20.29</v>
          </cell>
        </row>
        <row r="9651">
          <cell r="A9651" t="str">
            <v>423518</v>
          </cell>
          <cell r="B9651" t="str">
            <v>Prensa cabo em latão niquelado, IP68 - 10bar, ref. HSK-M, fab. HUMMEL ou similar, bitola 3/4" NPT aperto 9-16mm</v>
          </cell>
          <cell r="C9651" t="str">
            <v>ud</v>
          </cell>
          <cell r="D9651">
            <v>0</v>
          </cell>
          <cell r="E9651">
            <v>38.119999999999997</v>
          </cell>
          <cell r="F9651">
            <v>38.119999999999997</v>
          </cell>
        </row>
        <row r="9652">
          <cell r="A9652" t="str">
            <v>423519</v>
          </cell>
          <cell r="B9652" t="str">
            <v>Prensa cabo em latão niquelado, IP68 - 10bar, ref. HSK-M, fab. HUMMEL ou similar, bitola 1" NPT aperto 18-25mm</v>
          </cell>
          <cell r="C9652" t="str">
            <v>ud</v>
          </cell>
          <cell r="D9652">
            <v>0</v>
          </cell>
          <cell r="E9652">
            <v>112.99</v>
          </cell>
          <cell r="F9652">
            <v>112.99</v>
          </cell>
        </row>
        <row r="9653">
          <cell r="A9653" t="str">
            <v>423520</v>
          </cell>
          <cell r="B9653" t="str">
            <v xml:space="preserve">Prensa cabo união para cabo não armado, fabricado em aluminio Br Ex d Gb IIC / Br Ex e Gb II / Br Ex nR Gc II - IP66/67/68 - 1/2" BSP passagem 7,2 a 11,7 mm, tipo A2F/ER fab. BLINDA ou similar </v>
          </cell>
          <cell r="C9653" t="str">
            <v>ud</v>
          </cell>
          <cell r="D9653">
            <v>0</v>
          </cell>
          <cell r="E9653">
            <v>95.78</v>
          </cell>
          <cell r="F9653">
            <v>95.78</v>
          </cell>
        </row>
        <row r="9654">
          <cell r="A9654" t="str">
            <v>423521</v>
          </cell>
          <cell r="B9654" t="str">
            <v xml:space="preserve">Prensa cabo união para cabo não armado, fabricado em aluminio Br Ex d Gb IIC / Br Ex e Gb II / Br Ex nR Gc II - IP66/67/68 - 3/4" BSP passagem 9,6 a 14 mm, tipo A2F/ER fab. BLINDA ou similar </v>
          </cell>
          <cell r="C9654" t="str">
            <v>ud</v>
          </cell>
          <cell r="D9654">
            <v>0</v>
          </cell>
          <cell r="E9654">
            <v>95.78</v>
          </cell>
          <cell r="F9654">
            <v>95.78</v>
          </cell>
        </row>
        <row r="9655">
          <cell r="A9655" t="str">
            <v>423522</v>
          </cell>
          <cell r="B9655" t="str">
            <v xml:space="preserve">Prensa cabo união para cabo não armado, fabricado em aluminio Br Ex d Gb IIC / Br Ex e Gb II / Br Ex nR Gc II - IP66/67/68 - 1" BSP passagem 13,5 a 20 mm, tipo A2F/ER fab. BLINDA ou similar </v>
          </cell>
          <cell r="C9655" t="str">
            <v>ud</v>
          </cell>
          <cell r="D9655">
            <v>0</v>
          </cell>
          <cell r="E9655">
            <v>124.53</v>
          </cell>
          <cell r="F9655">
            <v>124.53</v>
          </cell>
        </row>
        <row r="9656">
          <cell r="A9656" t="str">
            <v>423523</v>
          </cell>
          <cell r="B9656" t="str">
            <v xml:space="preserve">Prensa cabo união para cabo não armado, fabricado em aluminio Br Ex d Gb IIC / Br Ex e Gb II / Br Ex nR Gc II - IP66/67/68 - 1 1/4" BSP passagem 19,5 a 26,3mm, tipo A2F/ER fab. BLINDA ou similar </v>
          </cell>
          <cell r="C9656" t="str">
            <v>ud</v>
          </cell>
          <cell r="D9656">
            <v>0</v>
          </cell>
          <cell r="E9656">
            <v>143.71</v>
          </cell>
          <cell r="F9656">
            <v>143.71</v>
          </cell>
        </row>
        <row r="9657">
          <cell r="A9657" t="str">
            <v>423524</v>
          </cell>
          <cell r="B9657" t="str">
            <v xml:space="preserve">Prensa cabo união para cabo não armado, fabricado em aluminio Br Ex d Gb IIC / Br Ex e Gb II / Br Ex nR Gc II - IP66/67/68 - 1 1/2" BSP passagem 23 a 32,2mm, tipo A2F/ER fab. BLINDA ou similar </v>
          </cell>
          <cell r="C9657" t="str">
            <v>ud</v>
          </cell>
          <cell r="D9657">
            <v>0</v>
          </cell>
          <cell r="E9657">
            <v>143.53</v>
          </cell>
          <cell r="F9657">
            <v>143.53</v>
          </cell>
        </row>
        <row r="9658">
          <cell r="A9658" t="str">
            <v>423525</v>
          </cell>
          <cell r="B9658" t="str">
            <v xml:space="preserve">Prensa cabo união para cabo não armado, fabricado em aluminio Br Ex d Gb IIC / Br Ex e Gb II / Br Ex nR Gc II - IP66/67/68 - 1 1/2" BSP passagem 28,2 a 38,2mm, tipo A2F/ER fab. BLINDA ou similar </v>
          </cell>
          <cell r="C9658" t="str">
            <v>ud</v>
          </cell>
          <cell r="D9658">
            <v>0</v>
          </cell>
          <cell r="E9658">
            <v>143.55000000000001</v>
          </cell>
          <cell r="F9658">
            <v>143.55000000000001</v>
          </cell>
        </row>
        <row r="9659">
          <cell r="A9659" t="str">
            <v>423526</v>
          </cell>
          <cell r="B9659" t="str">
            <v xml:space="preserve">Prensa cabo união para cabo não armado, fabricado em aluminio Br Ex d Gb IIC / Br Ex e Gb II / Br Ex nR Gc II - IP66/67/68 - 2" BSP passagem 33,2 a 44,1mm, tipo A2F/ER fab. BLINDA ou similar </v>
          </cell>
          <cell r="C9659" t="str">
            <v>ud</v>
          </cell>
          <cell r="D9659">
            <v>0</v>
          </cell>
          <cell r="E9659">
            <v>395.5</v>
          </cell>
          <cell r="F9659">
            <v>395.5</v>
          </cell>
        </row>
        <row r="9660">
          <cell r="A9660" t="str">
            <v>423527</v>
          </cell>
          <cell r="B9660" t="str">
            <v xml:space="preserve">Prensa cabo união para cabo não armado, fabricado em aluminio Br Ex d Gb IIC / Br Ex e Gb II / Br Ex nR Gc II - IP66/67/68 Zonas - 3" BSP passagem 58,1 a 68mm, tipo A2F/ER fab. BLINDA ou similar </v>
          </cell>
          <cell r="C9660" t="str">
            <v>ud</v>
          </cell>
          <cell r="D9660">
            <v>0</v>
          </cell>
          <cell r="E9660">
            <v>791.68</v>
          </cell>
          <cell r="F9660">
            <v>791.68</v>
          </cell>
        </row>
        <row r="9661">
          <cell r="A9661" t="str">
            <v>4236</v>
          </cell>
          <cell r="B9661" t="str">
            <v>QUADRO DE DISJUNTORES E DE DISTRIBUIÇÃO E BOTOEIRAS</v>
          </cell>
          <cell r="C9661">
            <v>0</v>
          </cell>
          <cell r="D9661">
            <v>0</v>
          </cell>
          <cell r="E9661">
            <v>0</v>
          </cell>
          <cell r="F9661">
            <v>0</v>
          </cell>
        </row>
        <row r="9662">
          <cell r="A9662" t="str">
            <v>423601</v>
          </cell>
          <cell r="B9662" t="str">
            <v xml:space="preserve">Botoeira de comando composta por caixa em PVC 150x110x70, ref. CBOX-OB, IP-67, fab. CEMAR,  com um botão de comando com chave yale, furação 22,3mm, cód. YPP/02+E-111, fab. ACE ou similar </v>
          </cell>
          <cell r="C9662" t="str">
            <v>ud</v>
          </cell>
          <cell r="D9662">
            <v>0</v>
          </cell>
          <cell r="E9662">
            <v>191.03</v>
          </cell>
          <cell r="F9662">
            <v>191.03</v>
          </cell>
        </row>
        <row r="9663">
          <cell r="A9663" t="str">
            <v>423602</v>
          </cell>
          <cell r="B9663" t="str">
            <v>Botoeira portátil completa em PVC, com dois furos ø22mm centralizados dimensões 240x190x90mm, ref. CBOX-OB, fab. CEMAR, com 2 botões ø22,3mm, ref. BP2/05+E111 com a plaqueta indicadora "liga", fab. ACE ou similar</v>
          </cell>
          <cell r="C9663" t="str">
            <v>ud</v>
          </cell>
          <cell r="D9663">
            <v>0</v>
          </cell>
          <cell r="E9663">
            <v>220.43</v>
          </cell>
          <cell r="F9663">
            <v>220.43</v>
          </cell>
        </row>
        <row r="9664">
          <cell r="A9664" t="str">
            <v>423603</v>
          </cell>
          <cell r="B9664" t="str">
            <v>Botoeira portátil completa em PVC, com dois furos ø30mm centralizados dimensões 80x120x50mm, ref. CBOX-OB, fab. CEMAR, com 2 botões ø22,3mm tipo BP2/05+E111, com a plaqueta indicadora "liga", fab. ACE ou similar</v>
          </cell>
          <cell r="C9664" t="str">
            <v>ud</v>
          </cell>
          <cell r="D9664">
            <v>0</v>
          </cell>
          <cell r="E9664">
            <v>162.76</v>
          </cell>
          <cell r="F9664">
            <v>162.76</v>
          </cell>
        </row>
        <row r="9665">
          <cell r="A9665" t="str">
            <v>423604</v>
          </cell>
          <cell r="B9665" t="str">
            <v>Chave de posicionamento fim de curso, em caixa de alumínio, IP-67, com alavanca variável com roldana, tipo ZV-7H-235-11Z, fab. ACE ou similar</v>
          </cell>
          <cell r="C9665" t="str">
            <v>ud</v>
          </cell>
          <cell r="D9665">
            <v>0</v>
          </cell>
          <cell r="E9665">
            <v>229</v>
          </cell>
          <cell r="F9665">
            <v>229</v>
          </cell>
        </row>
        <row r="9666">
          <cell r="A9666" t="str">
            <v>423605</v>
          </cell>
          <cell r="B9666" t="str">
            <v>Quadro de disjuntor de sobrepor em material termoplástico auto-extingüivel (ABS), IP55 com escotilha vertical para quatro disjuntores norma DIN, ref.: S.SCTCT.4, fab. STECK ou similar</v>
          </cell>
          <cell r="C9666" t="str">
            <v>ud</v>
          </cell>
          <cell r="D9666">
            <v>0</v>
          </cell>
          <cell r="E9666">
            <v>5.0999999999999996</v>
          </cell>
          <cell r="F9666">
            <v>5.0999999999999996</v>
          </cell>
        </row>
        <row r="9667">
          <cell r="A9667" t="str">
            <v>423606</v>
          </cell>
          <cell r="B9667" t="str">
            <v>Quadro de distribuição de embutir, em material isolante auto-extinguível, porta reversível opaca, com uma fila de 12 módulos + 2 módulos com pré corte, medidas 305x330x86, ref. 014 11, fab. PIAL ou similar</v>
          </cell>
          <cell r="C9667" t="str">
            <v>ud</v>
          </cell>
          <cell r="D9667">
            <v>0</v>
          </cell>
          <cell r="E9667">
            <v>201.43</v>
          </cell>
          <cell r="F9667">
            <v>201.43</v>
          </cell>
        </row>
        <row r="9668">
          <cell r="A9668" t="str">
            <v>423607</v>
          </cell>
          <cell r="B9668" t="str">
            <v>Quadro de distribuição de sobrepor norma DIN, em chapa de aço galvanizado, com porta, para disjuntores, sem barramento, 1 a 4 disjuntores, dimensões: 150x115x75mm, fab. BRUZAMOLIN ou similar</v>
          </cell>
          <cell r="C9668" t="str">
            <v>ud</v>
          </cell>
          <cell r="D9668">
            <v>0</v>
          </cell>
          <cell r="E9668">
            <v>34.47</v>
          </cell>
          <cell r="F9668">
            <v>34.47</v>
          </cell>
        </row>
        <row r="9669">
          <cell r="A9669" t="str">
            <v>423608</v>
          </cell>
          <cell r="B9669" t="str">
            <v>Quadro de distribuição de sobrepor norma DIN, em chapa de aço galvanizado, com porta, para disjuntores, sem barramento, 4 a 8 disjuntores, dimensões: 245x195x80mm,  fab. BRUZAMOLIN ou similar</v>
          </cell>
          <cell r="C9669" t="str">
            <v>ud</v>
          </cell>
          <cell r="D9669">
            <v>0</v>
          </cell>
          <cell r="E9669">
            <v>46.08</v>
          </cell>
          <cell r="F9669">
            <v>46.08</v>
          </cell>
        </row>
        <row r="9670">
          <cell r="A9670" t="str">
            <v>423609</v>
          </cell>
          <cell r="B9670" t="str">
            <v>Quadro de distribuição de sobrepor norma DIN, em chapa de aço galvanizado, com porta, para disjuntores, sem barramento,  4 a 8 disjuntores, dimensões: 320x270x80mm, fab. BRUZAMOLIN ou similar</v>
          </cell>
          <cell r="C9670" t="str">
            <v>ud</v>
          </cell>
          <cell r="D9670">
            <v>0</v>
          </cell>
          <cell r="E9670">
            <v>104.14</v>
          </cell>
          <cell r="F9670">
            <v>104.14</v>
          </cell>
        </row>
        <row r="9671">
          <cell r="A9671" t="str">
            <v>423610</v>
          </cell>
          <cell r="B9671" t="str">
            <v>Quadro metálico de sobrepor ao tempo para abrigo de equipamentos, fabricado em chapa de aço 16MSG,  medidas H=300mm, L=300mm, P=150mm, ref. CEMAR ou similar</v>
          </cell>
          <cell r="C9671" t="str">
            <v>ud</v>
          </cell>
          <cell r="D9671">
            <v>0</v>
          </cell>
          <cell r="E9671">
            <v>176.45</v>
          </cell>
          <cell r="F9671">
            <v>176.45</v>
          </cell>
        </row>
        <row r="9672">
          <cell r="A9672" t="str">
            <v>423611</v>
          </cell>
          <cell r="B9672" t="str">
            <v>Quadro de distribuição de sobrepor norma DIN, em PVC, para disjuntores na posição vertical, ref. Cemarplast II, fab. CEMAR ou similar, para 4 disjuntores</v>
          </cell>
          <cell r="C9672" t="str">
            <v>ud</v>
          </cell>
          <cell r="D9672">
            <v>0</v>
          </cell>
          <cell r="E9672">
            <v>19.59</v>
          </cell>
          <cell r="F9672">
            <v>19.59</v>
          </cell>
        </row>
        <row r="9673">
          <cell r="A9673" t="str">
            <v>423612</v>
          </cell>
          <cell r="B9673" t="str">
            <v>Quadro de distribuição de sobrepor norma DIN, em PVC, para disjuntores na posição vertical, com barramento de neutro e terra, ref. Cemarplast II, fab. CEMAR ou similar, para 8 disjuntores</v>
          </cell>
          <cell r="C9673" t="str">
            <v>ud</v>
          </cell>
          <cell r="D9673">
            <v>0</v>
          </cell>
          <cell r="E9673">
            <v>41.7</v>
          </cell>
          <cell r="F9673">
            <v>41.7</v>
          </cell>
        </row>
        <row r="9674">
          <cell r="A9674" t="str">
            <v>423613</v>
          </cell>
          <cell r="B9674" t="str">
            <v>Quadro de distribuição de sobrepor norma DIN, em PVC, para disjuntores na posição vertical, com barramento de neutro e terra, ref. Cemarplast II, fab. CEMAR ou similar, para 16 disjuntores</v>
          </cell>
          <cell r="C9674" t="str">
            <v>ud</v>
          </cell>
          <cell r="D9674">
            <v>0</v>
          </cell>
          <cell r="E9674">
            <v>56.38</v>
          </cell>
          <cell r="F9674">
            <v>56.38</v>
          </cell>
        </row>
        <row r="9675">
          <cell r="A9675" t="str">
            <v>4238</v>
          </cell>
          <cell r="B9675" t="str">
            <v>SUPORTE (CINTA) PARA TRANSFORMADOR, TRILHOS</v>
          </cell>
          <cell r="C9675">
            <v>0</v>
          </cell>
          <cell r="D9675">
            <v>0</v>
          </cell>
          <cell r="E9675">
            <v>0</v>
          </cell>
          <cell r="F9675">
            <v>0</v>
          </cell>
        </row>
        <row r="9676">
          <cell r="A9676" t="str">
            <v>423801</v>
          </cell>
          <cell r="B9676" t="str">
            <v>Suporte (cinta) para transformador em poste de concreto duplo "T", em aço galvanizado à fogo, fab. ROMAGNOLE ou similar, na medida 130x65mm</v>
          </cell>
          <cell r="C9676" t="str">
            <v>ud</v>
          </cell>
          <cell r="D9676">
            <v>0</v>
          </cell>
          <cell r="E9676">
            <v>73.98</v>
          </cell>
          <cell r="F9676">
            <v>73.98</v>
          </cell>
        </row>
        <row r="9677">
          <cell r="A9677" t="str">
            <v>423802</v>
          </cell>
          <cell r="B9677" t="str">
            <v>Suporte (cinta) para transformador em poste de concreto duplo "T", em aço galvanizado à fogo, fab. ROMAGNOLE ou similar, na medida 140x75mm</v>
          </cell>
          <cell r="C9677" t="str">
            <v>ud</v>
          </cell>
          <cell r="D9677">
            <v>0</v>
          </cell>
          <cell r="E9677">
            <v>76.88</v>
          </cell>
          <cell r="F9677">
            <v>76.88</v>
          </cell>
        </row>
        <row r="9678">
          <cell r="A9678" t="str">
            <v>423803</v>
          </cell>
          <cell r="B9678" t="str">
            <v>Suporte (cinta) para transformador em poste de concreto duplo "T", em aço galvanizado à fogo, fab. ROMAGNOLE ou similar, na medida 150x85mm</v>
          </cell>
          <cell r="C9678" t="str">
            <v>ud</v>
          </cell>
          <cell r="D9678">
            <v>0</v>
          </cell>
          <cell r="E9678">
            <v>82.41</v>
          </cell>
          <cell r="F9678">
            <v>82.41</v>
          </cell>
        </row>
        <row r="9679">
          <cell r="A9679" t="str">
            <v>423804</v>
          </cell>
          <cell r="B9679" t="str">
            <v>Suporte (cinta) para transformador em poste de concreto duplo "T", em aço galvanizado à fogo, fab. ROMAGNOLE ou similar, na medida 160x85mm</v>
          </cell>
          <cell r="C9679" t="str">
            <v>ud</v>
          </cell>
          <cell r="D9679">
            <v>0</v>
          </cell>
          <cell r="E9679">
            <v>79.27</v>
          </cell>
          <cell r="F9679">
            <v>79.27</v>
          </cell>
        </row>
        <row r="9680">
          <cell r="A9680" t="str">
            <v>423805</v>
          </cell>
          <cell r="B9680" t="str">
            <v>Suporte (cinta) para transformador em poste de concreto duplo "T", em aço galvanizado à fogo, fab. ROMAGNOLE ou similar, na medida 185x95mm</v>
          </cell>
          <cell r="C9680" t="str">
            <v>ud</v>
          </cell>
          <cell r="D9680">
            <v>0</v>
          </cell>
          <cell r="E9680">
            <v>84.48</v>
          </cell>
          <cell r="F9680">
            <v>84.48</v>
          </cell>
        </row>
        <row r="9681">
          <cell r="A9681" t="str">
            <v>423806</v>
          </cell>
          <cell r="B9681" t="str">
            <v>Suporte (cinta) para transformador em poste de concreto duplo "T", em aço galvanizado à fogo, fab. ROMAGNOLE ou similar, na medida 195x100mm</v>
          </cell>
          <cell r="C9681" t="str">
            <v>ud</v>
          </cell>
          <cell r="D9681">
            <v>0</v>
          </cell>
          <cell r="E9681">
            <v>82.98</v>
          </cell>
          <cell r="F9681">
            <v>82.98</v>
          </cell>
        </row>
        <row r="9682">
          <cell r="A9682" t="str">
            <v>423807</v>
          </cell>
          <cell r="B9682" t="str">
            <v>Suporte (cinta) para transformador em poste de concreto duplo "T", em aço galvanizado à fogo, fab. ROMAGNOLE ou similar, na medida 210x115mm</v>
          </cell>
          <cell r="C9682" t="str">
            <v>ud</v>
          </cell>
          <cell r="D9682">
            <v>0</v>
          </cell>
          <cell r="E9682">
            <v>85.42</v>
          </cell>
          <cell r="F9682">
            <v>85.42</v>
          </cell>
        </row>
        <row r="9683">
          <cell r="A9683" t="str">
            <v>423808</v>
          </cell>
          <cell r="B9683" t="str">
            <v>Suporte (cinta) para transformador em poste de concreto duplo "T", em aço galvanizado à fogo, fab. ROMAGNOLE ou similar, na medida 230x125mm</v>
          </cell>
          <cell r="C9683" t="str">
            <v>ud</v>
          </cell>
          <cell r="D9683">
            <v>0</v>
          </cell>
          <cell r="E9683">
            <v>93.59</v>
          </cell>
          <cell r="F9683">
            <v>93.59</v>
          </cell>
        </row>
        <row r="9684">
          <cell r="A9684" t="str">
            <v>423810</v>
          </cell>
          <cell r="B9684" t="str">
            <v>Suporte (cinta) para transformador em poste de concreto seção circular, em aço galvanizado à fogo, fab. ROMAGNOLE ou similar, na medida 170mm</v>
          </cell>
          <cell r="C9684" t="str">
            <v>ud</v>
          </cell>
          <cell r="D9684">
            <v>0</v>
          </cell>
          <cell r="E9684">
            <v>74.33</v>
          </cell>
          <cell r="F9684">
            <v>74.33</v>
          </cell>
        </row>
        <row r="9685">
          <cell r="A9685" t="str">
            <v>423811</v>
          </cell>
          <cell r="B9685" t="str">
            <v>Suporte (cinta) para transformador em poste de concreto seção circular, em aço galvanizado à fogo, fab. ROMAGNOLE ou similar, na medida 200mm</v>
          </cell>
          <cell r="C9685" t="str">
            <v>ud</v>
          </cell>
          <cell r="D9685">
            <v>0</v>
          </cell>
          <cell r="E9685">
            <v>77.260000000000005</v>
          </cell>
          <cell r="F9685">
            <v>77.260000000000005</v>
          </cell>
        </row>
        <row r="9686">
          <cell r="A9686" t="str">
            <v>423812</v>
          </cell>
          <cell r="B9686" t="str">
            <v>Suporte (cinta) para transformador em poste de concreto seção circular, em aço galvanizado à fogo, fab. ROMAGNOLE ou similar, na medida 210mm</v>
          </cell>
          <cell r="C9686" t="str">
            <v>ud</v>
          </cell>
          <cell r="D9686">
            <v>0</v>
          </cell>
          <cell r="E9686">
            <v>78.319999999999993</v>
          </cell>
          <cell r="F9686">
            <v>78.319999999999993</v>
          </cell>
        </row>
        <row r="9687">
          <cell r="A9687" t="str">
            <v>423813</v>
          </cell>
          <cell r="B9687" t="str">
            <v>Suporte (cinta) para transformador em poste de concreto seção circular, em aço galvanizado à fogo, fab. ROMAGNOLE ou similar, na medida 220mm</v>
          </cell>
          <cell r="C9687" t="str">
            <v>ud</v>
          </cell>
          <cell r="D9687">
            <v>0</v>
          </cell>
          <cell r="E9687">
            <v>79.58</v>
          </cell>
          <cell r="F9687">
            <v>79.58</v>
          </cell>
        </row>
        <row r="9688">
          <cell r="A9688" t="str">
            <v>423815</v>
          </cell>
          <cell r="B9688" t="str">
            <v>Trilho em viga "U" de aço galvanizado a fogo 3"x2"x3/16", comprimento 2,60m</v>
          </cell>
          <cell r="C9688" t="str">
            <v>ud</v>
          </cell>
          <cell r="D9688">
            <v>0</v>
          </cell>
          <cell r="E9688">
            <v>312.82</v>
          </cell>
          <cell r="F9688">
            <v>312.82</v>
          </cell>
        </row>
        <row r="9689">
          <cell r="A9689" t="str">
            <v>423816</v>
          </cell>
          <cell r="B9689" t="str">
            <v>Trilho em viga "U" de aço galvanizado a fogo 3"x1"x3/16", comprimento 2,60m</v>
          </cell>
          <cell r="C9689" t="str">
            <v>ud</v>
          </cell>
          <cell r="D9689">
            <v>0</v>
          </cell>
          <cell r="E9689">
            <v>208.54</v>
          </cell>
          <cell r="F9689">
            <v>208.54</v>
          </cell>
        </row>
        <row r="9690">
          <cell r="A9690" t="str">
            <v>4240</v>
          </cell>
          <cell r="B9690" t="str">
            <v>MATERIAIS PARA AGUA, ESGOTO E  CONEXÕES</v>
          </cell>
          <cell r="C9690">
            <v>0</v>
          </cell>
          <cell r="D9690">
            <v>0</v>
          </cell>
          <cell r="E9690">
            <v>0</v>
          </cell>
          <cell r="F9690">
            <v>0</v>
          </cell>
        </row>
        <row r="9691">
          <cell r="A9691" t="str">
            <v>424001</v>
          </cell>
          <cell r="B9691" t="str">
            <v>Adaptador de aço galvanizado, DN 1/2" para mangueira 1/2", ref.  TUPY ou similar (286977)</v>
          </cell>
          <cell r="C9691" t="str">
            <v>ud</v>
          </cell>
          <cell r="D9691">
            <v>0</v>
          </cell>
          <cell r="E9691">
            <v>6.94</v>
          </cell>
          <cell r="F9691">
            <v>6.94</v>
          </cell>
        </row>
        <row r="9692">
          <cell r="A9692" t="str">
            <v>424002</v>
          </cell>
          <cell r="B9692" t="str">
            <v>Adaptador para eletroduto 3/4", ref. 36.00.524.6, fab. TIGRE ou similar</v>
          </cell>
          <cell r="C9692" t="str">
            <v>ud</v>
          </cell>
          <cell r="D9692">
            <v>0</v>
          </cell>
          <cell r="E9692">
            <v>0.35</v>
          </cell>
          <cell r="F9692">
            <v>0.35</v>
          </cell>
        </row>
        <row r="9693">
          <cell r="A9693" t="str">
            <v>424003</v>
          </cell>
          <cell r="B9693" t="str">
            <v>Adaptador soldável/roscável, bitola 1" x 3/4", ref. 36.00.258.9 fab. TIGRE ou similar</v>
          </cell>
          <cell r="C9693" t="str">
            <v>ud</v>
          </cell>
          <cell r="D9693">
            <v>0</v>
          </cell>
          <cell r="E9693">
            <v>0.94</v>
          </cell>
          <cell r="F9693">
            <v>0.94</v>
          </cell>
        </row>
        <row r="9694">
          <cell r="A9694" t="str">
            <v>424004</v>
          </cell>
          <cell r="B9694" t="str">
            <v>Adesivo para tubo de PVC, 175g, fab. TIGRE ou similar (295720)</v>
          </cell>
          <cell r="C9694" t="str">
            <v>ud</v>
          </cell>
          <cell r="D9694">
            <v>0</v>
          </cell>
          <cell r="E9694">
            <v>12.53</v>
          </cell>
          <cell r="F9694">
            <v>12.53</v>
          </cell>
        </row>
        <row r="9695">
          <cell r="A9695" t="str">
            <v>424005</v>
          </cell>
          <cell r="B9695" t="str">
            <v>Anel de vedação em borracha, ø1/4", ref. TEL-5301, fab. TERMOTÉCNICA ou similar</v>
          </cell>
          <cell r="C9695" t="str">
            <v>ud</v>
          </cell>
          <cell r="D9695">
            <v>0</v>
          </cell>
          <cell r="E9695">
            <v>0.35</v>
          </cell>
          <cell r="F9695">
            <v>0.35</v>
          </cell>
        </row>
        <row r="9696">
          <cell r="A9696" t="str">
            <v>424006</v>
          </cell>
          <cell r="B9696" t="str">
            <v>Bisnaga de Mastic Poliuretano, 310ml, tipo Sikaflex-1A, fab. SIKAFLEX ou similar</v>
          </cell>
          <cell r="C9696" t="str">
            <v>ud</v>
          </cell>
          <cell r="D9696">
            <v>0</v>
          </cell>
          <cell r="E9696">
            <v>60.9</v>
          </cell>
          <cell r="F9696">
            <v>60.9</v>
          </cell>
        </row>
        <row r="9697">
          <cell r="A9697" t="str">
            <v>424007</v>
          </cell>
          <cell r="B9697" t="str">
            <v>Chuveiro elétrico, 220V, 5500W, modelo "Ducha Relax", fab. LORENZETTI ou similar (285614)</v>
          </cell>
          <cell r="C9697" t="str">
            <v>ud</v>
          </cell>
          <cell r="D9697">
            <v>0</v>
          </cell>
          <cell r="E9697">
            <v>69.5</v>
          </cell>
          <cell r="F9697">
            <v>69.5</v>
          </cell>
        </row>
        <row r="9698">
          <cell r="A9698" t="str">
            <v>424008</v>
          </cell>
          <cell r="B9698" t="str">
            <v>Cola de silicone, bisnaga com 50g, fab. BRASCOLA ou similar (270024)</v>
          </cell>
          <cell r="C9698" t="str">
            <v>ud</v>
          </cell>
          <cell r="D9698">
            <v>0</v>
          </cell>
          <cell r="E9698">
            <v>6.6</v>
          </cell>
          <cell r="F9698">
            <v>6.6</v>
          </cell>
        </row>
        <row r="9699">
          <cell r="A9699" t="str">
            <v>424009</v>
          </cell>
          <cell r="B9699" t="str">
            <v>Cotovelo de PVC soldável, DN20mm, fab. TIGRE ou similar</v>
          </cell>
          <cell r="C9699" t="str">
            <v>ud</v>
          </cell>
          <cell r="D9699">
            <v>0</v>
          </cell>
          <cell r="E9699">
            <v>0.41</v>
          </cell>
          <cell r="F9699">
            <v>0.41</v>
          </cell>
          <cell r="G9699">
            <v>3542</v>
          </cell>
        </row>
        <row r="9700">
          <cell r="A9700" t="str">
            <v>424010</v>
          </cell>
          <cell r="B9700" t="str">
            <v>Cotovelo de PVC soldável, DN25mm, fab. TIGRE ou similar (21024)</v>
          </cell>
          <cell r="C9700" t="str">
            <v>ud</v>
          </cell>
          <cell r="D9700">
            <v>0</v>
          </cell>
          <cell r="E9700">
            <v>0.61</v>
          </cell>
          <cell r="F9700">
            <v>0.61</v>
          </cell>
          <cell r="G9700">
            <v>3529</v>
          </cell>
        </row>
        <row r="9701">
          <cell r="A9701" t="str">
            <v>424011</v>
          </cell>
          <cell r="B9701" t="str">
            <v>Cotovelo de PVC soldável, DN32mm, fab. TIGRE ou similar (21040)</v>
          </cell>
          <cell r="C9701" t="str">
            <v>ud</v>
          </cell>
          <cell r="D9701">
            <v>0</v>
          </cell>
          <cell r="E9701">
            <v>1.58</v>
          </cell>
          <cell r="F9701">
            <v>1.58</v>
          </cell>
          <cell r="G9701">
            <v>3536</v>
          </cell>
        </row>
        <row r="9702">
          <cell r="A9702" t="str">
            <v>424012</v>
          </cell>
          <cell r="B9702" t="str">
            <v>Curva de PVC soldável, DN20mm, fab. TIGRE ou similar (21008)</v>
          </cell>
          <cell r="C9702" t="str">
            <v>ud</v>
          </cell>
          <cell r="D9702">
            <v>0</v>
          </cell>
          <cell r="E9702">
            <v>1.1499999999999999</v>
          </cell>
          <cell r="F9702">
            <v>1.1499999999999999</v>
          </cell>
          <cell r="G9702">
            <v>1955</v>
          </cell>
        </row>
        <row r="9703">
          <cell r="A9703" t="str">
            <v>424013</v>
          </cell>
          <cell r="B9703" t="str">
            <v>Curva de PVC soldável, DN32mm, fab. TIGRE ou similar</v>
          </cell>
          <cell r="C9703" t="str">
            <v>ud</v>
          </cell>
          <cell r="D9703">
            <v>0</v>
          </cell>
          <cell r="E9703">
            <v>3.37</v>
          </cell>
          <cell r="F9703">
            <v>3.37</v>
          </cell>
          <cell r="G9703">
            <v>1957</v>
          </cell>
        </row>
        <row r="9704">
          <cell r="A9704" t="str">
            <v>424014</v>
          </cell>
          <cell r="B9704" t="str">
            <v>Fita veda rosca, 18mm x10m fab. TIGRE ou similar (273244)</v>
          </cell>
          <cell r="C9704" t="str">
            <v>ud</v>
          </cell>
          <cell r="D9704">
            <v>0</v>
          </cell>
          <cell r="E9704">
            <v>2.95</v>
          </cell>
          <cell r="F9704">
            <v>2.95</v>
          </cell>
          <cell r="G9704">
            <v>3146</v>
          </cell>
        </row>
        <row r="9705">
          <cell r="A9705" t="str">
            <v>424016</v>
          </cell>
          <cell r="B9705" t="str">
            <v xml:space="preserve">Luva de PVC, solda/rosca, 20mm x 1/2", fab. TIGRE ou similar </v>
          </cell>
          <cell r="C9705" t="str">
            <v>ud</v>
          </cell>
          <cell r="D9705">
            <v>0</v>
          </cell>
          <cell r="E9705">
            <v>0.92</v>
          </cell>
          <cell r="F9705">
            <v>0.92</v>
          </cell>
          <cell r="G9705">
            <v>3859</v>
          </cell>
        </row>
        <row r="9706">
          <cell r="A9706" t="str">
            <v>424017</v>
          </cell>
          <cell r="B9706" t="str">
            <v xml:space="preserve">Luva de PVC, solda/rosca, 25mm x 3/4",  fab. TIGRE ou similar </v>
          </cell>
          <cell r="C9706" t="str">
            <v>ud</v>
          </cell>
          <cell r="D9706">
            <v>0</v>
          </cell>
          <cell r="E9706">
            <v>1.06</v>
          </cell>
          <cell r="F9706">
            <v>1.06</v>
          </cell>
          <cell r="G9706">
            <v>3906</v>
          </cell>
        </row>
        <row r="9707">
          <cell r="A9707" t="str">
            <v>424018</v>
          </cell>
          <cell r="B9707" t="str">
            <v xml:space="preserve">Luva de redução de PVC soldável, bitola 50x25mm, fab. TIGRE ou similar </v>
          </cell>
          <cell r="C9707" t="str">
            <v>ud</v>
          </cell>
          <cell r="D9707">
            <v>0</v>
          </cell>
          <cell r="E9707">
            <v>4.24</v>
          </cell>
          <cell r="F9707">
            <v>4.24</v>
          </cell>
          <cell r="G9707">
            <v>0</v>
          </cell>
        </row>
        <row r="9708">
          <cell r="A9708" t="str">
            <v>424019</v>
          </cell>
          <cell r="B9708" t="str">
            <v>Mangueira trançada translúcida, bitola 1/4", fab. SPIRAFLEX ou similar</v>
          </cell>
          <cell r="C9708" t="str">
            <v>m</v>
          </cell>
          <cell r="D9708">
            <v>0</v>
          </cell>
          <cell r="E9708">
            <v>3.9</v>
          </cell>
          <cell r="F9708">
            <v>3.9</v>
          </cell>
        </row>
        <row r="9709">
          <cell r="A9709" t="str">
            <v>424020</v>
          </cell>
          <cell r="B9709" t="str">
            <v>Mangueira trançada translúcida, bitola 3/8", fab. SPIRAFLEX ou similar</v>
          </cell>
          <cell r="C9709" t="str">
            <v>m</v>
          </cell>
          <cell r="D9709">
            <v>0</v>
          </cell>
          <cell r="E9709">
            <v>4.9000000000000004</v>
          </cell>
          <cell r="F9709">
            <v>4.9000000000000004</v>
          </cell>
        </row>
        <row r="9710">
          <cell r="A9710" t="str">
            <v>424021</v>
          </cell>
          <cell r="B9710" t="str">
            <v>Manômetro de contato elétrico, duplo contato, 1NF+1NA, caixa standard, rosca 1/2" BSP, ligação vertical ø 100mm, escala 0-10kg/cm², ref. EMM-102, fab. WILLY ou similarilar</v>
          </cell>
          <cell r="C9710" t="str">
            <v>ud</v>
          </cell>
          <cell r="D9710">
            <v>0</v>
          </cell>
          <cell r="E9710">
            <v>1416</v>
          </cell>
          <cell r="F9710">
            <v>1416</v>
          </cell>
        </row>
        <row r="9711">
          <cell r="A9711" t="str">
            <v>424023</v>
          </cell>
          <cell r="B9711" t="str">
            <v>Registro  de esfera em PVC, soldável, DN 25mm (3/4"), fab. TIGRE ou similar</v>
          </cell>
          <cell r="C9711" t="str">
            <v>ud</v>
          </cell>
          <cell r="D9711">
            <v>0</v>
          </cell>
          <cell r="E9711">
            <v>21.22</v>
          </cell>
          <cell r="F9711">
            <v>21.22</v>
          </cell>
          <cell r="G9711">
            <v>11674</v>
          </cell>
        </row>
        <row r="9712">
          <cell r="A9712" t="str">
            <v>424024</v>
          </cell>
          <cell r="B9712" t="str">
            <v xml:space="preserve">Tê de redução de PVC solda/rosca de latão, DN32x20mm, fab. TIGRE ou similar </v>
          </cell>
          <cell r="C9712" t="str">
            <v>ud</v>
          </cell>
          <cell r="D9712">
            <v>0</v>
          </cell>
          <cell r="E9712">
            <v>11</v>
          </cell>
          <cell r="F9712">
            <v>11</v>
          </cell>
          <cell r="G9712">
            <v>0</v>
          </cell>
        </row>
        <row r="9713">
          <cell r="A9713" t="str">
            <v>424025</v>
          </cell>
          <cell r="B9713" t="str">
            <v>Tê de PVC soldável com redução, para água fria, fab. TIGRE ou similar, bitola 25x20mm</v>
          </cell>
          <cell r="C9713" t="str">
            <v>ud</v>
          </cell>
          <cell r="D9713">
            <v>0</v>
          </cell>
          <cell r="E9713">
            <v>2.42</v>
          </cell>
          <cell r="F9713">
            <v>2.42</v>
          </cell>
          <cell r="G9713">
            <v>7104</v>
          </cell>
        </row>
        <row r="9714">
          <cell r="A9714" t="str">
            <v>424026</v>
          </cell>
          <cell r="B9714" t="str">
            <v>Tê de PVC soldável com redução, para água fria, fab. TIGRE ou similar, bitola 32x25mm</v>
          </cell>
          <cell r="C9714" t="str">
            <v>ud</v>
          </cell>
          <cell r="D9714">
            <v>0</v>
          </cell>
          <cell r="E9714">
            <v>4.71</v>
          </cell>
          <cell r="F9714">
            <v>4.71</v>
          </cell>
          <cell r="G9714">
            <v>7136</v>
          </cell>
        </row>
        <row r="9715">
          <cell r="A9715" t="str">
            <v>424027</v>
          </cell>
          <cell r="B9715" t="str">
            <v>Tê de PVC soldável com redução, para água fria, fab. TIGRE ou similar, bitola 40x25mm</v>
          </cell>
          <cell r="C9715" t="str">
            <v>ud</v>
          </cell>
          <cell r="D9715">
            <v>0</v>
          </cell>
          <cell r="E9715">
            <v>5.3</v>
          </cell>
          <cell r="F9715">
            <v>5.3</v>
          </cell>
          <cell r="G9715">
            <v>0</v>
          </cell>
        </row>
        <row r="9716">
          <cell r="A9716" t="str">
            <v>424028</v>
          </cell>
          <cell r="B9716" t="str">
            <v>Tê de PVC soldável com redução, para água fria, fab. TIGRE ou similar, bitola 40x32mm</v>
          </cell>
          <cell r="C9716" t="str">
            <v>ud</v>
          </cell>
          <cell r="D9716">
            <v>0</v>
          </cell>
          <cell r="E9716">
            <v>6.42</v>
          </cell>
          <cell r="F9716">
            <v>6.42</v>
          </cell>
          <cell r="G9716">
            <v>7128</v>
          </cell>
        </row>
        <row r="9717">
          <cell r="A9717" t="str">
            <v>424029</v>
          </cell>
          <cell r="B9717" t="str">
            <v>Tê de PVC soldável com redução, para água fria, fab. TIGRE ou similar, bitola 50x20mm</v>
          </cell>
          <cell r="C9717" t="str">
            <v>ud</v>
          </cell>
          <cell r="D9717">
            <v>0</v>
          </cell>
          <cell r="E9717">
            <v>7.12</v>
          </cell>
          <cell r="F9717">
            <v>7.12</v>
          </cell>
          <cell r="G9717">
            <v>7108</v>
          </cell>
        </row>
        <row r="9718">
          <cell r="A9718" t="str">
            <v>424030</v>
          </cell>
          <cell r="B9718" t="str">
            <v>Tê de PVC soldável com redução, para água fria, fab. TIGRE ou similar, bitola 50x25mm</v>
          </cell>
          <cell r="C9718" t="str">
            <v>ud</v>
          </cell>
          <cell r="D9718">
            <v>0</v>
          </cell>
          <cell r="E9718">
            <v>7.15</v>
          </cell>
          <cell r="F9718">
            <v>7.15</v>
          </cell>
          <cell r="G9718">
            <v>7129</v>
          </cell>
        </row>
        <row r="9719">
          <cell r="A9719" t="str">
            <v>424031</v>
          </cell>
          <cell r="B9719" t="str">
            <v>Tê de PVC soldável com redução, para água fria, fab. TIGRE ou similar, bitola 50x32mm</v>
          </cell>
          <cell r="C9719" t="str">
            <v>ud</v>
          </cell>
          <cell r="D9719">
            <v>0</v>
          </cell>
          <cell r="E9719">
            <v>9.69</v>
          </cell>
          <cell r="F9719">
            <v>9.69</v>
          </cell>
          <cell r="G9719">
            <v>7130</v>
          </cell>
        </row>
        <row r="9720">
          <cell r="A9720" t="str">
            <v>424032</v>
          </cell>
          <cell r="B9720" t="str">
            <v>Tê de PVC soldável com redução, para água fria, fab. TIGRE ou similar, bitola 50x40mm</v>
          </cell>
          <cell r="C9720" t="str">
            <v>ud</v>
          </cell>
          <cell r="D9720">
            <v>0</v>
          </cell>
          <cell r="E9720">
            <v>11.14</v>
          </cell>
          <cell r="F9720">
            <v>11.14</v>
          </cell>
          <cell r="G9720">
            <v>7131</v>
          </cell>
        </row>
        <row r="9721">
          <cell r="A9721" t="str">
            <v>424033</v>
          </cell>
          <cell r="B9721" t="str">
            <v>Tê de PVC soldável com redução, para água fria, fab. TIGRE ou similar, bitola 60x25mm</v>
          </cell>
          <cell r="C9721" t="str">
            <v>ud</v>
          </cell>
          <cell r="D9721">
            <v>0</v>
          </cell>
          <cell r="E9721">
            <v>10.86</v>
          </cell>
          <cell r="F9721">
            <v>10.86</v>
          </cell>
          <cell r="G9721">
            <v>0</v>
          </cell>
        </row>
        <row r="9722">
          <cell r="A9722" t="str">
            <v>424034</v>
          </cell>
          <cell r="B9722" t="str">
            <v>Tê de PVC soldável com redução, para água fria, fab. TIGRE ou similar, bitola 75x50mm</v>
          </cell>
          <cell r="C9722" t="str">
            <v>ud</v>
          </cell>
          <cell r="D9722">
            <v>0</v>
          </cell>
          <cell r="E9722">
            <v>33.200000000000003</v>
          </cell>
          <cell r="F9722">
            <v>33.200000000000003</v>
          </cell>
          <cell r="G9722">
            <v>7132</v>
          </cell>
        </row>
        <row r="9723">
          <cell r="A9723" t="str">
            <v>424035</v>
          </cell>
          <cell r="B9723" t="str">
            <v>Tê de PVC soldável com redução, para água fria, fab. TIGRE ou similar, bitola 75x60mm</v>
          </cell>
          <cell r="C9723" t="str">
            <v>ud</v>
          </cell>
          <cell r="D9723">
            <v>0</v>
          </cell>
          <cell r="E9723">
            <v>59.54</v>
          </cell>
          <cell r="F9723">
            <v>59.54</v>
          </cell>
          <cell r="G9723">
            <v>0</v>
          </cell>
        </row>
        <row r="9724">
          <cell r="A9724" t="str">
            <v>424036</v>
          </cell>
          <cell r="B9724" t="str">
            <v>Tê de PVC soldável com redução, para água fria, fab. TIGRE ou similar, bitola 85x60mm</v>
          </cell>
          <cell r="C9724" t="str">
            <v>ud</v>
          </cell>
          <cell r="D9724">
            <v>0</v>
          </cell>
          <cell r="E9724">
            <v>52.69</v>
          </cell>
          <cell r="F9724">
            <v>52.69</v>
          </cell>
          <cell r="G9724">
            <v>7133</v>
          </cell>
        </row>
        <row r="9725">
          <cell r="A9725" t="str">
            <v>424037</v>
          </cell>
          <cell r="B9725" t="str">
            <v>Tê de PVC soldável com redução, para água fria, fab. TIGRE ou similar, bitola 85x75mm</v>
          </cell>
          <cell r="C9725" t="str">
            <v>ud</v>
          </cell>
          <cell r="D9725">
            <v>0</v>
          </cell>
          <cell r="E9725">
            <v>89.97</v>
          </cell>
          <cell r="F9725">
            <v>89.97</v>
          </cell>
          <cell r="G9725">
            <v>0</v>
          </cell>
        </row>
        <row r="9726">
          <cell r="A9726" t="str">
            <v>424038</v>
          </cell>
          <cell r="B9726" t="str">
            <v>Tê de PVC soldável com redução, para água fria, fab. TIGRE ou similar, bitola 110x60mm</v>
          </cell>
          <cell r="C9726" t="str">
            <v>ud</v>
          </cell>
          <cell r="D9726">
            <v>0</v>
          </cell>
          <cell r="E9726">
            <v>88.1</v>
          </cell>
          <cell r="F9726">
            <v>88.1</v>
          </cell>
          <cell r="G9726">
            <v>7106</v>
          </cell>
        </row>
        <row r="9727">
          <cell r="A9727" t="str">
            <v>424039</v>
          </cell>
          <cell r="B9727" t="str">
            <v>Tê de PVC soldável com redução, para água fria, fab. TIGRE ou similar, bitola 110x75mm</v>
          </cell>
          <cell r="C9727" t="str">
            <v>ud</v>
          </cell>
          <cell r="D9727">
            <v>0</v>
          </cell>
          <cell r="E9727">
            <v>79.88</v>
          </cell>
          <cell r="F9727">
            <v>79.88</v>
          </cell>
          <cell r="G9727">
            <v>0</v>
          </cell>
        </row>
        <row r="9728">
          <cell r="A9728" t="str">
            <v>424040</v>
          </cell>
          <cell r="B9728" t="str">
            <v>Tê de PVC soldável, para água fria, fab. TIGRE ou similar, bitola 25mm</v>
          </cell>
          <cell r="C9728" t="str">
            <v>ud</v>
          </cell>
          <cell r="D9728">
            <v>0</v>
          </cell>
          <cell r="E9728">
            <v>1.02</v>
          </cell>
          <cell r="F9728">
            <v>1.02</v>
          </cell>
          <cell r="G9728">
            <v>7139</v>
          </cell>
        </row>
        <row r="9729">
          <cell r="A9729" t="str">
            <v>424041</v>
          </cell>
          <cell r="B9729" t="str">
            <v>Tê de PVC soldável, para água fria, fab. TIGRE ou similar, bitola 32mm</v>
          </cell>
          <cell r="C9729" t="str">
            <v>ud</v>
          </cell>
          <cell r="D9729">
            <v>0</v>
          </cell>
          <cell r="E9729">
            <v>2.5299999999999998</v>
          </cell>
          <cell r="F9729">
            <v>2.5299999999999998</v>
          </cell>
          <cell r="G9729">
            <v>7140</v>
          </cell>
        </row>
        <row r="9730">
          <cell r="A9730" t="str">
            <v>424042</v>
          </cell>
          <cell r="B9730" t="str">
            <v>Tê de PVC soldável, para água fria, fab. TIGRE ou similar, bitola 40mm</v>
          </cell>
          <cell r="C9730" t="str">
            <v>ud</v>
          </cell>
          <cell r="D9730">
            <v>0</v>
          </cell>
          <cell r="E9730">
            <v>6.54</v>
          </cell>
          <cell r="F9730">
            <v>6.54</v>
          </cell>
          <cell r="G9730">
            <v>7141</v>
          </cell>
        </row>
        <row r="9731">
          <cell r="A9731" t="str">
            <v>424043</v>
          </cell>
          <cell r="B9731" t="str">
            <v>Tê de PVC soldável, para água fria, fab. TIGRE ou similar, bitola 50mm</v>
          </cell>
          <cell r="C9731" t="str">
            <v>ud</v>
          </cell>
          <cell r="D9731">
            <v>0</v>
          </cell>
          <cell r="E9731">
            <v>7.4</v>
          </cell>
          <cell r="F9731">
            <v>7.4</v>
          </cell>
          <cell r="G9731">
            <v>7142</v>
          </cell>
        </row>
        <row r="9732">
          <cell r="A9732" t="str">
            <v>424044</v>
          </cell>
          <cell r="B9732" t="str">
            <v>Tê de PVC soldável, para água fria, fab. TIGRE ou similar, bitola 60mm</v>
          </cell>
          <cell r="C9732" t="str">
            <v>ud</v>
          </cell>
          <cell r="D9732">
            <v>0</v>
          </cell>
          <cell r="E9732">
            <v>21.21</v>
          </cell>
          <cell r="F9732">
            <v>21.21</v>
          </cell>
          <cell r="G9732">
            <v>7143</v>
          </cell>
        </row>
        <row r="9733">
          <cell r="A9733" t="str">
            <v>424045</v>
          </cell>
          <cell r="B9733" t="str">
            <v>Tê de PVC soldável, para água fria, fab. TIGRE ou similar, bitola 75mm</v>
          </cell>
          <cell r="C9733" t="str">
            <v>ud</v>
          </cell>
          <cell r="D9733">
            <v>0</v>
          </cell>
          <cell r="E9733">
            <v>40.67</v>
          </cell>
          <cell r="F9733">
            <v>40.67</v>
          </cell>
          <cell r="G9733">
            <v>7144</v>
          </cell>
        </row>
        <row r="9734">
          <cell r="A9734" t="str">
            <v>424046</v>
          </cell>
          <cell r="B9734" t="str">
            <v>Tê de PVC soldável, para água fria, fab. TIGRE ou similar, bitola 85mm</v>
          </cell>
          <cell r="C9734" t="str">
            <v>ud</v>
          </cell>
          <cell r="D9734">
            <v>0</v>
          </cell>
          <cell r="E9734">
            <v>63.78</v>
          </cell>
          <cell r="F9734">
            <v>63.78</v>
          </cell>
          <cell r="G9734">
            <v>7145</v>
          </cell>
        </row>
        <row r="9735">
          <cell r="A9735" t="str">
            <v>424047</v>
          </cell>
          <cell r="B9735" t="str">
            <v>Tê de PVC soldável, para água fria, fab. TIGRE ou similar, bitola 110mm</v>
          </cell>
          <cell r="C9735" t="str">
            <v>ud</v>
          </cell>
          <cell r="D9735">
            <v>0</v>
          </cell>
          <cell r="E9735">
            <v>119.31</v>
          </cell>
          <cell r="F9735">
            <v>119.31</v>
          </cell>
          <cell r="G9735">
            <v>7146</v>
          </cell>
        </row>
        <row r="9736">
          <cell r="A9736" t="str">
            <v>424050</v>
          </cell>
          <cell r="B9736" t="str">
            <v>Torneira elétrica, 127V, 4500W, modelo "Clean", fab. LORENZETTI ou similar</v>
          </cell>
          <cell r="C9736" t="str">
            <v>ud</v>
          </cell>
          <cell r="D9736">
            <v>0</v>
          </cell>
          <cell r="E9736">
            <v>121.47</v>
          </cell>
          <cell r="F9736">
            <v>121.47</v>
          </cell>
          <cell r="G9736">
            <v>0</v>
          </cell>
        </row>
        <row r="9737">
          <cell r="A9737" t="str">
            <v>424051</v>
          </cell>
          <cell r="B9737" t="str">
            <v>Torneira elétrica, 220V, 5500W, modelo "Clean", fab. LORENZETTI ou similar (289514)</v>
          </cell>
          <cell r="C9737" t="str">
            <v>ud</v>
          </cell>
          <cell r="D9737">
            <v>0</v>
          </cell>
          <cell r="E9737">
            <v>187.12</v>
          </cell>
          <cell r="F9737">
            <v>187.12</v>
          </cell>
        </row>
        <row r="9738">
          <cell r="A9738" t="str">
            <v>424052</v>
          </cell>
          <cell r="B9738" t="str">
            <v>Tubo flexível em poliuretano 6mm, ref. PUBx1/5-50, ref. PARKER ou similar</v>
          </cell>
          <cell r="C9738" t="str">
            <v>m</v>
          </cell>
          <cell r="D9738">
            <v>0</v>
          </cell>
          <cell r="E9738">
            <v>8.48</v>
          </cell>
          <cell r="F9738">
            <v>8.48</v>
          </cell>
        </row>
        <row r="9739">
          <cell r="A9739" t="str">
            <v>424053</v>
          </cell>
          <cell r="B9739" t="str">
            <v xml:space="preserve">Tubo de aço galvanizado a fogo NBR-5580, DIN 2440, classe médio, para água, fab. APOLO ou similar, bitola 1/2" </v>
          </cell>
          <cell r="C9739" t="str">
            <v>ud</v>
          </cell>
          <cell r="D9739">
            <v>0</v>
          </cell>
          <cell r="E9739">
            <v>62.73</v>
          </cell>
          <cell r="F9739">
            <v>62.73</v>
          </cell>
        </row>
        <row r="9740">
          <cell r="A9740" t="str">
            <v>424054</v>
          </cell>
          <cell r="B9740" t="str">
            <v xml:space="preserve">Tubo de aço galvanizado a fogo NBR-5580, DIN 2440, classe médio, para água, fab. APOLO ou similar, bitola 3/4" </v>
          </cell>
          <cell r="C9740" t="str">
            <v>ud</v>
          </cell>
          <cell r="D9740">
            <v>0</v>
          </cell>
          <cell r="E9740">
            <v>80.86</v>
          </cell>
          <cell r="F9740">
            <v>80.86</v>
          </cell>
        </row>
        <row r="9741">
          <cell r="A9741" t="str">
            <v>424055</v>
          </cell>
          <cell r="B9741" t="str">
            <v>Tubo de aço galvanizado a fogo NBR-5580, DIN 2440, classe médio, para água, fab. APOLO ou similar, bitola 1"</v>
          </cell>
          <cell r="C9741" t="str">
            <v>ud</v>
          </cell>
          <cell r="D9741">
            <v>0</v>
          </cell>
          <cell r="E9741">
            <v>111.49</v>
          </cell>
          <cell r="F9741">
            <v>111.49</v>
          </cell>
        </row>
        <row r="9742">
          <cell r="A9742" t="str">
            <v>424056</v>
          </cell>
          <cell r="B9742" t="str">
            <v>Tubo de PVC, para uso em esgoto, série normal, barras de 6,0m, fab. TIGRE ou similar, bitola DN 40</v>
          </cell>
          <cell r="C9742" t="str">
            <v>ud</v>
          </cell>
          <cell r="D9742">
            <v>0</v>
          </cell>
          <cell r="E9742">
            <v>20.29</v>
          </cell>
          <cell r="F9742">
            <v>20.29</v>
          </cell>
        </row>
        <row r="9743">
          <cell r="A9743" t="str">
            <v>424057</v>
          </cell>
          <cell r="B9743" t="str">
            <v xml:space="preserve">Tubo de PVC, para uso em esgoto, série normal, barras de 6,0m, fab. TIGRE ou similar, bitola DN 50 </v>
          </cell>
          <cell r="C9743" t="str">
            <v>ud</v>
          </cell>
          <cell r="D9743">
            <v>0</v>
          </cell>
          <cell r="E9743">
            <v>33.799999999999997</v>
          </cell>
          <cell r="F9743">
            <v>33.799999999999997</v>
          </cell>
        </row>
        <row r="9744">
          <cell r="A9744" t="str">
            <v>424058</v>
          </cell>
          <cell r="B9744" t="str">
            <v>Tubo de PVC, para uso em esgoto, série normal, barras de 6,0m, fab. TIGRE ou similar, bitola DN 75</v>
          </cell>
          <cell r="C9744" t="str">
            <v>ud</v>
          </cell>
          <cell r="D9744">
            <v>0</v>
          </cell>
          <cell r="E9744">
            <v>46.4</v>
          </cell>
          <cell r="F9744">
            <v>46.4</v>
          </cell>
        </row>
        <row r="9745">
          <cell r="A9745" t="str">
            <v>424059</v>
          </cell>
          <cell r="B9745" t="str">
            <v>Tubo de PVC, para uso em esgoto, série normal, barras de 6,0m, fab. TIGRE ou similar, bitola DN 100</v>
          </cell>
          <cell r="C9745" t="str">
            <v>ud</v>
          </cell>
          <cell r="D9745">
            <v>0</v>
          </cell>
          <cell r="E9745">
            <v>47.53</v>
          </cell>
          <cell r="F9745">
            <v>47.53</v>
          </cell>
        </row>
        <row r="9746">
          <cell r="A9746" t="str">
            <v>424060</v>
          </cell>
          <cell r="B9746" t="str">
            <v>Tubo de PVC, para uso em esgoto, série normal, barras de 6,0m, fab. TIGRE ou similar, bitola DN 150</v>
          </cell>
          <cell r="C9746" t="str">
            <v>ud</v>
          </cell>
          <cell r="D9746">
            <v>0</v>
          </cell>
          <cell r="E9746">
            <v>147.72999999999999</v>
          </cell>
          <cell r="F9746">
            <v>147.72999999999999</v>
          </cell>
        </row>
        <row r="9747">
          <cell r="A9747" t="str">
            <v>424061</v>
          </cell>
          <cell r="B9747" t="str">
            <v>Tubo de PVC, para uso em esgoto, série normal, barras de 6,0m, fab. TIGRE ou similar, bitola DN 200</v>
          </cell>
          <cell r="C9747" t="str">
            <v>ud</v>
          </cell>
          <cell r="D9747">
            <v>0</v>
          </cell>
          <cell r="E9747">
            <v>291.11</v>
          </cell>
          <cell r="F9747">
            <v>291.11</v>
          </cell>
        </row>
        <row r="9748">
          <cell r="A9748" t="str">
            <v>424062</v>
          </cell>
          <cell r="B9748" t="str">
            <v>Tubo de PVC soldável, barra de 6m, fab. TIGRE ou similar, bitola 25mm</v>
          </cell>
          <cell r="C9748" t="str">
            <v>ud</v>
          </cell>
          <cell r="D9748">
            <v>0</v>
          </cell>
          <cell r="E9748">
            <v>12.01</v>
          </cell>
          <cell r="F9748">
            <v>12.01</v>
          </cell>
        </row>
        <row r="9749">
          <cell r="A9749" t="str">
            <v>424063</v>
          </cell>
          <cell r="B9749" t="str">
            <v>Tubo de PVC soldável, barra de 6m, fab. TIGRE ou similar, bitola 32mm</v>
          </cell>
          <cell r="C9749" t="str">
            <v>ud</v>
          </cell>
          <cell r="D9749">
            <v>0</v>
          </cell>
          <cell r="E9749">
            <v>38.32</v>
          </cell>
          <cell r="F9749">
            <v>38.32</v>
          </cell>
        </row>
        <row r="9750">
          <cell r="A9750" t="str">
            <v>424064</v>
          </cell>
          <cell r="B9750" t="str">
            <v>Tubo de PVC soldável, barra de 6m, fab. TIGRE ou similar, bitola 40mm</v>
          </cell>
          <cell r="C9750" t="str">
            <v>ud</v>
          </cell>
          <cell r="D9750">
            <v>0</v>
          </cell>
          <cell r="E9750">
            <v>55.76</v>
          </cell>
          <cell r="F9750">
            <v>55.76</v>
          </cell>
        </row>
        <row r="9751">
          <cell r="A9751" t="str">
            <v>424065</v>
          </cell>
          <cell r="B9751" t="str">
            <v>Tubo de PVC soldável, barra de 6m, fab. TIGRE ou similar, bitola 50mm</v>
          </cell>
          <cell r="C9751" t="str">
            <v>ud</v>
          </cell>
          <cell r="D9751">
            <v>0</v>
          </cell>
          <cell r="E9751">
            <v>51.56</v>
          </cell>
          <cell r="F9751">
            <v>51.56</v>
          </cell>
        </row>
        <row r="9752">
          <cell r="A9752" t="str">
            <v>424066</v>
          </cell>
          <cell r="B9752" t="str">
            <v>Tubo de PVC soldável, barra de 6m, fab. TIGRE ou similar, bitola 60mm</v>
          </cell>
          <cell r="C9752" t="str">
            <v>ud</v>
          </cell>
          <cell r="D9752">
            <v>0</v>
          </cell>
          <cell r="E9752">
            <v>107.15</v>
          </cell>
          <cell r="F9752">
            <v>107.15</v>
          </cell>
        </row>
        <row r="9753">
          <cell r="A9753" t="str">
            <v>424067</v>
          </cell>
          <cell r="B9753" t="str">
            <v>Tubo de PVC soldável, barra de 6m, fab. TIGRE ou similar, bitola 75mm</v>
          </cell>
          <cell r="C9753" t="str">
            <v>ud</v>
          </cell>
          <cell r="D9753">
            <v>0</v>
          </cell>
          <cell r="E9753">
            <v>167.6</v>
          </cell>
          <cell r="F9753">
            <v>167.6</v>
          </cell>
        </row>
        <row r="9754">
          <cell r="A9754" t="str">
            <v>424068</v>
          </cell>
          <cell r="B9754" t="str">
            <v>Tubo de PVC soldável, barra de 6m, fab. TIGRE ou similar, bitola 85mm</v>
          </cell>
          <cell r="C9754" t="str">
            <v>ud</v>
          </cell>
          <cell r="D9754">
            <v>0</v>
          </cell>
          <cell r="E9754">
            <v>210.77</v>
          </cell>
          <cell r="F9754">
            <v>210.77</v>
          </cell>
        </row>
        <row r="9755">
          <cell r="A9755" t="str">
            <v>424069</v>
          </cell>
          <cell r="B9755" t="str">
            <v>Tubo de PVC soldável, barra de 6m, fab. TIGRE ou similar, bitola 110mm</v>
          </cell>
          <cell r="C9755" t="str">
            <v>ud</v>
          </cell>
          <cell r="D9755">
            <v>0</v>
          </cell>
          <cell r="E9755">
            <v>356.8</v>
          </cell>
          <cell r="F9755">
            <v>356.8</v>
          </cell>
        </row>
        <row r="9756">
          <cell r="A9756" t="str">
            <v>424070</v>
          </cell>
          <cell r="B9756" t="str">
            <v>Tubo PVC PBA JEI, Classe 20, para rede de água, barras de 6,0m, fab. TIGRE ou similar  DN 50</v>
          </cell>
          <cell r="C9756" t="str">
            <v>ud</v>
          </cell>
          <cell r="D9756">
            <v>0</v>
          </cell>
          <cell r="E9756">
            <v>10.57</v>
          </cell>
          <cell r="F9756">
            <v>10.57</v>
          </cell>
          <cell r="G9756">
            <v>36378</v>
          </cell>
        </row>
        <row r="9757">
          <cell r="A9757" t="str">
            <v>424071</v>
          </cell>
          <cell r="B9757" t="str">
            <v>Tubo PVC PBA JEI, Classe 20, para rede de água, barras de 6,0m, fab. TIGRE ou similar  DN 75</v>
          </cell>
          <cell r="C9757" t="str">
            <v>ud</v>
          </cell>
          <cell r="D9757">
            <v>0</v>
          </cell>
          <cell r="E9757">
            <v>21.28</v>
          </cell>
          <cell r="F9757">
            <v>21.28</v>
          </cell>
          <cell r="G9757">
            <v>36379</v>
          </cell>
        </row>
        <row r="9758">
          <cell r="A9758" t="str">
            <v>424072</v>
          </cell>
          <cell r="B9758" t="str">
            <v>Tubo PVC PBA JEI, Classe 20, para rede de água, barras de 6,0m, fab. TIGRE ou similar  DN 100</v>
          </cell>
          <cell r="C9758" t="str">
            <v>ud</v>
          </cell>
          <cell r="D9758">
            <v>0</v>
          </cell>
          <cell r="E9758">
            <v>35.15</v>
          </cell>
          <cell r="F9758">
            <v>35.15</v>
          </cell>
          <cell r="G9758">
            <v>36380</v>
          </cell>
        </row>
        <row r="9759">
          <cell r="A9759" t="str">
            <v>424073</v>
          </cell>
          <cell r="B9759" t="str">
            <v>União de PVC roscável, fab. TIGRE ou similar, bitola 20mm</v>
          </cell>
          <cell r="C9759" t="str">
            <v>ud</v>
          </cell>
          <cell r="D9759">
            <v>0</v>
          </cell>
          <cell r="E9759">
            <v>5.69</v>
          </cell>
          <cell r="F9759">
            <v>5.69</v>
          </cell>
          <cell r="G9759">
            <v>9905</v>
          </cell>
        </row>
        <row r="9760">
          <cell r="A9760" t="str">
            <v>424074</v>
          </cell>
          <cell r="B9760" t="str">
            <v>União de PVC soldável, fab. TIGRE ou similar, bitola 25mm</v>
          </cell>
          <cell r="C9760" t="str">
            <v>ud</v>
          </cell>
          <cell r="D9760">
            <v>0</v>
          </cell>
          <cell r="E9760">
            <v>6.72</v>
          </cell>
          <cell r="F9760">
            <v>6.72</v>
          </cell>
          <cell r="G9760">
            <v>9906</v>
          </cell>
        </row>
        <row r="9761">
          <cell r="A9761" t="str">
            <v>424075</v>
          </cell>
          <cell r="B9761" t="str">
            <v>União de PVC soldável, fab. TIGRE ou similar, bitola 32mm</v>
          </cell>
          <cell r="C9761" t="str">
            <v>ud</v>
          </cell>
          <cell r="D9761">
            <v>0</v>
          </cell>
          <cell r="E9761">
            <v>11.35</v>
          </cell>
          <cell r="F9761">
            <v>11.35</v>
          </cell>
          <cell r="G9761">
            <v>9895</v>
          </cell>
        </row>
        <row r="9762">
          <cell r="A9762" t="str">
            <v>424076</v>
          </cell>
          <cell r="B9762" t="str">
            <v>União de PVC soldável, fab. TIGRE ou similar, bitola 40mm</v>
          </cell>
          <cell r="C9762" t="str">
            <v>ud</v>
          </cell>
          <cell r="D9762">
            <v>0</v>
          </cell>
          <cell r="E9762">
            <v>22.19</v>
          </cell>
          <cell r="F9762">
            <v>22.19</v>
          </cell>
          <cell r="G9762">
            <v>9894</v>
          </cell>
        </row>
        <row r="9763">
          <cell r="A9763" t="str">
            <v>424077</v>
          </cell>
          <cell r="B9763" t="str">
            <v>União de PVC soldável, fab. TIGRE ou similar, bitola 50mm</v>
          </cell>
          <cell r="C9763" t="str">
            <v>ud</v>
          </cell>
          <cell r="D9763">
            <v>0</v>
          </cell>
          <cell r="E9763">
            <v>26.09</v>
          </cell>
          <cell r="F9763">
            <v>26.09</v>
          </cell>
          <cell r="G9763">
            <v>9897</v>
          </cell>
        </row>
        <row r="9764">
          <cell r="A9764" t="str">
            <v>424078</v>
          </cell>
          <cell r="B9764" t="str">
            <v>União de PVC soldável, fab. TIGRE ou similar, bitola 60mm</v>
          </cell>
          <cell r="C9764" t="str">
            <v>ud</v>
          </cell>
          <cell r="D9764">
            <v>0</v>
          </cell>
          <cell r="E9764">
            <v>60.37</v>
          </cell>
          <cell r="F9764">
            <v>60.37</v>
          </cell>
          <cell r="G9764">
            <v>9910</v>
          </cell>
        </row>
        <row r="9765">
          <cell r="A9765" t="str">
            <v>424079</v>
          </cell>
          <cell r="B9765" t="str">
            <v>União de PVC soldável, fab. TIGRE ou similar, bitola 75mm</v>
          </cell>
          <cell r="C9765" t="str">
            <v>ud</v>
          </cell>
          <cell r="D9765">
            <v>0</v>
          </cell>
          <cell r="E9765">
            <v>125.45</v>
          </cell>
          <cell r="F9765">
            <v>125.45</v>
          </cell>
          <cell r="G9765">
            <v>9909</v>
          </cell>
        </row>
        <row r="9766">
          <cell r="A9766" t="str">
            <v>424080</v>
          </cell>
          <cell r="B9766" t="str">
            <v>União de PVC soldável, fab. TIGRE ou similar, bitola 85mm</v>
          </cell>
          <cell r="C9766" t="str">
            <v>ud</v>
          </cell>
          <cell r="D9766">
            <v>0</v>
          </cell>
          <cell r="E9766">
            <v>186.23</v>
          </cell>
          <cell r="F9766">
            <v>186.23</v>
          </cell>
          <cell r="G9766">
            <v>9907</v>
          </cell>
        </row>
        <row r="9767">
          <cell r="A9767" t="str">
            <v>424081</v>
          </cell>
          <cell r="B9767" t="str">
            <v>União de PVC roscável, fab. TIGRE ou similar, bitolas 3/4" (28312)</v>
          </cell>
          <cell r="C9767" t="str">
            <v>ud</v>
          </cell>
          <cell r="D9767">
            <v>0</v>
          </cell>
          <cell r="E9767">
            <v>8.07</v>
          </cell>
          <cell r="F9767">
            <v>8.07</v>
          </cell>
          <cell r="G9767">
            <v>9899</v>
          </cell>
        </row>
        <row r="9768">
          <cell r="A9768" t="str">
            <v>424082</v>
          </cell>
          <cell r="B9768" t="str">
            <v>União de PVC roscável, fab. TIGRE ou similar, bitolas 1" (28320)</v>
          </cell>
          <cell r="C9768" t="str">
            <v>ud</v>
          </cell>
          <cell r="D9768">
            <v>0</v>
          </cell>
          <cell r="E9768">
            <v>15.06</v>
          </cell>
          <cell r="F9768">
            <v>15.06</v>
          </cell>
          <cell r="G9768">
            <v>9900</v>
          </cell>
        </row>
        <row r="9769">
          <cell r="A9769" t="str">
            <v>424083</v>
          </cell>
          <cell r="B9769" t="str">
            <v>União de PVC roscável, fab. TIGRE ou similar, bitolas 1 1/4" (28339)</v>
          </cell>
          <cell r="C9769" t="str">
            <v>ud</v>
          </cell>
          <cell r="D9769">
            <v>0</v>
          </cell>
          <cell r="E9769">
            <v>24.32</v>
          </cell>
          <cell r="F9769">
            <v>24.32</v>
          </cell>
          <cell r="G9769">
            <v>9896</v>
          </cell>
        </row>
        <row r="9770">
          <cell r="A9770" t="str">
            <v>424084</v>
          </cell>
          <cell r="B9770" t="str">
            <v>União de PVC roscável, fab. TIGRE ou similar, bitolas 1 1/2" (28347)</v>
          </cell>
          <cell r="C9770" t="str">
            <v>ud</v>
          </cell>
          <cell r="D9770">
            <v>0</v>
          </cell>
          <cell r="E9770">
            <v>28.25</v>
          </cell>
          <cell r="F9770">
            <v>28.25</v>
          </cell>
          <cell r="G9770">
            <v>9901</v>
          </cell>
        </row>
        <row r="9771">
          <cell r="A9771" t="str">
            <v>424085</v>
          </cell>
          <cell r="B9771" t="str">
            <v>União de PVC roscável, fab. TIGRE ou similar, bitolas 2" (28355)</v>
          </cell>
          <cell r="C9771" t="str">
            <v>ud</v>
          </cell>
          <cell r="D9771">
            <v>0</v>
          </cell>
          <cell r="E9771">
            <v>64.209999999999994</v>
          </cell>
          <cell r="F9771">
            <v>64.209999999999994</v>
          </cell>
          <cell r="G9771">
            <v>9893</v>
          </cell>
        </row>
        <row r="9772">
          <cell r="A9772" t="str">
            <v>424086</v>
          </cell>
          <cell r="B9772" t="str">
            <v>União de PVC roscável, fab. TIGRE ou similar, bitolas 2 1/2" (59099)</v>
          </cell>
          <cell r="C9772" t="str">
            <v>ud</v>
          </cell>
          <cell r="D9772">
            <v>0</v>
          </cell>
          <cell r="E9772">
            <v>132</v>
          </cell>
          <cell r="F9772">
            <v>132</v>
          </cell>
          <cell r="G9772">
            <v>9898</v>
          </cell>
        </row>
        <row r="9773">
          <cell r="A9773" t="str">
            <v>424087</v>
          </cell>
          <cell r="B9773" t="str">
            <v>União de PVC roscável, fab. TIGRE ou similar, bitolas 3" (84611)</v>
          </cell>
          <cell r="C9773" t="str">
            <v>ud</v>
          </cell>
          <cell r="D9773">
            <v>0</v>
          </cell>
          <cell r="E9773">
            <v>167.24</v>
          </cell>
          <cell r="F9773">
            <v>167.24</v>
          </cell>
          <cell r="G9773">
            <v>9902</v>
          </cell>
        </row>
        <row r="9774">
          <cell r="A9774" t="str">
            <v>424088</v>
          </cell>
          <cell r="B9774" t="str">
            <v>União de PVC roscável, fab. TIGRE ou similar, bitolas 4" (287800)</v>
          </cell>
          <cell r="C9774" t="str">
            <v>ud</v>
          </cell>
          <cell r="D9774">
            <v>0</v>
          </cell>
          <cell r="E9774">
            <v>257.31</v>
          </cell>
          <cell r="F9774">
            <v>257.31</v>
          </cell>
        </row>
        <row r="9775">
          <cell r="A9775" t="str">
            <v>4241</v>
          </cell>
          <cell r="B9775" t="str">
            <v>TERMINAIS DE COBRE A COMPRESSÃO OU PRESSÃO</v>
          </cell>
          <cell r="C9775">
            <v>0</v>
          </cell>
          <cell r="D9775">
            <v>0</v>
          </cell>
          <cell r="E9775">
            <v>0</v>
          </cell>
          <cell r="F9775">
            <v>0</v>
          </cell>
        </row>
        <row r="9776">
          <cell r="A9776" t="str">
            <v>424157</v>
          </cell>
          <cell r="B9776" t="str">
            <v>Terminal à pressão, em liga de cobre, com 1 furo, para 1 cabo à barra, fab. MAGNET ou similar para cabo bitola 25mm² (225665)</v>
          </cell>
          <cell r="C9776" t="str">
            <v>ud</v>
          </cell>
          <cell r="D9776">
            <v>0</v>
          </cell>
          <cell r="E9776">
            <v>3.11</v>
          </cell>
          <cell r="F9776">
            <v>3.11</v>
          </cell>
        </row>
        <row r="9777">
          <cell r="A9777" t="str">
            <v>424158</v>
          </cell>
          <cell r="B9777" t="str">
            <v>Terminal à pressão, em liga de cobre, com 1 furo, para 1 cabo à barra, fab. MAGNET ou similar para cabo bitola 35mm² (225673)</v>
          </cell>
          <cell r="C9777" t="str">
            <v>ud</v>
          </cell>
          <cell r="D9777">
            <v>0</v>
          </cell>
          <cell r="E9777">
            <v>3.14</v>
          </cell>
          <cell r="F9777">
            <v>3.14</v>
          </cell>
        </row>
        <row r="9778">
          <cell r="A9778" t="str">
            <v>424159</v>
          </cell>
          <cell r="B9778" t="str">
            <v>Terminal à pressão, em liga de cobre, com 1 furo, para 1 cabo à barra, fab. MAGNET ou similar para cabo bitola 50mm² (37230)</v>
          </cell>
          <cell r="C9778" t="str">
            <v>ud</v>
          </cell>
          <cell r="D9778">
            <v>0</v>
          </cell>
          <cell r="E9778">
            <v>4.28</v>
          </cell>
          <cell r="F9778">
            <v>4.28</v>
          </cell>
        </row>
        <row r="9779">
          <cell r="A9779" t="str">
            <v>424160</v>
          </cell>
          <cell r="B9779" t="str">
            <v>Terminal à pressão, em liga de cobre, com 1 furo, para 1 cabo à barra, fab. MAGNET ou similar para cabo bitola 70mm² (225835)</v>
          </cell>
          <cell r="C9779" t="str">
            <v>ud</v>
          </cell>
          <cell r="D9779">
            <v>0</v>
          </cell>
          <cell r="E9779">
            <v>4.5999999999999996</v>
          </cell>
          <cell r="F9779">
            <v>4.5999999999999996</v>
          </cell>
        </row>
        <row r="9780">
          <cell r="A9780" t="str">
            <v>424161</v>
          </cell>
          <cell r="B9780" t="str">
            <v>Terminal à pressão, em liga de cobre, com 1 furo, para 1 cabo à barra, fab. MAGNET ou similar para cabo bitola 95mm²</v>
          </cell>
          <cell r="C9780" t="str">
            <v>ud</v>
          </cell>
          <cell r="D9780">
            <v>0</v>
          </cell>
          <cell r="E9780">
            <v>7.93</v>
          </cell>
          <cell r="F9780">
            <v>7.93</v>
          </cell>
        </row>
        <row r="9781">
          <cell r="A9781" t="str">
            <v>424162</v>
          </cell>
          <cell r="B9781" t="str">
            <v>Terminal à pressão, em liga de cobre, com 1 furo, para 1 cabo à barra, fab. MAGNET ou similar para cabo bitola 120mm² (48798)</v>
          </cell>
          <cell r="C9781" t="str">
            <v>ud</v>
          </cell>
          <cell r="D9781">
            <v>0</v>
          </cell>
          <cell r="E9781">
            <v>11.73</v>
          </cell>
          <cell r="F9781">
            <v>11.73</v>
          </cell>
        </row>
        <row r="9782">
          <cell r="A9782" t="str">
            <v>424163</v>
          </cell>
          <cell r="B9782" t="str">
            <v>Terminal à pressão, em liga de cobre, com 1 furo, para 1 cabo à barra, fab. MAGNET ou similar para cabo bitola 150mm² (48801)</v>
          </cell>
          <cell r="C9782" t="str">
            <v>ud</v>
          </cell>
          <cell r="D9782">
            <v>0</v>
          </cell>
          <cell r="E9782">
            <v>12.76</v>
          </cell>
          <cell r="F9782">
            <v>12.76</v>
          </cell>
        </row>
        <row r="9783">
          <cell r="A9783" t="str">
            <v>424164</v>
          </cell>
          <cell r="B9783" t="str">
            <v>Terminal à pressão, em liga de cobre, com 1 furo, para 1 cabo à barra, fab. MAGNET ou similar para cabo bitola 185mm²</v>
          </cell>
          <cell r="C9783" t="str">
            <v>ud</v>
          </cell>
          <cell r="D9783">
            <v>0</v>
          </cell>
          <cell r="E9783">
            <v>15.92</v>
          </cell>
          <cell r="F9783">
            <v>15.92</v>
          </cell>
        </row>
        <row r="9784">
          <cell r="A9784" t="str">
            <v>424165</v>
          </cell>
          <cell r="B9784" t="str">
            <v>Terminal à pressão, em liga de cobre, com 1 furo, para 1 cabo à barra, fab. MAGNET ou similar para cabo bitola 240mm² (48836)</v>
          </cell>
          <cell r="C9784" t="str">
            <v>ud</v>
          </cell>
          <cell r="D9784">
            <v>0</v>
          </cell>
          <cell r="E9784">
            <v>18.79</v>
          </cell>
          <cell r="F9784">
            <v>18.79</v>
          </cell>
          <cell r="G9784">
            <v>11838</v>
          </cell>
        </row>
        <row r="9785">
          <cell r="A9785" t="str">
            <v>424166</v>
          </cell>
          <cell r="B9785" t="str">
            <v>Terminal à pressão, em liga de cobre, com 1 furo, para 1 cabo à barra, fab. MAGNET ou similar para cabo bitola 300mm²</v>
          </cell>
          <cell r="C9785" t="str">
            <v>ud</v>
          </cell>
          <cell r="D9785">
            <v>0</v>
          </cell>
          <cell r="E9785">
            <v>19.32</v>
          </cell>
          <cell r="F9785">
            <v>19.32</v>
          </cell>
        </row>
        <row r="9786">
          <cell r="A9786" t="str">
            <v>424101</v>
          </cell>
          <cell r="B9786" t="str">
            <v>Terminal à compressão, em liga de cobre, com 1 furo, para 1 cabo à barra, fab. MAGNET ou similar  para cabo bitola 1,5mm²</v>
          </cell>
          <cell r="C9786" t="str">
            <v>ud</v>
          </cell>
          <cell r="D9786">
            <v>0</v>
          </cell>
          <cell r="E9786">
            <v>0.62</v>
          </cell>
          <cell r="F9786">
            <v>0.62</v>
          </cell>
        </row>
        <row r="9787">
          <cell r="A9787" t="str">
            <v>424102</v>
          </cell>
          <cell r="B9787" t="str">
            <v>Terminal à compressão, em liga de cobre, com 1 furo, para 1 cabo à barra, fab. MAGNET ou similar  para cabo bitola 2,5mm²</v>
          </cell>
          <cell r="C9787" t="str">
            <v>ud</v>
          </cell>
          <cell r="D9787">
            <v>0</v>
          </cell>
          <cell r="E9787">
            <v>0.62</v>
          </cell>
          <cell r="F9787">
            <v>0.62</v>
          </cell>
        </row>
        <row r="9788">
          <cell r="A9788" t="str">
            <v>424103</v>
          </cell>
          <cell r="B9788" t="str">
            <v>Terminal à compressão, em liga de cobre, com 1 furo, para 1 cabo à barra, fab. MAGNET ou similar  para cabo bitola 4mm²</v>
          </cell>
          <cell r="C9788" t="str">
            <v>ud</v>
          </cell>
          <cell r="D9788">
            <v>0</v>
          </cell>
          <cell r="E9788">
            <v>0.62</v>
          </cell>
          <cell r="F9788">
            <v>0.62</v>
          </cell>
        </row>
        <row r="9789">
          <cell r="A9789" t="str">
            <v>424104</v>
          </cell>
          <cell r="B9789" t="str">
            <v>Terminal à compressão, em liga de cobre, com 1 furo, para 1 cabo à barra, fab. MAGNET ou similar  para cabo bitola 6mm²</v>
          </cell>
          <cell r="C9789" t="str">
            <v>ud</v>
          </cell>
          <cell r="D9789">
            <v>0</v>
          </cell>
          <cell r="E9789">
            <v>0.75</v>
          </cell>
          <cell r="F9789">
            <v>0.75</v>
          </cell>
        </row>
        <row r="9790">
          <cell r="A9790" t="str">
            <v>424105</v>
          </cell>
          <cell r="B9790" t="str">
            <v>Terminal à compressão, em liga de cobre, com 1 furo, para 1 cabo à barra, fab. MAGNET ou similar  para cabo bitola 10mm²</v>
          </cell>
          <cell r="C9790" t="str">
            <v>ud</v>
          </cell>
          <cell r="D9790">
            <v>0</v>
          </cell>
          <cell r="E9790">
            <v>0.8</v>
          </cell>
          <cell r="F9790">
            <v>0.8</v>
          </cell>
        </row>
        <row r="9791">
          <cell r="A9791" t="str">
            <v>424106</v>
          </cell>
          <cell r="B9791" t="str">
            <v>Terminal à compressão, em liga de cobre, com 1 furo, para 1 cabo à barra, fab. MAGNET ou similar  para cabo bitola 16mm² (176702)</v>
          </cell>
          <cell r="C9791" t="str">
            <v>ud</v>
          </cell>
          <cell r="D9791">
            <v>0</v>
          </cell>
          <cell r="E9791">
            <v>1</v>
          </cell>
          <cell r="F9791">
            <v>1</v>
          </cell>
        </row>
        <row r="9792">
          <cell r="A9792" t="str">
            <v>424107</v>
          </cell>
          <cell r="B9792" t="str">
            <v>Terminal à compressão, em liga de cobre, com 1 furo, para 1 cabo à barra, fab. MAGNET ou similar  para cabo bitola 25mm²</v>
          </cell>
          <cell r="C9792" t="str">
            <v>ud</v>
          </cell>
          <cell r="D9792">
            <v>0</v>
          </cell>
          <cell r="E9792">
            <v>1.39</v>
          </cell>
          <cell r="F9792">
            <v>1.39</v>
          </cell>
        </row>
        <row r="9793">
          <cell r="A9793" t="str">
            <v>424108</v>
          </cell>
          <cell r="B9793" t="str">
            <v>Terminal à compressão, em liga de cobre, com 1 furo, para 1 cabo à barra, fab. MAGNET ou similar  para cabo bitola 35mm² (195502)</v>
          </cell>
          <cell r="C9793" t="str">
            <v>ud</v>
          </cell>
          <cell r="D9793">
            <v>0</v>
          </cell>
          <cell r="E9793">
            <v>1.78</v>
          </cell>
          <cell r="F9793">
            <v>1.78</v>
          </cell>
        </row>
        <row r="9794">
          <cell r="A9794" t="str">
            <v>424109</v>
          </cell>
          <cell r="B9794" t="str">
            <v>Terminal à compressão, em liga de cobre, com 1 furo, para 1 cabo à barra, fab. MAGNET ou similar  para cabo bitola 50mm²</v>
          </cell>
          <cell r="C9794" t="str">
            <v>ud</v>
          </cell>
          <cell r="D9794">
            <v>0</v>
          </cell>
          <cell r="E9794">
            <v>2.82</v>
          </cell>
          <cell r="F9794">
            <v>2.82</v>
          </cell>
        </row>
        <row r="9795">
          <cell r="A9795" t="str">
            <v>424110</v>
          </cell>
          <cell r="B9795" t="str">
            <v>Terminal à compressão, em liga de cobre, com 1 furo, para 1 cabo à barra, fab. MAGNET ou similar  para cabo bitola 70mm² (195219)</v>
          </cell>
          <cell r="C9795" t="str">
            <v>ud</v>
          </cell>
          <cell r="D9795">
            <v>0</v>
          </cell>
          <cell r="E9795">
            <v>3.84</v>
          </cell>
          <cell r="F9795">
            <v>3.84</v>
          </cell>
        </row>
        <row r="9796">
          <cell r="A9796" t="str">
            <v>424111</v>
          </cell>
          <cell r="B9796" t="str">
            <v>Terminal à compressão, em liga de cobre, com 1 furo, para 1 cabo à barra, fab. MAGNET ou similar  para cabo bitola 95mm² (98671)</v>
          </cell>
          <cell r="C9796" t="str">
            <v>ud</v>
          </cell>
          <cell r="D9796">
            <v>0</v>
          </cell>
          <cell r="E9796">
            <v>4.66</v>
          </cell>
          <cell r="F9796">
            <v>4.66</v>
          </cell>
        </row>
        <row r="9797">
          <cell r="A9797" t="str">
            <v>424112</v>
          </cell>
          <cell r="B9797" t="str">
            <v>Terminal à compressão, em liga de cobre, com 1 furo, para 1 cabo à barra, fab. MAGNET ou similar  para cabo bitola 120mm²</v>
          </cell>
          <cell r="C9797" t="str">
            <v>ud</v>
          </cell>
          <cell r="D9797">
            <v>0</v>
          </cell>
          <cell r="E9797">
            <v>5.67</v>
          </cell>
          <cell r="F9797">
            <v>5.67</v>
          </cell>
        </row>
        <row r="9798">
          <cell r="A9798" t="str">
            <v>424113</v>
          </cell>
          <cell r="B9798" t="str">
            <v>Terminal à compressão, em liga de cobre, com 1 furo, para 1 cabo à barra, fab. MAGNET ou similar  para cabo bitola 150mm²</v>
          </cell>
          <cell r="C9798" t="str">
            <v>ud</v>
          </cell>
          <cell r="D9798">
            <v>0</v>
          </cell>
          <cell r="E9798">
            <v>9.43</v>
          </cell>
          <cell r="F9798">
            <v>9.43</v>
          </cell>
        </row>
        <row r="9799">
          <cell r="A9799" t="str">
            <v>424114</v>
          </cell>
          <cell r="B9799" t="str">
            <v>Terminal à compressão, em liga de cobre, com 1 furo, para 1 cabo à barra, fab. MAGNET ou similar  para cabo bitola 185mm²</v>
          </cell>
          <cell r="C9799" t="str">
            <v>ud</v>
          </cell>
          <cell r="D9799">
            <v>0</v>
          </cell>
          <cell r="E9799">
            <v>10.93</v>
          </cell>
          <cell r="F9799">
            <v>10.93</v>
          </cell>
        </row>
        <row r="9800">
          <cell r="A9800" t="str">
            <v>424115</v>
          </cell>
          <cell r="B9800" t="str">
            <v>Terminal à compressão, em liga de cobre, com 1 furo, para 1 cabo à barra, fab. MAGNET ou similar  para cabo bitola 240mm² (289176)</v>
          </cell>
          <cell r="C9800" t="str">
            <v>ud</v>
          </cell>
          <cell r="D9800">
            <v>0</v>
          </cell>
          <cell r="E9800">
            <v>16.43</v>
          </cell>
          <cell r="F9800">
            <v>16.43</v>
          </cell>
        </row>
        <row r="9801">
          <cell r="A9801" t="str">
            <v>424116</v>
          </cell>
          <cell r="B9801" t="str">
            <v>Terminal à compressão, em liga de cobre, com 1 furo, para 1 cabo à barra, fab. MAGNET ou similar  para cabo bitola 300mm² (288940)</v>
          </cell>
          <cell r="C9801" t="str">
            <v>ud</v>
          </cell>
          <cell r="D9801">
            <v>0</v>
          </cell>
          <cell r="E9801">
            <v>23.16</v>
          </cell>
          <cell r="F9801">
            <v>23.16</v>
          </cell>
        </row>
        <row r="9802">
          <cell r="A9802" t="str">
            <v>424117</v>
          </cell>
          <cell r="B9802" t="str">
            <v>Terminal à compressão, em liga de cobre, tipo luva tubular, fab. MAGNET ou similar  para cabo bitola 1,5mm²</v>
          </cell>
          <cell r="C9802" t="str">
            <v>ud</v>
          </cell>
          <cell r="D9802">
            <v>0</v>
          </cell>
          <cell r="E9802">
            <v>0.94</v>
          </cell>
          <cell r="F9802">
            <v>0.94</v>
          </cell>
        </row>
        <row r="9803">
          <cell r="A9803" t="str">
            <v>424118</v>
          </cell>
          <cell r="B9803" t="str">
            <v>Terminal à compressão, em liga de cobre, tipo luva tubular, fab. MAGNET ou similar  para cabo bitola 2,5mm²</v>
          </cell>
          <cell r="C9803" t="str">
            <v>ud</v>
          </cell>
          <cell r="D9803">
            <v>0</v>
          </cell>
          <cell r="E9803">
            <v>0.94</v>
          </cell>
          <cell r="F9803">
            <v>0.94</v>
          </cell>
        </row>
        <row r="9804">
          <cell r="A9804" t="str">
            <v>424119</v>
          </cell>
          <cell r="B9804" t="str">
            <v>Terminal à compressão, em liga de cobre, tipo luva tubular, fab. MAGNET ou similar  para cabo bitola 4mm²</v>
          </cell>
          <cell r="C9804" t="str">
            <v>ud</v>
          </cell>
          <cell r="D9804">
            <v>0</v>
          </cell>
          <cell r="E9804">
            <v>1.1599999999999999</v>
          </cell>
          <cell r="F9804">
            <v>1.1599999999999999</v>
          </cell>
        </row>
        <row r="9805">
          <cell r="A9805" t="str">
            <v>424120</v>
          </cell>
          <cell r="B9805" t="str">
            <v>Terminal à compressão, em liga de cobre, tipo luva tubular, fab. MAGNET ou similar  para cabo bitola 6mm²</v>
          </cell>
          <cell r="C9805" t="str">
            <v>ud</v>
          </cell>
          <cell r="D9805">
            <v>0</v>
          </cell>
          <cell r="E9805">
            <v>0.73</v>
          </cell>
          <cell r="F9805">
            <v>0.73</v>
          </cell>
        </row>
        <row r="9806">
          <cell r="A9806" t="str">
            <v>424121</v>
          </cell>
          <cell r="B9806" t="str">
            <v>Terminal à compressão, em liga de cobre, tipo luva tubular, fab. MAGNET ou similar  para cabo bitola 10mm²</v>
          </cell>
          <cell r="C9806" t="str">
            <v>ud</v>
          </cell>
          <cell r="D9806">
            <v>0</v>
          </cell>
          <cell r="E9806">
            <v>0.97</v>
          </cell>
          <cell r="F9806">
            <v>0.97</v>
          </cell>
        </row>
        <row r="9807">
          <cell r="A9807" t="str">
            <v>424122</v>
          </cell>
          <cell r="B9807" t="str">
            <v>Terminal à compressão, em liga de cobre, tipo luva tubular, fab. MAGNET ou similar  para cabo bitola 16mm²</v>
          </cell>
          <cell r="C9807" t="str">
            <v>ud</v>
          </cell>
          <cell r="D9807">
            <v>0</v>
          </cell>
          <cell r="E9807">
            <v>1.35</v>
          </cell>
          <cell r="F9807">
            <v>1.35</v>
          </cell>
        </row>
        <row r="9808">
          <cell r="A9808" t="str">
            <v>424123</v>
          </cell>
          <cell r="B9808" t="str">
            <v>Terminal à compressão, em liga de cobre, tipo luva tubular, fab. MAGNET ou similar  para cabo bitola 25mm²</v>
          </cell>
          <cell r="C9808" t="str">
            <v>ud</v>
          </cell>
          <cell r="D9808">
            <v>0</v>
          </cell>
          <cell r="E9808">
            <v>1.52</v>
          </cell>
          <cell r="F9808">
            <v>1.52</v>
          </cell>
        </row>
        <row r="9809">
          <cell r="A9809" t="str">
            <v>424124</v>
          </cell>
          <cell r="B9809" t="str">
            <v>Terminal à compressão, em liga de cobre, tipo luva tubular, fab. MAGNET ou similar  para cabo bitola 35mm²</v>
          </cell>
          <cell r="C9809" t="str">
            <v>ud</v>
          </cell>
          <cell r="D9809">
            <v>0</v>
          </cell>
          <cell r="E9809">
            <v>1.6</v>
          </cell>
          <cell r="F9809">
            <v>1.6</v>
          </cell>
        </row>
        <row r="9810">
          <cell r="A9810" t="str">
            <v>424125</v>
          </cell>
          <cell r="B9810" t="str">
            <v>Terminal à compressão, em liga de cobre, tipo luva tubular, fab. MAGNET ou similar  para cabo bitola 50mm²</v>
          </cell>
          <cell r="C9810" t="str">
            <v>ud</v>
          </cell>
          <cell r="D9810">
            <v>0</v>
          </cell>
          <cell r="E9810">
            <v>3.11</v>
          </cell>
          <cell r="F9810">
            <v>3.11</v>
          </cell>
        </row>
        <row r="9811">
          <cell r="A9811" t="str">
            <v>424126</v>
          </cell>
          <cell r="B9811" t="str">
            <v>Terminal à compressão, em liga de cobre, tipo luva tubular, fab. MAGNET ou similar  para cabo bitola 70mm²</v>
          </cell>
          <cell r="C9811" t="str">
            <v>ud</v>
          </cell>
          <cell r="D9811">
            <v>0</v>
          </cell>
          <cell r="E9811">
            <v>3.73</v>
          </cell>
          <cell r="F9811">
            <v>3.73</v>
          </cell>
        </row>
        <row r="9812">
          <cell r="A9812" t="str">
            <v>424127</v>
          </cell>
          <cell r="B9812" t="str">
            <v>Terminal à compressão, em liga de cobre, tipo luva tubular, fab. MAGNET ou similar  para cabo bitola 95mm²</v>
          </cell>
          <cell r="C9812" t="str">
            <v>ud</v>
          </cell>
          <cell r="D9812">
            <v>0</v>
          </cell>
          <cell r="E9812">
            <v>5.22</v>
          </cell>
          <cell r="F9812">
            <v>5.22</v>
          </cell>
        </row>
        <row r="9813">
          <cell r="A9813" t="str">
            <v>424128</v>
          </cell>
          <cell r="B9813" t="str">
            <v>Terminal à compressão, em liga de cobre, tipo luva tubular, fab. MAGNET ou similar  para cabo bitola 120mm²</v>
          </cell>
          <cell r="C9813" t="str">
            <v>ud</v>
          </cell>
          <cell r="D9813">
            <v>0</v>
          </cell>
          <cell r="E9813">
            <v>5.89</v>
          </cell>
          <cell r="F9813">
            <v>5.89</v>
          </cell>
        </row>
        <row r="9814">
          <cell r="A9814" t="str">
            <v>424129</v>
          </cell>
          <cell r="B9814" t="str">
            <v>Terminal à compressão, em liga de cobre, tipo luva tubular, fab. MAGNET ou similar  para cabo bitola 150mm²</v>
          </cell>
          <cell r="C9814" t="str">
            <v>ud</v>
          </cell>
          <cell r="D9814">
            <v>0</v>
          </cell>
          <cell r="E9814">
            <v>9.8000000000000007</v>
          </cell>
          <cell r="F9814">
            <v>9.8000000000000007</v>
          </cell>
        </row>
        <row r="9815">
          <cell r="A9815" t="str">
            <v>424130</v>
          </cell>
          <cell r="B9815" t="str">
            <v>Terminal à compressão, em liga de cobre, tipo luva tubular, fab. MAGNET ou similar  para cabo bitola 185mm²</v>
          </cell>
          <cell r="C9815" t="str">
            <v>ud</v>
          </cell>
          <cell r="D9815">
            <v>0</v>
          </cell>
          <cell r="E9815">
            <v>11.03</v>
          </cell>
          <cell r="F9815">
            <v>11.03</v>
          </cell>
        </row>
        <row r="9816">
          <cell r="A9816" t="str">
            <v>424131</v>
          </cell>
          <cell r="B9816" t="str">
            <v>Terminal à compressão, em liga de cobre, tipo luva tubular, fab. MAGNET ou similar  para cabo bitola 240mm²</v>
          </cell>
          <cell r="C9816" t="str">
            <v>ud</v>
          </cell>
          <cell r="D9816">
            <v>0</v>
          </cell>
          <cell r="E9816">
            <v>17.52</v>
          </cell>
          <cell r="F9816">
            <v>17.52</v>
          </cell>
        </row>
        <row r="9817">
          <cell r="A9817" t="str">
            <v>424132</v>
          </cell>
          <cell r="B9817" t="str">
            <v>Terminal à compressão, em liga de cobre, tipo luva tubular, fab. MAGNET ou similar  para cabo bitola 300mm²</v>
          </cell>
          <cell r="C9817" t="str">
            <v>ud</v>
          </cell>
          <cell r="D9817">
            <v>0</v>
          </cell>
          <cell r="E9817">
            <v>21.54</v>
          </cell>
          <cell r="F9817">
            <v>21.54</v>
          </cell>
        </row>
        <row r="9818">
          <cell r="A9818" t="str">
            <v>424133</v>
          </cell>
          <cell r="B9818" t="str">
            <v>Terminal à compressão, em liga de cobre, tipo pino maciço longo, fab. MAGNET ou similar  para cabo bitola 1,5mm²</v>
          </cell>
          <cell r="C9818" t="str">
            <v>ud</v>
          </cell>
          <cell r="D9818">
            <v>0</v>
          </cell>
          <cell r="E9818">
            <v>0.09</v>
          </cell>
          <cell r="F9818">
            <v>0.09</v>
          </cell>
        </row>
        <row r="9819">
          <cell r="A9819" t="str">
            <v>424134</v>
          </cell>
          <cell r="B9819" t="str">
            <v>Terminal à compressão, em liga de cobre, tipo pino maciço longo, fab. MAGNET ou similar  para cabo bitola 2,5mm²</v>
          </cell>
          <cell r="C9819" t="str">
            <v>ud</v>
          </cell>
          <cell r="D9819">
            <v>0</v>
          </cell>
          <cell r="E9819">
            <v>0.1</v>
          </cell>
          <cell r="F9819">
            <v>0.1</v>
          </cell>
        </row>
        <row r="9820">
          <cell r="A9820" t="str">
            <v>424135</v>
          </cell>
          <cell r="B9820" t="str">
            <v>Terminal à compressão, em liga de cobre, tipo pino maciço longo, fab. MAGNET ou similar  para cabo bitola 4mm²</v>
          </cell>
          <cell r="C9820" t="str">
            <v>ud</v>
          </cell>
          <cell r="D9820">
            <v>0</v>
          </cell>
          <cell r="E9820">
            <v>0.15</v>
          </cell>
          <cell r="F9820">
            <v>0.15</v>
          </cell>
        </row>
        <row r="9821">
          <cell r="A9821" t="str">
            <v>424136</v>
          </cell>
          <cell r="B9821" t="str">
            <v>Terminal à compressão, em liga de cobre, tipo pino maciço longo, fab. MAGNET ou similar  para cabo bitola 10mm² (292085)</v>
          </cell>
          <cell r="C9821" t="str">
            <v>ud</v>
          </cell>
          <cell r="D9821">
            <v>0</v>
          </cell>
          <cell r="E9821">
            <v>4.05</v>
          </cell>
          <cell r="F9821">
            <v>4.05</v>
          </cell>
        </row>
        <row r="9822">
          <cell r="A9822" t="str">
            <v>424137</v>
          </cell>
          <cell r="B9822" t="str">
            <v>Terminal à compressão, em liga de cobre, tipo pino maciço longo, fab. MAGNET ou similar  para cabo bitola 16mm²</v>
          </cell>
          <cell r="C9822" t="str">
            <v>ud</v>
          </cell>
          <cell r="D9822">
            <v>0</v>
          </cell>
          <cell r="E9822">
            <v>4.8600000000000003</v>
          </cell>
          <cell r="F9822">
            <v>4.8600000000000003</v>
          </cell>
        </row>
        <row r="9823">
          <cell r="A9823" t="str">
            <v>424138</v>
          </cell>
          <cell r="B9823" t="str">
            <v>Terminal à compressão, em liga de cobre, tipo pino maciço longo, fab. MAGNET ou similar  para cabo bitola 25mm²</v>
          </cell>
          <cell r="C9823" t="str">
            <v>ud</v>
          </cell>
          <cell r="D9823">
            <v>0</v>
          </cell>
          <cell r="E9823">
            <v>5.41</v>
          </cell>
          <cell r="F9823">
            <v>5.41</v>
          </cell>
        </row>
        <row r="9824">
          <cell r="A9824" t="str">
            <v>424139</v>
          </cell>
          <cell r="B9824" t="str">
            <v>Terminal à compressão, em liga de cobre, tipo pino maciço longo, fab. MAGNET ou similar  para cabo bitola 35mm²</v>
          </cell>
          <cell r="C9824" t="str">
            <v>ud</v>
          </cell>
          <cell r="D9824">
            <v>0</v>
          </cell>
          <cell r="E9824">
            <v>6.3</v>
          </cell>
          <cell r="F9824">
            <v>6.3</v>
          </cell>
        </row>
        <row r="9825">
          <cell r="A9825" t="str">
            <v>424140</v>
          </cell>
          <cell r="B9825" t="str">
            <v>Terminal à compressão, em liga de cobre, tipo pino maciço longo, fab. MAGNET ou similar  para cabo bitola 50mm²</v>
          </cell>
          <cell r="C9825" t="str">
            <v>ud</v>
          </cell>
          <cell r="D9825">
            <v>0</v>
          </cell>
          <cell r="E9825">
            <v>8.84</v>
          </cell>
          <cell r="F9825">
            <v>8.84</v>
          </cell>
        </row>
        <row r="9826">
          <cell r="A9826" t="str">
            <v>424141</v>
          </cell>
          <cell r="B9826" t="str">
            <v>Terminal à compressão, em liga de cobre, tipo pino maciço longo, fab. MAGNET ou similar  para cabo bitola 70mm²</v>
          </cell>
          <cell r="C9826" t="str">
            <v>ud</v>
          </cell>
          <cell r="D9826">
            <v>0</v>
          </cell>
          <cell r="E9826">
            <v>9.1</v>
          </cell>
          <cell r="F9826">
            <v>9.1</v>
          </cell>
        </row>
        <row r="9827">
          <cell r="A9827" t="str">
            <v>424142</v>
          </cell>
          <cell r="B9827" t="str">
            <v>Terminal à compressão, em liga de cobre, tipo pino maciço longo, fab. MAGNET ou similar  para cabo bitola 95mm²</v>
          </cell>
          <cell r="C9827" t="str">
            <v>ud</v>
          </cell>
          <cell r="D9827">
            <v>0</v>
          </cell>
          <cell r="E9827">
            <v>9.94</v>
          </cell>
          <cell r="F9827">
            <v>9.94</v>
          </cell>
        </row>
        <row r="9828">
          <cell r="A9828" t="str">
            <v>424143</v>
          </cell>
          <cell r="B9828" t="str">
            <v>Terminal à compressão, em liga de cobre, tipo pino maciço longo, fab. MAGNET ou similar  para cabo bitola 120mm²</v>
          </cell>
          <cell r="C9828" t="str">
            <v>ud</v>
          </cell>
          <cell r="D9828">
            <v>0</v>
          </cell>
          <cell r="E9828">
            <v>11.66</v>
          </cell>
          <cell r="F9828">
            <v>11.66</v>
          </cell>
        </row>
        <row r="9829">
          <cell r="A9829" t="str">
            <v>424144</v>
          </cell>
          <cell r="B9829" t="str">
            <v>Terminal à compressão, em liga de cobre, tipo pino maciço longo, fab. MAGNET ou similar  para cabo bitola 150mm²</v>
          </cell>
          <cell r="C9829" t="str">
            <v>ud</v>
          </cell>
          <cell r="D9829">
            <v>0</v>
          </cell>
          <cell r="E9829">
            <v>16.77</v>
          </cell>
          <cell r="F9829">
            <v>16.77</v>
          </cell>
        </row>
        <row r="9830">
          <cell r="A9830" t="str">
            <v>424145</v>
          </cell>
          <cell r="B9830" t="str">
            <v>Terminal à compressão, em liga de cobre, tipo pino maciço longo, fab. MAGNET ou similar  para cabo bitola 240mm²</v>
          </cell>
          <cell r="C9830" t="str">
            <v>ud</v>
          </cell>
          <cell r="D9830">
            <v>0</v>
          </cell>
          <cell r="E9830">
            <v>28.04</v>
          </cell>
          <cell r="F9830">
            <v>28.04</v>
          </cell>
        </row>
        <row r="9831">
          <cell r="A9831" t="str">
            <v>424146</v>
          </cell>
          <cell r="B9831" t="str">
            <v>Terminal à compressão, em liga de cobre, tipo pino maciço curto, fab. MAGNET ou similar  para cabo bitola 10mm² (292084)</v>
          </cell>
          <cell r="C9831" t="str">
            <v>ud</v>
          </cell>
          <cell r="D9831">
            <v>0</v>
          </cell>
          <cell r="E9831">
            <v>3.78</v>
          </cell>
          <cell r="F9831">
            <v>3.78</v>
          </cell>
        </row>
        <row r="9832">
          <cell r="A9832" t="str">
            <v>424147</v>
          </cell>
          <cell r="B9832" t="str">
            <v>Terminal à compressão, em liga de cobre, tipo pino maciço curto, fab. MAGNET ou similar  para cabo bitola 16mm² (292083)</v>
          </cell>
          <cell r="C9832" t="str">
            <v>ud</v>
          </cell>
          <cell r="D9832">
            <v>0</v>
          </cell>
          <cell r="E9832">
            <v>4.3099999999999996</v>
          </cell>
          <cell r="F9832">
            <v>4.3099999999999996</v>
          </cell>
        </row>
        <row r="9833">
          <cell r="A9833" t="str">
            <v>424148</v>
          </cell>
          <cell r="B9833" t="str">
            <v>Terminal à compressão, em liga de cobre, tipo pino maciço curto, fab. MAGNET ou similar  para cabo bitola 25mm²</v>
          </cell>
          <cell r="C9833" t="str">
            <v>ud</v>
          </cell>
          <cell r="D9833">
            <v>0</v>
          </cell>
          <cell r="E9833">
            <v>4.91</v>
          </cell>
          <cell r="F9833">
            <v>4.91</v>
          </cell>
        </row>
        <row r="9834">
          <cell r="A9834" t="str">
            <v>424149</v>
          </cell>
          <cell r="B9834" t="str">
            <v>Terminal à compressão, em liga de cobre, tipo pino maciço curto, fab. MAGNET ou similar  para cabo bitola 35mm²</v>
          </cell>
          <cell r="C9834" t="str">
            <v>ud</v>
          </cell>
          <cell r="D9834">
            <v>0</v>
          </cell>
          <cell r="E9834">
            <v>5.96</v>
          </cell>
          <cell r="F9834">
            <v>5.96</v>
          </cell>
        </row>
        <row r="9835">
          <cell r="A9835" t="str">
            <v>424150</v>
          </cell>
          <cell r="B9835" t="str">
            <v>Terminal à compressão, em liga de cobre, tipo pino maciço curto, fab. MAGNET ou similar  para cabo bitola 50mm²</v>
          </cell>
          <cell r="C9835" t="str">
            <v>ud</v>
          </cell>
          <cell r="D9835">
            <v>0</v>
          </cell>
          <cell r="E9835">
            <v>7.19</v>
          </cell>
          <cell r="F9835">
            <v>7.19</v>
          </cell>
        </row>
        <row r="9836">
          <cell r="A9836" t="str">
            <v>424151</v>
          </cell>
          <cell r="B9836" t="str">
            <v>Terminal à compressão, em liga de cobre, tipo pino maciço curto, fab. MAGNET ou similar  para cabo bitola 70mm²</v>
          </cell>
          <cell r="C9836" t="str">
            <v>ud</v>
          </cell>
          <cell r="D9836">
            <v>0</v>
          </cell>
          <cell r="E9836">
            <v>8.19</v>
          </cell>
          <cell r="F9836">
            <v>8.19</v>
          </cell>
        </row>
        <row r="9837">
          <cell r="A9837" t="str">
            <v>424152</v>
          </cell>
          <cell r="B9837" t="str">
            <v>Terminal à compressão, em liga de cobre, tipo pino maciço curto, fab. MAGNET ou similar  para cabo bitola 95mm² (295195)</v>
          </cell>
          <cell r="C9837" t="str">
            <v>ud</v>
          </cell>
          <cell r="D9837">
            <v>0</v>
          </cell>
          <cell r="E9837">
            <v>12</v>
          </cell>
          <cell r="F9837">
            <v>12</v>
          </cell>
          <cell r="G9837">
            <v>0</v>
          </cell>
        </row>
        <row r="9838">
          <cell r="A9838" t="str">
            <v>424153</v>
          </cell>
          <cell r="B9838" t="str">
            <v>Terminal à compressão, em liga de cobre, tipo pino maciço curto, fab. MAGNET ou similar  para cabo bitola 120mm²</v>
          </cell>
          <cell r="C9838" t="str">
            <v>ud</v>
          </cell>
          <cell r="D9838">
            <v>0</v>
          </cell>
          <cell r="E9838">
            <v>12.8</v>
          </cell>
          <cell r="F9838">
            <v>12.8</v>
          </cell>
        </row>
        <row r="9839">
          <cell r="A9839" t="str">
            <v>424154</v>
          </cell>
          <cell r="B9839" t="str">
            <v>Terminal à pressão, em liga de cobre, com 1 furo, para 1 cabo à barra, fab. MAGNET ou similar para cabo bitola 6mm² (37184)</v>
          </cell>
          <cell r="C9839" t="str">
            <v>ud</v>
          </cell>
          <cell r="D9839">
            <v>0</v>
          </cell>
          <cell r="E9839">
            <v>2.42</v>
          </cell>
          <cell r="F9839">
            <v>2.42</v>
          </cell>
        </row>
        <row r="9840">
          <cell r="A9840" t="str">
            <v>424155</v>
          </cell>
          <cell r="B9840" t="str">
            <v>Terminal à pressão, em liga de cobre, com 1 furo, para 1 cabo à barra, fab. MAGNET ou similar para cabo bitola 10mm² (37192)</v>
          </cell>
          <cell r="C9840" t="str">
            <v>ud</v>
          </cell>
          <cell r="D9840">
            <v>0</v>
          </cell>
          <cell r="E9840">
            <v>2.25</v>
          </cell>
          <cell r="F9840">
            <v>2.25</v>
          </cell>
          <cell r="G9840">
            <v>0</v>
          </cell>
        </row>
        <row r="9841">
          <cell r="A9841" t="str">
            <v>424156</v>
          </cell>
          <cell r="B9841" t="str">
            <v>Terminal à pressão, em liga de cobre, com 1 furo, para 1 cabo à barra, fab. MAGNET ou similar para cabo bitola 16mm² (225657)</v>
          </cell>
          <cell r="C9841" t="str">
            <v>ud</v>
          </cell>
          <cell r="D9841">
            <v>0</v>
          </cell>
          <cell r="E9841">
            <v>2.5099999999999998</v>
          </cell>
          <cell r="F9841">
            <v>2.5099999999999998</v>
          </cell>
        </row>
        <row r="9842">
          <cell r="A9842" t="str">
            <v>4242</v>
          </cell>
          <cell r="B9842" t="str">
            <v>EQUIPAMENTOS DE MEDIÇÃO, MATERIAIS DE INSTRUMENTAÇÃO</v>
          </cell>
          <cell r="C9842">
            <v>0</v>
          </cell>
          <cell r="D9842">
            <v>0</v>
          </cell>
          <cell r="E9842">
            <v>0</v>
          </cell>
          <cell r="F9842">
            <v>0</v>
          </cell>
          <cell r="G9842">
            <v>0</v>
          </cell>
        </row>
        <row r="9843">
          <cell r="A9843" t="str">
            <v>424201</v>
          </cell>
          <cell r="B9843" t="str">
            <v>Bloco terminal para 10 pares, tipo M-10B, fab. BARGOA ou similar</v>
          </cell>
          <cell r="C9843" t="str">
            <v>ud</v>
          </cell>
          <cell r="D9843">
            <v>0</v>
          </cell>
          <cell r="E9843">
            <v>12.2</v>
          </cell>
          <cell r="F9843">
            <v>12.2</v>
          </cell>
        </row>
        <row r="9844">
          <cell r="A9844" t="str">
            <v>424202</v>
          </cell>
          <cell r="B9844" t="str">
            <v xml:space="preserve">Came de posicionamento e acionamento do sensor, material PBT, 80mm, ref. E17327, fab. IFM ou similar </v>
          </cell>
          <cell r="C9844" t="str">
            <v>ud</v>
          </cell>
          <cell r="D9844">
            <v>0</v>
          </cell>
          <cell r="E9844">
            <v>99.33</v>
          </cell>
          <cell r="F9844">
            <v>99.33</v>
          </cell>
        </row>
        <row r="9845">
          <cell r="A9845" t="str">
            <v>424204</v>
          </cell>
          <cell r="B9845" t="str">
            <v>Distribuidor ótico interno (Dio), ANSI/TIA/EIA-568A, uso interno em rack, com suporte para 12 fibras, com bandeja deslizante, protetor de emenda, braçadeiras, anilhas de identificação e kits de conexão, mod. A270, ref. FURUKAWA  ou similar</v>
          </cell>
          <cell r="C9845" t="str">
            <v>ud</v>
          </cell>
          <cell r="D9845">
            <v>0</v>
          </cell>
          <cell r="E9845">
            <v>684.36</v>
          </cell>
          <cell r="F9845">
            <v>684.36</v>
          </cell>
        </row>
        <row r="9846">
          <cell r="A9846" t="str">
            <v>424205</v>
          </cell>
          <cell r="B9846" t="str">
            <v xml:space="preserve">Extensão para conexão elétrica (jumper), 1000mm, ligação do sensor com conector Asi, Conector M12/Soquete M12, cabo PUR, ref. EVC060, fab. IFM ou similar </v>
          </cell>
          <cell r="C9846" t="str">
            <v>ud</v>
          </cell>
          <cell r="D9846">
            <v>0</v>
          </cell>
          <cell r="E9846">
            <v>197.9</v>
          </cell>
          <cell r="F9846">
            <v>197.9</v>
          </cell>
        </row>
        <row r="9847">
          <cell r="A9847" t="str">
            <v>424206</v>
          </cell>
          <cell r="B9847" t="str">
            <v>Keystone macho padrão RJ-45, fab.FURUKAWA ou similar para instalação em cabo categoria 5</v>
          </cell>
          <cell r="C9847" t="str">
            <v>ud</v>
          </cell>
          <cell r="D9847">
            <v>0</v>
          </cell>
          <cell r="E9847">
            <v>1.6</v>
          </cell>
          <cell r="F9847">
            <v>1.6</v>
          </cell>
        </row>
        <row r="9848">
          <cell r="A9848" t="str">
            <v>424207</v>
          </cell>
          <cell r="B9848" t="str">
            <v>Kit AS-i de monitoração e acionamento de válvulas, ref. AC0023, fab. IFM ou similar</v>
          </cell>
          <cell r="C9848" t="str">
            <v>cj</v>
          </cell>
          <cell r="D9848">
            <v>0</v>
          </cell>
          <cell r="E9848">
            <v>1856.01</v>
          </cell>
          <cell r="F9848">
            <v>1856.01</v>
          </cell>
        </row>
        <row r="9849">
          <cell r="A9849" t="str">
            <v>424208</v>
          </cell>
          <cell r="B9849" t="str">
            <v>Sensor de pressão 0,125 a 2,5 bar, saída 4 a 20ma / 0 a 10V, 18 a 30VCC, DC PNP / DC NPN, IP-65/67, tipo PN2096, fab. IFM ou similar (295360)</v>
          </cell>
          <cell r="C9849" t="str">
            <v>ud</v>
          </cell>
          <cell r="D9849">
            <v>0</v>
          </cell>
          <cell r="E9849">
            <v>2178.06</v>
          </cell>
          <cell r="F9849">
            <v>2178.06</v>
          </cell>
        </row>
        <row r="9850">
          <cell r="A9850" t="str">
            <v>424209</v>
          </cell>
          <cell r="B9850" t="str">
            <v>Sensor de pressão -1 a 10 bar, saída 4 a 20ma / 0 a 10V, 18 a 30VCC, DC PNP / DC NPN, IP-65/67, tipo PN2094, fab. IFM ou similar (270830)</v>
          </cell>
          <cell r="C9850" t="str">
            <v>ud</v>
          </cell>
          <cell r="D9850">
            <v>0</v>
          </cell>
          <cell r="E9850">
            <v>2301.66</v>
          </cell>
          <cell r="F9850">
            <v>2301.66</v>
          </cell>
        </row>
        <row r="9851">
          <cell r="A9851" t="str">
            <v>424210</v>
          </cell>
          <cell r="B9851" t="str">
            <v>Sensor de pressão -1 a 25 bar, saída 4 a 20ma / 0 a 10V, 18 a 30VCC, DC PNP / DC NPN, IP-65, tipo PN2093, fab. IFM ou similar (270849)</v>
          </cell>
          <cell r="C9851" t="str">
            <v>ud</v>
          </cell>
          <cell r="D9851">
            <v>0</v>
          </cell>
          <cell r="E9851">
            <v>2301.66</v>
          </cell>
          <cell r="F9851">
            <v>2301.66</v>
          </cell>
        </row>
        <row r="9852">
          <cell r="A9852" t="str">
            <v>424211</v>
          </cell>
          <cell r="B9852" t="str">
            <v>Sensor de pressão 0 a 25 bar, saída 4 a 20ma / 0 a 10V, 18 a 30VCC, DC PNP, IP-65/67, tipo PN-3093, fab. IFM ou similar (141020)</v>
          </cell>
          <cell r="C9852" t="str">
            <v>ud</v>
          </cell>
          <cell r="D9852">
            <v>0</v>
          </cell>
          <cell r="E9852">
            <v>2220.37</v>
          </cell>
          <cell r="F9852">
            <v>2220.37</v>
          </cell>
        </row>
        <row r="9853">
          <cell r="A9853" t="str">
            <v>424212</v>
          </cell>
          <cell r="B9853" t="str">
            <v>Sensor de pressão, 0-25kgf/cm² manométrica, saída 4-20mA, 2 fios, corpo em aço inox 316L, indicador de cristal líquido, ref. LD301M41IBD11B120, fab. SMAR ou similar</v>
          </cell>
          <cell r="C9853" t="str">
            <v>ud</v>
          </cell>
          <cell r="D9853">
            <v>0</v>
          </cell>
          <cell r="E9853">
            <v>7492.99</v>
          </cell>
          <cell r="F9853">
            <v>7492.99</v>
          </cell>
        </row>
        <row r="9854">
          <cell r="A9854" t="str">
            <v>424213</v>
          </cell>
          <cell r="B9854" t="str">
            <v>Sensor de proximidade ultra-sônico com uma SA 4-20ma, range 350mm a 3400mm, zona morta 350mm, 24VCC, modelo mic+340/iu/tc + cabo conector referência CF-V1R/10-pu -10 m, fab. SENSE ou similar</v>
          </cell>
          <cell r="C9854" t="str">
            <v>ud</v>
          </cell>
          <cell r="D9854">
            <v>0</v>
          </cell>
          <cell r="E9854">
            <v>6723.66</v>
          </cell>
          <cell r="F9854">
            <v>6723.66</v>
          </cell>
        </row>
        <row r="9855">
          <cell r="A9855" t="str">
            <v>424214</v>
          </cell>
          <cell r="B9855" t="str">
            <v>Sensor de proximidade ultra-sônico com uma SA 4-20ma, range  600mm a 6000mm, zona morta 800mm, 24VCC, modelo mic+600/iu/tc + cabo conector referência CF-V1R/10-pu - 10 m, fab. SENSE ou similar</v>
          </cell>
          <cell r="C9855" t="str">
            <v>ud</v>
          </cell>
          <cell r="D9855">
            <v>0</v>
          </cell>
          <cell r="E9855">
            <v>6184.3</v>
          </cell>
          <cell r="F9855">
            <v>6184.3</v>
          </cell>
        </row>
        <row r="9856">
          <cell r="A9856" t="str">
            <v>424215</v>
          </cell>
          <cell r="B9856" t="str">
            <v xml:space="preserve">Sensor transmissor de pressão absoluta, 0-30kgf/cm², IP67, 4-20mA, com indicador LCD, tipo EJA430E-DAS4G-912DB/D4, com suporte de montagem em tubo ø2", ref. YOKOGAWA ou similar </v>
          </cell>
          <cell r="C9856" t="str">
            <v>ud</v>
          </cell>
          <cell r="D9856">
            <v>0</v>
          </cell>
          <cell r="E9856">
            <v>3033.03</v>
          </cell>
          <cell r="F9856">
            <v>3033.03</v>
          </cell>
        </row>
        <row r="9857">
          <cell r="A9857" t="str">
            <v>424216</v>
          </cell>
          <cell r="B9857" t="str">
            <v xml:space="preserve">Sensor transmissor de pressão absoluta, 0-5kgf/cm²,  IP67, 4-20mA, com indicador LCD, tipo EJA110A-DHS4B-92DA/D4, com suporte de montagem em tubo ø2", ref. YOKOGAWA ou similar </v>
          </cell>
          <cell r="C9857" t="str">
            <v>ud</v>
          </cell>
          <cell r="D9857">
            <v>0</v>
          </cell>
          <cell r="E9857">
            <v>3343.76</v>
          </cell>
          <cell r="F9857">
            <v>3343.76</v>
          </cell>
        </row>
        <row r="9858">
          <cell r="A9858" t="str">
            <v>424218</v>
          </cell>
          <cell r="B9858" t="str">
            <v xml:space="preserve">Sensor transmissor de pressão absoluta, 0,3-30kgf/cm², IP67, 4-20mA, com indicador LCD, tipo EJA430E-JAS4G-912DN/D4, com suporte de montagem em tubo ø2", ref. YOKOGAWA ou similar </v>
          </cell>
          <cell r="C9858" t="str">
            <v>ud</v>
          </cell>
          <cell r="D9858">
            <v>0</v>
          </cell>
          <cell r="E9858">
            <v>2948.19</v>
          </cell>
          <cell r="F9858">
            <v>2948.19</v>
          </cell>
        </row>
        <row r="9859">
          <cell r="A9859" t="str">
            <v>424219</v>
          </cell>
          <cell r="B9859" t="str">
            <v xml:space="preserve">Sensor transmissor de pressão absoluta, 1-20kgf/cm², IP67, 4-20mA, sem indicador LCD, tipo EJA530E-JBS4N-012NL/D4, com suporte de montagem em tubo ø2", ref. YOKOGAWA ou similar </v>
          </cell>
          <cell r="C9859" t="str">
            <v>ud</v>
          </cell>
          <cell r="D9859">
            <v>0</v>
          </cell>
          <cell r="E9859">
            <v>2067.98</v>
          </cell>
          <cell r="F9859">
            <v>2067.98</v>
          </cell>
        </row>
        <row r="9860">
          <cell r="A9860" t="str">
            <v>424220</v>
          </cell>
          <cell r="B9860" t="str">
            <v>Sensor T4/2SI Dual chip integrado AS-i Escravo, com dois sensores indutivos de range 4mm em encapsulamento único, IP67, 26,5 - 31,6VCC, conexão - soquete M12, para monitoração, uma saída digital, ref. AC2315, fab. IFM ou similar (289793)</v>
          </cell>
          <cell r="C9860" t="str">
            <v>ud</v>
          </cell>
          <cell r="D9860">
            <v>0</v>
          </cell>
          <cell r="E9860">
            <v>1111.77</v>
          </cell>
          <cell r="F9860">
            <v>1111.77</v>
          </cell>
        </row>
        <row r="9861">
          <cell r="A9861" t="str">
            <v>424221</v>
          </cell>
          <cell r="B9861" t="str">
            <v>Sensor T5-AB Dual Chip integrado AS-i Escravo, , com dois sensores indutivos de range 4mm em encapsulamento único, IP67, 26,5 - 31,6VCC, conexão - soquete M12, para monitoração, 2 entradas e uma saída digital, ref. AC2316, fab. IFM  ou similar  (289794)</v>
          </cell>
          <cell r="C9861" t="str">
            <v>ud</v>
          </cell>
          <cell r="D9861">
            <v>0</v>
          </cell>
          <cell r="E9861">
            <v>1284.23</v>
          </cell>
          <cell r="F9861">
            <v>1284.23</v>
          </cell>
        </row>
        <row r="9862">
          <cell r="A9862" t="str">
            <v>424222</v>
          </cell>
          <cell r="B9862" t="str">
            <v>Transmissor de pressão hidrostático, modelo SITRANS P, IP68, calibração 4mca, alim. 10-36 Vcc, 4-20mA, com protetor de surto para alim. 4-20 mA, diâm. 27,94 mm, ref.  SITRANS P - SERIE MPS, com 10m de cabo PE, fab. SIEMENS ou similar, com acessórios</v>
          </cell>
          <cell r="C9862" t="str">
            <v>ud</v>
          </cell>
          <cell r="D9862">
            <v>0</v>
          </cell>
          <cell r="E9862">
            <v>3754</v>
          </cell>
          <cell r="F9862">
            <v>3754</v>
          </cell>
        </row>
        <row r="9863">
          <cell r="A9863" t="str">
            <v>424223</v>
          </cell>
          <cell r="B9863" t="str">
            <v>Transmissor de pressão hidrostático, modelo SITRANS P, IP68, calibração 10mca, alim. 10-36 VCc, 4-20mA,  protetor de surto para alim. 4-20 mA, diâm. 27,94 mm, ref.  SITRANS P - SERIE MPS, com 20m de cabo PE, fab. SIEMENS ou similar, com acessórios</v>
          </cell>
          <cell r="C9863" t="str">
            <v>ud</v>
          </cell>
          <cell r="D9863">
            <v>0</v>
          </cell>
          <cell r="E9863">
            <v>4615</v>
          </cell>
          <cell r="F9863">
            <v>4615</v>
          </cell>
        </row>
        <row r="9864">
          <cell r="A9864" t="str">
            <v>424225</v>
          </cell>
          <cell r="B9864" t="str">
            <v>Indicador Universal de Processo, entrada 4-20mA, com retransmissão, saída 2 relés, alim. 100-240 Vca/Vcc, ref. 8150000100, fab. NOVUS ou similar</v>
          </cell>
          <cell r="C9864" t="str">
            <v>ud</v>
          </cell>
          <cell r="D9864">
            <v>0</v>
          </cell>
          <cell r="E9864">
            <v>969.76</v>
          </cell>
          <cell r="F9864">
            <v>969.76</v>
          </cell>
        </row>
        <row r="9865">
          <cell r="A9865" t="str">
            <v>424226</v>
          </cell>
          <cell r="B9865" t="str">
            <v>Indicador Universal de Processo, entrada 4-20mA, com retransmissão, saída 2 relés, alim. 24 Vca/Vcc, ref. 8150000104, fab. NOVUS ou similar</v>
          </cell>
          <cell r="C9865" t="str">
            <v>ud</v>
          </cell>
          <cell r="D9865">
            <v>0</v>
          </cell>
          <cell r="E9865">
            <v>1013.65</v>
          </cell>
          <cell r="F9865">
            <v>1013.65</v>
          </cell>
        </row>
        <row r="9866">
          <cell r="A9866" t="str">
            <v>424227</v>
          </cell>
          <cell r="B9866" t="str">
            <v xml:space="preserve">Soquete M12 para cabo plano ASi, capacidade de corrente 2A, IP67, corpo em PA, porca e parafusos em aço inox, ref. E70271, fab. IFM OU SIMILAR (294879)  </v>
          </cell>
          <cell r="C9866" t="str">
            <v>ud</v>
          </cell>
          <cell r="D9866">
            <v>0</v>
          </cell>
          <cell r="E9866">
            <v>147.06</v>
          </cell>
          <cell r="F9866">
            <v>147.06</v>
          </cell>
        </row>
        <row r="9867">
          <cell r="A9867" t="str">
            <v>424228</v>
          </cell>
          <cell r="B9867" t="str">
            <v xml:space="preserve">Transmissor de nível ultra-sonico, IP-65, 2 canais, 85 a 255 VCA, 60 Hz, LCD-6 dígitos, função de nível/vazão canal aberto, 2 saídas 4 - 20mA , 500 Ohms, 1 Reles 5A de 1 mm a 2m e 5 mm a 10 m. ref. MULTICONT PRC229-1, fab. NIVELCO ou similar </v>
          </cell>
          <cell r="C9867" t="str">
            <v>ud</v>
          </cell>
          <cell r="D9867">
            <v>0</v>
          </cell>
          <cell r="E9867">
            <v>6714.04</v>
          </cell>
          <cell r="F9867">
            <v>6714.04</v>
          </cell>
        </row>
        <row r="9868">
          <cell r="A9868" t="str">
            <v>424229</v>
          </cell>
          <cell r="B9868" t="str">
            <v>Transmissor de nível ultra-sonico, IP-65, 1 canal, 85 a 255 VCA, 60 Hz, LCD -6 dígitos, função nível/vazão em canal aberto, 1 saídas 4 - 20mA, 500 Ohms, 1 Reles 5A de 1 mm a 2m e 5 mm a 10 m. ref. MULTICONT PEC-215-1, fab. NIVELCO ou similar (290713)</v>
          </cell>
          <cell r="C9868" t="str">
            <v>ud</v>
          </cell>
          <cell r="D9868">
            <v>0</v>
          </cell>
          <cell r="E9868">
            <v>4817.03</v>
          </cell>
          <cell r="F9868">
            <v>4817.03</v>
          </cell>
        </row>
        <row r="9869">
          <cell r="A9869" t="str">
            <v>424230</v>
          </cell>
          <cell r="B9869" t="str">
            <v>Transmissor de nível ultra-sônico, IP 68, PP conexão 1½" ou 1", c/sensor temp., 11,4 a 36VCC, 4-20mA, HART, 5 metros de cabo, angulo 6°, freq.trab.  80 kHz, faixa 200mm até 4000mm, -30 à 80°C, ref. EASYTREK SPA 390-4 fab. NIVELCO ou similar</v>
          </cell>
          <cell r="C9869" t="str">
            <v>ud</v>
          </cell>
          <cell r="D9869">
            <v>0</v>
          </cell>
          <cell r="E9869">
            <v>3649.8</v>
          </cell>
          <cell r="F9869">
            <v>3649.8</v>
          </cell>
        </row>
        <row r="9870">
          <cell r="A9870" t="str">
            <v>424231</v>
          </cell>
          <cell r="B9870" t="str">
            <v xml:space="preserve">Transmissor de nível ultra-sônico, IP 68, PP conexão 2" ou 1", c/sensor temp., 11,4 a 36VCC, 4-20mA, HART, 5 metros de cabo, angulo 5°, freq.trab.  80 kHz, faixa 250mm até 6000mm, -30 à 90°C, ref. EASYTREK SPA 380-4 fab. NIVELCO ou similar </v>
          </cell>
          <cell r="C9870" t="str">
            <v>ud</v>
          </cell>
          <cell r="D9870">
            <v>0</v>
          </cell>
          <cell r="E9870">
            <v>3649.8</v>
          </cell>
          <cell r="F9870">
            <v>3649.8</v>
          </cell>
        </row>
        <row r="9871">
          <cell r="A9871" t="str">
            <v>424232</v>
          </cell>
          <cell r="B9871" t="str">
            <v>Transmissor de nível, MIC+340/D/TC, faixa 0-5,0m, IP-65, invólucro latão cromado, frente PBTP, alimentação 12-30Vcc, saida NA/NF, com conector M12 c/6m cabo, software configuração "Link Control" LSA-02, com adaptador USB , fab. SENSE ou similar</v>
          </cell>
          <cell r="C9871" t="str">
            <v>ud</v>
          </cell>
          <cell r="D9871">
            <v>0</v>
          </cell>
          <cell r="E9871">
            <v>9287.32</v>
          </cell>
          <cell r="F9871">
            <v>9287.32</v>
          </cell>
        </row>
        <row r="9872">
          <cell r="A9872" t="str">
            <v>424233</v>
          </cell>
          <cell r="B9872" t="str">
            <v>Transmissor microprocessado de umidade relativa e temperatura, série RHT-WM, c/sensor capacitivo polímero higroscópico filme fino e  PT100, faixa medição 0-100%, 40 a 60ºC, 2x4-20mA, 24VCC, 50mA, em ABS, fab. NOVUS ou similar</v>
          </cell>
          <cell r="C9872" t="str">
            <v>ud</v>
          </cell>
          <cell r="D9872">
            <v>0</v>
          </cell>
          <cell r="E9872">
            <v>832.87</v>
          </cell>
          <cell r="F9872">
            <v>832.87</v>
          </cell>
        </row>
        <row r="9873">
          <cell r="A9873" t="str">
            <v>424237</v>
          </cell>
          <cell r="B9873" t="str">
            <v>Sensor de nivel para poço profundo, pressão hidrostática, IP68, aço inox, alim. 10-36 Vcc, 4-20mA, com protetor de surto,  diâmetro 15,9 x55mm, mod. PS10 - range 0 - 10mca, com 10m de cabo, fab. PASE  ou similar</v>
          </cell>
          <cell r="C9873" t="str">
            <v>ud</v>
          </cell>
          <cell r="D9873">
            <v>0</v>
          </cell>
          <cell r="E9873">
            <v>3150</v>
          </cell>
          <cell r="F9873">
            <v>3150</v>
          </cell>
        </row>
        <row r="9874">
          <cell r="A9874" t="str">
            <v>424238</v>
          </cell>
          <cell r="B9874" t="str">
            <v>Sensor de nivel para poço profundo, pressão hidrostática, IP68, aço inox, alim. 10-36 Vcc, 4-20mA, com protetor de surto,  diâmetro 15,9 x55mm, mod. PS50 - range 0 - 50mca, com 50m de cabo, fab. PASE  ou similar</v>
          </cell>
          <cell r="C9874" t="str">
            <v>ud</v>
          </cell>
          <cell r="D9874">
            <v>0</v>
          </cell>
          <cell r="E9874">
            <v>3150</v>
          </cell>
          <cell r="F9874">
            <v>3150</v>
          </cell>
        </row>
        <row r="9875">
          <cell r="A9875" t="str">
            <v>424239</v>
          </cell>
          <cell r="B9875" t="str">
            <v>Sensor de nivel para poço profundo, pressão hidrostática, IP68, aço inox, alim. 10-36 Vcc, 4-20mA, com protetor de surto,  diâmetro 15,9 x55mm, mod. PS100 - range 0 - 100mca, com 100m de cabo, fab. PASE  ou similar</v>
          </cell>
          <cell r="C9875" t="str">
            <v>ud</v>
          </cell>
          <cell r="D9875">
            <v>0</v>
          </cell>
          <cell r="E9875">
            <v>3150</v>
          </cell>
          <cell r="F9875">
            <v>3150</v>
          </cell>
        </row>
        <row r="9876">
          <cell r="A9876" t="str">
            <v>424240</v>
          </cell>
          <cell r="B9876" t="str">
            <v>Sensor de nivel para poço profundo, pressão hidrostática, IP68, aço inox, alim. 10-36 Vcc, 4-20mA, com protetor de surto,  diâmetro 15,9 x55mm, mod. PS350 - range 0 - 350mca, com 350m de cabo, fab. PASE  ou similar</v>
          </cell>
          <cell r="C9876" t="str">
            <v>ud</v>
          </cell>
          <cell r="D9876">
            <v>0</v>
          </cell>
          <cell r="E9876">
            <v>3150</v>
          </cell>
          <cell r="F9876">
            <v>3150</v>
          </cell>
        </row>
        <row r="9877">
          <cell r="A9877" t="str">
            <v>424241</v>
          </cell>
          <cell r="B9877" t="str">
            <v>Sensor de nivel, pressão hidrostática, IP 68, aço inox, alim. 10-30VCC, 4-20mA, escala 0-10mca, conexão 1/2", com 15m de cabo de poliuretano, mod. LH-10,  fab. WIKA ou similar</v>
          </cell>
          <cell r="C9877" t="str">
            <v>ud</v>
          </cell>
          <cell r="D9877">
            <v>0</v>
          </cell>
          <cell r="E9877">
            <v>2032</v>
          </cell>
          <cell r="F9877">
            <v>2032</v>
          </cell>
        </row>
        <row r="9878">
          <cell r="A9878" t="str">
            <v>424242</v>
          </cell>
          <cell r="B9878" t="str">
            <v>Transmissor de pressão submersivel, IP 68, aço inox, alim. 10-30VCC, 4-20mA, escala 0-10mca, conexão 1/2", com 15m de cabo de poliuretano, mod. LS-10,  fab. WIKA ou similar</v>
          </cell>
          <cell r="C9878" t="str">
            <v>ud</v>
          </cell>
          <cell r="D9878">
            <v>0</v>
          </cell>
          <cell r="E9878">
            <v>1548</v>
          </cell>
          <cell r="F9878">
            <v>1548</v>
          </cell>
        </row>
        <row r="9879">
          <cell r="A9879" t="str">
            <v>424243</v>
          </cell>
          <cell r="B9879" t="str">
            <v>Antena Yagi, 50 Ohms, 300W, ganho 8 dB, Faixa 144 a 174 MHz, fab. ELECTRIL ANTENAS ou similar (288061)</v>
          </cell>
          <cell r="C9879" t="str">
            <v>ud</v>
          </cell>
          <cell r="D9879">
            <v>0</v>
          </cell>
          <cell r="E9879">
            <v>248</v>
          </cell>
          <cell r="F9879">
            <v>248</v>
          </cell>
        </row>
        <row r="9880">
          <cell r="A9880" t="str">
            <v>424244</v>
          </cell>
          <cell r="B9880" t="str">
            <v>Antena Yagi, 50 Ohms, modelo 1DX8 - 150AJ - Ref 248aj, ganho 12,44dBI (10,3dBd), Faixa 140 a 180 MHz,  fab. Electril Antenas ou similar</v>
          </cell>
          <cell r="C9880" t="str">
            <v>ud</v>
          </cell>
          <cell r="D9880">
            <v>0</v>
          </cell>
          <cell r="E9880">
            <v>484</v>
          </cell>
          <cell r="F9880">
            <v>484</v>
          </cell>
        </row>
        <row r="9881">
          <cell r="A9881" t="str">
            <v>424246</v>
          </cell>
          <cell r="B9881" t="str">
            <v>Antena omnidirecional, 50 Ohms, 300W, modelo Brasilia I - cod. 370 - faixa 130 - 180MHz - Ganho: 5,14dBi (3 elementos) -  fab. Electril ou similar (290794)</v>
          </cell>
          <cell r="C9881" t="str">
            <v>ud</v>
          </cell>
          <cell r="D9881">
            <v>0</v>
          </cell>
          <cell r="E9881">
            <v>196</v>
          </cell>
          <cell r="F9881">
            <v>196</v>
          </cell>
        </row>
        <row r="9882">
          <cell r="A9882" t="str">
            <v>424247</v>
          </cell>
          <cell r="B9882" t="str">
            <v>Antena direcional de alto ganho Yagi VHF, 5 elementos, impedância nominal: 50 Ohms, potência máxima: 300W, faixa 148 -174 MHz, ganho: 9dBi, modelo: DIRV-90/5DV, código: 504006, fab. ARS ou similar</v>
          </cell>
          <cell r="C9882" t="str">
            <v>ud</v>
          </cell>
          <cell r="D9882">
            <v>0</v>
          </cell>
          <cell r="E9882">
            <v>566.39</v>
          </cell>
          <cell r="F9882">
            <v>566.39</v>
          </cell>
        </row>
        <row r="9883">
          <cell r="A9883" t="str">
            <v>424248</v>
          </cell>
          <cell r="B9883" t="str">
            <v>Antena direcional de alto ganho Yagi VHF, 6 elementos, impedância nominal: 50 Ohms, potência máxima: 300W, faixa 144-174MHz, ganho: 10dBi, modelo: DIRV-100/6, código: 504010, fab. ARS  ou similar</v>
          </cell>
          <cell r="C9883" t="str">
            <v>ud</v>
          </cell>
          <cell r="D9883">
            <v>0</v>
          </cell>
          <cell r="E9883">
            <v>812.65</v>
          </cell>
          <cell r="F9883">
            <v>812.65</v>
          </cell>
        </row>
        <row r="9884">
          <cell r="A9884" t="str">
            <v>424249</v>
          </cell>
          <cell r="B9884" t="str">
            <v>Antena direcional de alto ganho Yagi VHF, 8 elementos, impedância nominal: 50 Ohms, potência máxima: 300W, faixa 144-174MHz, ganho: 12dBi, modelo: DIRV-120/8, código: 504015, fab. ARS ou similar</v>
          </cell>
          <cell r="C9884" t="str">
            <v>ud</v>
          </cell>
          <cell r="D9884">
            <v>0</v>
          </cell>
          <cell r="E9884">
            <v>1168.93</v>
          </cell>
          <cell r="F9884">
            <v>1168.93</v>
          </cell>
        </row>
        <row r="9885">
          <cell r="A9885" t="str">
            <v>424250</v>
          </cell>
          <cell r="B9885" t="str">
            <v>Antena direcional de alto ganho Yagi VHF, 10 elementos, impedância nominal: 50 Ohms, potência máxima: 300W, faixa 144-174MHz, ganho: 14 dBi, modelo: DIRV-140/10, código: 504020, fab. ARS ou similar</v>
          </cell>
          <cell r="C9885" t="str">
            <v>ud</v>
          </cell>
          <cell r="D9885">
            <v>0</v>
          </cell>
          <cell r="E9885">
            <v>1255.52</v>
          </cell>
          <cell r="F9885">
            <v>1255.52</v>
          </cell>
        </row>
        <row r="9886">
          <cell r="A9886" t="str">
            <v>424251</v>
          </cell>
          <cell r="B9886" t="str">
            <v>Antena direcional de alto ganho Yagi VHF, 12 elementos, impedância nominal: 50 Ohms, potência máxima: 300W, faixa 144-174MHz, ganho: 16dBi, modelo: DIRV-160/12, código: 504025, fab. ARS ou similar</v>
          </cell>
          <cell r="C9886" t="str">
            <v>ud</v>
          </cell>
          <cell r="D9886">
            <v>0</v>
          </cell>
          <cell r="E9886">
            <v>812.39</v>
          </cell>
          <cell r="F9886">
            <v>812.39</v>
          </cell>
        </row>
        <row r="9887">
          <cell r="A9887" t="str">
            <v>424252</v>
          </cell>
          <cell r="B9887" t="str">
            <v>Grampo de fixação para sensor de pressão ø 34mm ref: E10193, fab. IFM ou similar</v>
          </cell>
          <cell r="C9887" t="str">
            <v>ud</v>
          </cell>
          <cell r="D9887">
            <v>0</v>
          </cell>
          <cell r="E9887">
            <v>60.96</v>
          </cell>
          <cell r="F9887">
            <v>60.96</v>
          </cell>
        </row>
        <row r="9888">
          <cell r="A9888" t="str">
            <v>424253</v>
          </cell>
          <cell r="B9888" t="str">
            <v>Sensor de pressão 0 a 10 bar (0-100mca), saída 4-20mA / 0 a 10V, 20 a 30VCC, grau de proteção  IP 69K, conexão ao processo 1/2" gas externa, com conector M12, tipo PG-2454, fab. IFM ou similar (285097)</v>
          </cell>
          <cell r="C9888" t="str">
            <v>ud</v>
          </cell>
          <cell r="D9888">
            <v>0</v>
          </cell>
          <cell r="E9888">
            <v>2261.7199999999998</v>
          </cell>
          <cell r="F9888">
            <v>2261.7199999999998</v>
          </cell>
        </row>
        <row r="9889">
          <cell r="A9889" t="str">
            <v>424254</v>
          </cell>
          <cell r="B9889" t="str">
            <v>Cabo com conector soquete m12 - 10m, ref. EVT005, fab. IFM ou similar</v>
          </cell>
          <cell r="C9889" t="str">
            <v>ud</v>
          </cell>
          <cell r="D9889">
            <v>0</v>
          </cell>
          <cell r="E9889">
            <v>102.9</v>
          </cell>
          <cell r="F9889">
            <v>102.9</v>
          </cell>
        </row>
        <row r="9890">
          <cell r="A9890" t="str">
            <v>424255</v>
          </cell>
          <cell r="B9890" t="str">
            <v>Cabo com conector soquete m12 - 25m, ref. EVT006, fab. IFM ou similar</v>
          </cell>
          <cell r="C9890" t="str">
            <v>ud</v>
          </cell>
          <cell r="D9890">
            <v>0</v>
          </cell>
          <cell r="E9890">
            <v>161.56</v>
          </cell>
          <cell r="F9890">
            <v>161.56</v>
          </cell>
        </row>
        <row r="9891">
          <cell r="A9891" t="str">
            <v>424256</v>
          </cell>
          <cell r="B9891" t="str">
            <v>Cabo com conector soquete m12 - 60m, ref. EVT068, fab. IFM ou similar</v>
          </cell>
          <cell r="C9891" t="str">
            <v>ud</v>
          </cell>
          <cell r="D9891">
            <v>0</v>
          </cell>
          <cell r="E9891">
            <v>299.70999999999998</v>
          </cell>
          <cell r="F9891">
            <v>299.70999999999998</v>
          </cell>
        </row>
        <row r="9892">
          <cell r="A9892" t="str">
            <v>424257</v>
          </cell>
          <cell r="B9892" t="str">
            <v>Cabo com conector soquete m12 - 15m, ref. EVT094, fab. IFM ou similar</v>
          </cell>
          <cell r="C9892" t="str">
            <v>ud</v>
          </cell>
          <cell r="D9892">
            <v>0</v>
          </cell>
          <cell r="E9892">
            <v>116.5</v>
          </cell>
          <cell r="F9892">
            <v>116.5</v>
          </cell>
        </row>
        <row r="9893">
          <cell r="A9893" t="str">
            <v>424258</v>
          </cell>
          <cell r="B9893" t="str">
            <v>Adaptador em aço inox, g1/4"xg1/2", ref. e30000 fab. IFM  ou similar</v>
          </cell>
          <cell r="C9893" t="str">
            <v>ud</v>
          </cell>
          <cell r="D9893">
            <v>0</v>
          </cell>
          <cell r="E9893">
            <v>157.18</v>
          </cell>
          <cell r="F9893">
            <v>157.18</v>
          </cell>
        </row>
        <row r="9894">
          <cell r="A9894" t="str">
            <v>424259</v>
          </cell>
          <cell r="B9894" t="str">
            <v xml:space="preserve">Antena Painel Setorial, 12 dBi, tipo PS92512-90, polarização Vertical, fab. TSM ou similar </v>
          </cell>
          <cell r="C9894" t="str">
            <v>ud</v>
          </cell>
          <cell r="D9894">
            <v>0</v>
          </cell>
          <cell r="E9894">
            <v>1282</v>
          </cell>
          <cell r="F9894">
            <v>1282</v>
          </cell>
        </row>
        <row r="9895">
          <cell r="A9895" t="str">
            <v>424260</v>
          </cell>
          <cell r="B9895" t="str">
            <v>Antena Yagi, 890-960MHz, 10,3 dBi, tipo Y92511-07SG, polarização linear (horizontal e vertical), fab. TSM ou similar</v>
          </cell>
          <cell r="C9895" t="str">
            <v>ud</v>
          </cell>
          <cell r="D9895">
            <v>0</v>
          </cell>
          <cell r="E9895">
            <v>419.23</v>
          </cell>
          <cell r="F9895">
            <v>419.23</v>
          </cell>
        </row>
        <row r="9896">
          <cell r="A9896" t="str">
            <v>424261</v>
          </cell>
          <cell r="B9896" t="str">
            <v>Antena Yagi, 890-960MHz, 13,5 dBi, tipo Y92514-11SG, polarização polarização linear (horizontal e vertical), fab. TSM ou similar</v>
          </cell>
          <cell r="C9896" t="str">
            <v>ud</v>
          </cell>
          <cell r="D9896">
            <v>0</v>
          </cell>
          <cell r="E9896">
            <v>570</v>
          </cell>
          <cell r="F9896">
            <v>570</v>
          </cell>
        </row>
        <row r="9897">
          <cell r="A9897" t="str">
            <v>424262</v>
          </cell>
          <cell r="B9897" t="str">
            <v>Antena Yagi, 890-960MHz, 17,0 dBi, tipo Y92517-29SG, polarização linear (horizontal e vertical), fab. TSM ou similar</v>
          </cell>
          <cell r="C9897" t="str">
            <v>ud</v>
          </cell>
          <cell r="D9897">
            <v>0</v>
          </cell>
          <cell r="E9897">
            <v>803.75</v>
          </cell>
          <cell r="F9897">
            <v>803.75</v>
          </cell>
        </row>
        <row r="9898">
          <cell r="A9898" t="str">
            <v>424263</v>
          </cell>
          <cell r="B9898" t="str">
            <v>Combinador / Divisor de potência (Splitter), 0.7-2.2GHz, 1:2 tipo FR COMB12, fab. FRACTUM ou similar</v>
          </cell>
          <cell r="C9898" t="str">
            <v>ud</v>
          </cell>
          <cell r="D9898">
            <v>0</v>
          </cell>
          <cell r="E9898">
            <v>621.13</v>
          </cell>
          <cell r="F9898">
            <v>621.13</v>
          </cell>
        </row>
        <row r="9899">
          <cell r="A9899" t="str">
            <v>424264</v>
          </cell>
          <cell r="B9899" t="str">
            <v>Sensor de nível tipo piezoresistivo, uso em poço profundo, IP68, em titânio, 2 fios, saida 4-20mA, diametro 17,5mm, range 1 a 620 mca, temperatura de -2 a 30ºC, com 50m de cabo em poliuretano com ventilação, ref. PTX1830,  fab. GE ou similar</v>
          </cell>
          <cell r="C9899" t="str">
            <v>ud</v>
          </cell>
          <cell r="D9899">
            <v>0</v>
          </cell>
          <cell r="E9899">
            <v>5005.2700000000004</v>
          </cell>
          <cell r="F9899">
            <v>5005.2700000000004</v>
          </cell>
        </row>
        <row r="9900">
          <cell r="A9900" t="str">
            <v>424265</v>
          </cell>
          <cell r="B9900" t="str">
            <v>Sensor de nível tipo piezoresistivo, uso em poço profundo, IP68, em titânio, 2 fios, saida 4-20mA, diametro 17,5mm, range 1 a 620 mca, temperatura de -2 a 30ºC, com 100m de cabo em poliuretano com ventilação, ref. PTX1830,  fab. GE ou similar</v>
          </cell>
          <cell r="C9900" t="str">
            <v>ud</v>
          </cell>
          <cell r="D9900">
            <v>0</v>
          </cell>
          <cell r="E9900">
            <v>6149.24</v>
          </cell>
          <cell r="F9900">
            <v>6149.24</v>
          </cell>
        </row>
        <row r="9901">
          <cell r="A9901" t="str">
            <v>424266</v>
          </cell>
          <cell r="B9901" t="str">
            <v xml:space="preserve">Sensor de nível tipo piezoresistivo, uso em poço profundo, IP68, em titânio, 2 fios, saida 4-20mA, diametro 17,5mm, range 1 a 620 mca, temperatura de -2 a 30ºC, com 50m de cabo em poliuretano com ventilação e proteção interna contra rarios, ref. PTX1835, </v>
          </cell>
          <cell r="C9901" t="str">
            <v>ud</v>
          </cell>
          <cell r="D9901">
            <v>0</v>
          </cell>
          <cell r="E9901">
            <v>5408.24</v>
          </cell>
          <cell r="F9901">
            <v>5408.24</v>
          </cell>
        </row>
        <row r="9902">
          <cell r="A9902" t="str">
            <v>424267</v>
          </cell>
          <cell r="B9902" t="str">
            <v>Sensor de nível tipo piezoresistivo, uso em poço profundo, IP68, em titânio, 2 fios, saida 4-20mA, diametro 17,5mm, range 1 a 620 mca, temperatura de -2 a 30ºC, com 100m de cabo em poliuretano com ventilação e proteção interna contra rarios, ref. PTX1835,</v>
          </cell>
          <cell r="C9902" t="str">
            <v>ud</v>
          </cell>
          <cell r="D9902">
            <v>0</v>
          </cell>
          <cell r="E9902">
            <v>6552.2</v>
          </cell>
          <cell r="F9902">
            <v>6552.2</v>
          </cell>
        </row>
        <row r="9903">
          <cell r="A9903" t="str">
            <v>4243</v>
          </cell>
          <cell r="B9903" t="str">
            <v>VALVULA DE ESFERA / SOLENÓIDE</v>
          </cell>
          <cell r="C9903">
            <v>0</v>
          </cell>
          <cell r="D9903">
            <v>0</v>
          </cell>
          <cell r="E9903">
            <v>0</v>
          </cell>
          <cell r="F9903">
            <v>0</v>
          </cell>
        </row>
        <row r="9904">
          <cell r="A9904" t="str">
            <v>424301</v>
          </cell>
          <cell r="B9904" t="str">
            <v>Válvula de esfera, corpo em latão, rosca BSP, fab. VALMICRO ou similar, bitola 1/4" (285511)</v>
          </cell>
          <cell r="C9904" t="str">
            <v>ud</v>
          </cell>
          <cell r="D9904">
            <v>0</v>
          </cell>
          <cell r="E9904">
            <v>11</v>
          </cell>
          <cell r="F9904">
            <v>11</v>
          </cell>
        </row>
        <row r="9905">
          <cell r="A9905" t="str">
            <v>424302</v>
          </cell>
          <cell r="B9905" t="str">
            <v>Válvula de esfera, corpo em latão, rosca BSP, fab. VALMICRO ou similar, bitola 1/2" (285504)</v>
          </cell>
          <cell r="C9905" t="str">
            <v>ud</v>
          </cell>
          <cell r="D9905">
            <v>0</v>
          </cell>
          <cell r="E9905">
            <v>11</v>
          </cell>
          <cell r="F9905">
            <v>11</v>
          </cell>
        </row>
        <row r="9906">
          <cell r="A9906" t="str">
            <v>424303</v>
          </cell>
          <cell r="B9906" t="str">
            <v>Válvula de esfera, corpo em latão, rosca BSP, fab. VALMICRO ou similar, bitola 3/4" (285508)</v>
          </cell>
          <cell r="C9906" t="str">
            <v>ud</v>
          </cell>
          <cell r="D9906">
            <v>0</v>
          </cell>
          <cell r="E9906">
            <v>18</v>
          </cell>
          <cell r="F9906">
            <v>18</v>
          </cell>
        </row>
        <row r="9907">
          <cell r="A9907" t="str">
            <v>424304</v>
          </cell>
          <cell r="B9907" t="str">
            <v>Válvula de esfera, corpo em latão, rosca BSP, fab. VALMICRO ou similar, bitola 1" (285505)</v>
          </cell>
          <cell r="C9907" t="str">
            <v>ud</v>
          </cell>
          <cell r="D9907">
            <v>0</v>
          </cell>
          <cell r="E9907">
            <v>29</v>
          </cell>
          <cell r="F9907">
            <v>29</v>
          </cell>
        </row>
        <row r="9908">
          <cell r="A9908" t="str">
            <v>424305</v>
          </cell>
          <cell r="B9908" t="str">
            <v>Válvula de esfera, corpo em latão, rosca BSP, fab. VALMICRO ou similar, bitola 1.1/4" (291196)</v>
          </cell>
          <cell r="C9908" t="str">
            <v>ud</v>
          </cell>
          <cell r="D9908">
            <v>0</v>
          </cell>
          <cell r="E9908">
            <v>45</v>
          </cell>
          <cell r="F9908">
            <v>45</v>
          </cell>
        </row>
        <row r="9909">
          <cell r="A9909" t="str">
            <v>424306</v>
          </cell>
          <cell r="B9909" t="str">
            <v>Válvula de esfera, corpo em latão, rosca BSP, fab. VALMICRO ou similar, bitola 1.1/2" (285503)</v>
          </cell>
          <cell r="C9909" t="str">
            <v>ud</v>
          </cell>
          <cell r="D9909">
            <v>0</v>
          </cell>
          <cell r="E9909">
            <v>60</v>
          </cell>
          <cell r="F9909">
            <v>60</v>
          </cell>
        </row>
        <row r="9910">
          <cell r="A9910" t="str">
            <v>424307</v>
          </cell>
          <cell r="B9910" t="str">
            <v>Válvula de esfera, corpo em latão, rosca BSP, fab. VALMICRO ou similar, bitola 2" (285507)</v>
          </cell>
          <cell r="C9910" t="str">
            <v>ud</v>
          </cell>
          <cell r="D9910">
            <v>0</v>
          </cell>
          <cell r="E9910">
            <v>103</v>
          </cell>
          <cell r="F9910">
            <v>103</v>
          </cell>
        </row>
        <row r="9911">
          <cell r="A9911" t="str">
            <v>424308</v>
          </cell>
          <cell r="B9911" t="str">
            <v>Válvula de esfera, corpo em latão, rosca BSP, fab. VALMICRO ou similar, bitola 3" (285509)</v>
          </cell>
          <cell r="C9911" t="str">
            <v>ud</v>
          </cell>
          <cell r="D9911">
            <v>0</v>
          </cell>
          <cell r="E9911">
            <v>319</v>
          </cell>
          <cell r="F9911">
            <v>319</v>
          </cell>
        </row>
        <row r="9912">
          <cell r="A9912" t="str">
            <v>424311</v>
          </cell>
          <cell r="B9912" t="str">
            <v>Válvula de esfera com rosca de PVC, fab. TIGRE ou similar, bitola DN 20</v>
          </cell>
          <cell r="C9912" t="str">
            <v>ud</v>
          </cell>
          <cell r="D9912">
            <v>0</v>
          </cell>
          <cell r="E9912">
            <v>13.49</v>
          </cell>
          <cell r="F9912">
            <v>13.49</v>
          </cell>
        </row>
        <row r="9913">
          <cell r="A9913" t="str">
            <v>424312</v>
          </cell>
          <cell r="B9913" t="str">
            <v>Válvula de esfera com rosca de PVC, fab. TIGRE ou similar, bitola DN 40</v>
          </cell>
          <cell r="C9913" t="str">
            <v>ud</v>
          </cell>
          <cell r="D9913">
            <v>0</v>
          </cell>
          <cell r="E9913">
            <v>31.35</v>
          </cell>
          <cell r="F9913">
            <v>31.35</v>
          </cell>
        </row>
        <row r="9914">
          <cell r="A9914" t="str">
            <v>424313</v>
          </cell>
          <cell r="B9914" t="str">
            <v>Válvula de esfera em 3 partes, corpo em bronze, com passagem reduzida, haste anti-expulsão, cabo de manobra de alumínio e extremidades com roscas BSP ou NPT, fab. MIPEL ou similar, bitola 3/4"</v>
          </cell>
          <cell r="C9914" t="str">
            <v>ud</v>
          </cell>
          <cell r="D9914">
            <v>0</v>
          </cell>
          <cell r="E9914">
            <v>107.31</v>
          </cell>
          <cell r="F9914">
            <v>107.31</v>
          </cell>
        </row>
        <row r="9915">
          <cell r="A9915" t="str">
            <v>424314</v>
          </cell>
          <cell r="B9915" t="str">
            <v>Válvula de esfera em 3 partes, corpo em bronze, com passagem reduzida, haste anti-expulsão, cabo de manobra de alumínio e extremidades com roscas BSP ou NPT, fab. MIPEL ou similar, bitola 1"</v>
          </cell>
          <cell r="C9915" t="str">
            <v>ud</v>
          </cell>
          <cell r="D9915">
            <v>0</v>
          </cell>
          <cell r="E9915">
            <v>132.77000000000001</v>
          </cell>
          <cell r="F9915">
            <v>132.77000000000001</v>
          </cell>
        </row>
        <row r="9916">
          <cell r="A9916" t="str">
            <v>424315</v>
          </cell>
          <cell r="B9916" t="str">
            <v>Válvula de esfera em 3 partes, corpo em bronze, com passagem reduzida, haste anti-expulsão, cabo de manobra de alumínio e extremidades com roscas BSP ou NPT, fab. MIPEL ou similar, bitola 1.1/4"</v>
          </cell>
          <cell r="C9916" t="str">
            <v>ud</v>
          </cell>
          <cell r="D9916">
            <v>0</v>
          </cell>
          <cell r="E9916">
            <v>223.23</v>
          </cell>
          <cell r="F9916">
            <v>223.23</v>
          </cell>
        </row>
        <row r="9917">
          <cell r="A9917" t="str">
            <v>424316</v>
          </cell>
          <cell r="B9917" t="str">
            <v>Válvula de esfera em 3 partes, corpo em bronze, com passagem reduzida, haste anti-expulsão, cabo de manobra de alumínio e extremidades com roscas BSP ou NPT, fab. MIPEL ou similar, bitola 1.1/2"</v>
          </cell>
          <cell r="C9917" t="str">
            <v>ud</v>
          </cell>
          <cell r="D9917">
            <v>0</v>
          </cell>
          <cell r="E9917">
            <v>260.27</v>
          </cell>
          <cell r="F9917">
            <v>260.27</v>
          </cell>
        </row>
        <row r="9918">
          <cell r="A9918" t="str">
            <v>424317</v>
          </cell>
          <cell r="B9918" t="str">
            <v>Válvula de esfera em 3 partes, corpo em bronze, com passagem reduzida, haste anti-expulsão, cabo de manobra de alumínio e extremidades com roscas BSP ou NPT, fab. MIPEL ou similar, bitola 2"</v>
          </cell>
          <cell r="C9918" t="str">
            <v>ud</v>
          </cell>
          <cell r="D9918">
            <v>0</v>
          </cell>
          <cell r="E9918">
            <v>393.54</v>
          </cell>
          <cell r="F9918">
            <v>393.54</v>
          </cell>
        </row>
        <row r="9919">
          <cell r="A9919" t="str">
            <v>424318</v>
          </cell>
          <cell r="B9919" t="str">
            <v>Válvula de esfera em 3 partes, corpo em bronze, com passagem reduzida, haste anti-expulsão, cabo de manobra de alumínio e extremidades com roscas BSP ou NPT, fab. MIPEL ou similar, bitola 2.1/2"</v>
          </cell>
          <cell r="C9919" t="str">
            <v>ud</v>
          </cell>
          <cell r="D9919">
            <v>0</v>
          </cell>
          <cell r="E9919">
            <v>616.84</v>
          </cell>
          <cell r="F9919">
            <v>616.84</v>
          </cell>
        </row>
        <row r="9920">
          <cell r="A9920" t="str">
            <v>424327</v>
          </cell>
          <cell r="B9920" t="str">
            <v>Válvula simples solenóide para água, pressão máxima de operação 9kgf/cm², rosca 1.1/2" NPT, invólucro padrão Nema4, NF, 220V, 60Hz c/operador manual tipo pino roscado no corpo, ref. 2SC8210B022MS, fab. ASCOVAL ou similar</v>
          </cell>
          <cell r="C9920" t="str">
            <v>ud</v>
          </cell>
          <cell r="D9920">
            <v>0</v>
          </cell>
          <cell r="E9920">
            <v>2987</v>
          </cell>
          <cell r="F9920">
            <v>2987</v>
          </cell>
        </row>
        <row r="9921">
          <cell r="A9921" t="str">
            <v>424328</v>
          </cell>
          <cell r="B9921" t="str">
            <v>Válvula simples solenóide para ar comprimido,  pressão máxima de operação 20kgf/cm², rosca 1.1/2" NPT, invólucro padrão Nema4, NF, 220V, 60Hz, c/operador manual tipo pino roscado no corpo, ref. 2SC8210B082MS, fab. ASCOVAL ou similar</v>
          </cell>
          <cell r="C9921" t="str">
            <v>ud</v>
          </cell>
          <cell r="D9921">
            <v>0</v>
          </cell>
          <cell r="E9921">
            <v>6703</v>
          </cell>
          <cell r="F9921">
            <v>6703</v>
          </cell>
        </row>
        <row r="9922">
          <cell r="A9922" t="str">
            <v>424329</v>
          </cell>
          <cell r="B9922" t="str">
            <v xml:space="preserve">Válvula solenóide para água, pressão máxima de operação 9kgf/cm², rosca 3/4" NPT, invólucro padrão Nema4, NF, 220V, 60Hz, ref. SC8210D009E220/60, fab. ASCOVAL ou similar </v>
          </cell>
          <cell r="C9922" t="str">
            <v>ud</v>
          </cell>
          <cell r="D9922">
            <v>0</v>
          </cell>
          <cell r="E9922">
            <v>675.88</v>
          </cell>
          <cell r="F9922">
            <v>675.88</v>
          </cell>
        </row>
        <row r="9923">
          <cell r="A9923" t="str">
            <v>424330</v>
          </cell>
          <cell r="B9923" t="str">
            <v>Válvula solenóide, corpo em latão, para ar comprimido  e água, 2 vias,  NF, 220V, 60Hz, conexão NPT,  fab. PARKER ou similar, bitola 3/4"</v>
          </cell>
          <cell r="C9923" t="str">
            <v>ud</v>
          </cell>
          <cell r="D9923">
            <v>0</v>
          </cell>
          <cell r="E9923">
            <v>640</v>
          </cell>
          <cell r="F9923">
            <v>640</v>
          </cell>
        </row>
        <row r="9924">
          <cell r="A9924" t="str">
            <v>424331</v>
          </cell>
          <cell r="B9924" t="str">
            <v>Válvula solenóide, corpo em latão, para ar comprimido  e água, 2 vias,  NF, 220V, 60Hz, conexão NPT,  fab. PARKER ou similar, bitola 1"</v>
          </cell>
          <cell r="C9924" t="str">
            <v>ud</v>
          </cell>
          <cell r="D9924">
            <v>0</v>
          </cell>
          <cell r="E9924">
            <v>788</v>
          </cell>
          <cell r="F9924">
            <v>788</v>
          </cell>
        </row>
        <row r="9925">
          <cell r="A9925" t="str">
            <v>424332</v>
          </cell>
          <cell r="B9925" t="str">
            <v>Válvula solenóide, corpo em latão, para ar comprimido  e água, 2 vias,  NF, 220V, 60Hz, conexão NPT,  fab. PARKER ou similar, bitola 1.1/2"</v>
          </cell>
          <cell r="C9925" t="str">
            <v>ud</v>
          </cell>
          <cell r="D9925">
            <v>0</v>
          </cell>
          <cell r="E9925">
            <v>1235</v>
          </cell>
          <cell r="F9925">
            <v>1235</v>
          </cell>
        </row>
        <row r="9926">
          <cell r="A9926" t="str">
            <v>424333</v>
          </cell>
          <cell r="B9926" t="str">
            <v>Válvula solenóide, corpo em latão, para ar comprimido  e água, 2 vias,  NF, 220V, 60Hz, conexão NPT,  fab. PARKER ou similar, bitola 2"</v>
          </cell>
          <cell r="C9926" t="str">
            <v>ud</v>
          </cell>
          <cell r="D9926">
            <v>0</v>
          </cell>
          <cell r="E9926">
            <v>1768</v>
          </cell>
          <cell r="F9926">
            <v>1768</v>
          </cell>
        </row>
        <row r="9927">
          <cell r="A9927" t="str">
            <v>424334</v>
          </cell>
          <cell r="B9927" t="str">
            <v>Válvula solenóide, corpo em latão, para ar comprimido  e água, 2 vias,  NF, 220V, 60Hz, conexão NPT,  fab. PARKER ou similar, bitola 3"</v>
          </cell>
          <cell r="C9927" t="str">
            <v>ud</v>
          </cell>
          <cell r="D9927">
            <v>0</v>
          </cell>
          <cell r="E9927">
            <v>2999.7</v>
          </cell>
          <cell r="F9927">
            <v>2999.7</v>
          </cell>
        </row>
        <row r="9928">
          <cell r="A9928" t="str">
            <v>4244</v>
          </cell>
          <cell r="B9928" t="str">
            <v>CONEXÕES FERRO GALV. PARA CONDUÇÃO DE LÍQUIDOS, GASES E VAPORES</v>
          </cell>
          <cell r="C9928">
            <v>0</v>
          </cell>
          <cell r="D9928">
            <v>0</v>
          </cell>
          <cell r="E9928">
            <v>0</v>
          </cell>
          <cell r="F9928">
            <v>0</v>
          </cell>
        </row>
        <row r="9929">
          <cell r="A9929" t="str">
            <v>424401</v>
          </cell>
          <cell r="B9929" t="str">
            <v>Bucha de redução ferro galvanizado, 1"x1/2" NPT, ref. TUPY ou similar</v>
          </cell>
          <cell r="C9929" t="str">
            <v>ud</v>
          </cell>
          <cell r="D9929">
            <v>0</v>
          </cell>
          <cell r="E9929">
            <v>5.53</v>
          </cell>
          <cell r="F9929">
            <v>5.53</v>
          </cell>
          <cell r="G9929">
            <v>764</v>
          </cell>
        </row>
        <row r="9930">
          <cell r="A9930" t="str">
            <v>424402</v>
          </cell>
          <cell r="B9930" t="str">
            <v>Bucha de redução ferro galvanizado, 3/4"x1/2" NPT, ref. TUPY ou similar</v>
          </cell>
          <cell r="C9930" t="str">
            <v>ud</v>
          </cell>
          <cell r="D9930">
            <v>0</v>
          </cell>
          <cell r="E9930">
            <v>3.81</v>
          </cell>
          <cell r="F9930">
            <v>3.81</v>
          </cell>
          <cell r="G9930">
            <v>779</v>
          </cell>
        </row>
        <row r="9931">
          <cell r="A9931" t="str">
            <v>424403</v>
          </cell>
          <cell r="B9931" t="str">
            <v>Bujão em ferro galvanizado, 1/2" BSP, ref. 290, fab. TUPY ou similar</v>
          </cell>
          <cell r="C9931" t="str">
            <v>ud</v>
          </cell>
          <cell r="D9931">
            <v>0</v>
          </cell>
          <cell r="E9931">
            <v>2.27</v>
          </cell>
          <cell r="F9931">
            <v>2.27</v>
          </cell>
          <cell r="G9931">
            <v>4888</v>
          </cell>
        </row>
        <row r="9932">
          <cell r="A9932" t="str">
            <v>424404</v>
          </cell>
          <cell r="B9932" t="str">
            <v>Cotovelo 90º em ferro galvanizado, ø1/2" BSP, ref. TUPY ou similar</v>
          </cell>
          <cell r="C9932" t="str">
            <v>ud</v>
          </cell>
          <cell r="D9932">
            <v>0</v>
          </cell>
          <cell r="E9932">
            <v>3.83</v>
          </cell>
          <cell r="F9932">
            <v>3.83</v>
          </cell>
          <cell r="G9932">
            <v>3455</v>
          </cell>
        </row>
        <row r="9933">
          <cell r="A9933" t="str">
            <v>424405</v>
          </cell>
          <cell r="B9933" t="str">
            <v>Cotovelo 90º em ferro galvanizado, ø3/4" BSP, ref. TUPY ou similar</v>
          </cell>
          <cell r="C9933" t="str">
            <v>ud</v>
          </cell>
          <cell r="D9933">
            <v>0</v>
          </cell>
          <cell r="E9933">
            <v>5.73</v>
          </cell>
          <cell r="F9933">
            <v>5.73</v>
          </cell>
          <cell r="G9933">
            <v>3456</v>
          </cell>
        </row>
        <row r="9934">
          <cell r="A9934" t="str">
            <v>424406</v>
          </cell>
          <cell r="B9934" t="str">
            <v xml:space="preserve">Luva de ferro galvanizado, rosca BSP, 1/2", fab. TUPY ou similar </v>
          </cell>
          <cell r="C9934" t="str">
            <v>ud</v>
          </cell>
          <cell r="D9934">
            <v>0</v>
          </cell>
          <cell r="E9934">
            <v>4.4800000000000004</v>
          </cell>
          <cell r="F9934">
            <v>4.4800000000000004</v>
          </cell>
          <cell r="G9934">
            <v>0</v>
          </cell>
        </row>
        <row r="9935">
          <cell r="A9935" t="str">
            <v>424407</v>
          </cell>
          <cell r="B9935" t="str">
            <v xml:space="preserve">Luva de redução em ferro galvanizado , rosca BSP  3/4" x 1/2", fab. TUPY ou similar (31100) </v>
          </cell>
          <cell r="C9935" t="str">
            <v>ud</v>
          </cell>
          <cell r="D9935">
            <v>0</v>
          </cell>
          <cell r="E9935">
            <v>5.29</v>
          </cell>
          <cell r="F9935">
            <v>5.29</v>
          </cell>
          <cell r="G9935">
            <v>12406</v>
          </cell>
        </row>
        <row r="9936">
          <cell r="A9936" t="str">
            <v>424408</v>
          </cell>
          <cell r="B9936" t="str">
            <v>Luva de redução em ferro galvanizado, rosca BSP  1" x 3/4", fab. TUPY ou similar (31135)</v>
          </cell>
          <cell r="C9936" t="str">
            <v>ud</v>
          </cell>
          <cell r="D9936">
            <v>0</v>
          </cell>
          <cell r="E9936">
            <v>7.46</v>
          </cell>
          <cell r="F9936">
            <v>7.46</v>
          </cell>
          <cell r="G9936">
            <v>3919</v>
          </cell>
        </row>
        <row r="9937">
          <cell r="A9937" t="str">
            <v>424409</v>
          </cell>
          <cell r="B9937" t="str">
            <v>Luva de redução em ferro galvanizado, rosca BSP 1/2" x 1/4", fab.  TUPY ou similar (31089)</v>
          </cell>
          <cell r="C9937" t="str">
            <v>ud</v>
          </cell>
          <cell r="D9937">
            <v>0</v>
          </cell>
          <cell r="E9937">
            <v>3.26</v>
          </cell>
          <cell r="F9937">
            <v>3.26</v>
          </cell>
        </row>
        <row r="9938">
          <cell r="A9938" t="str">
            <v>424410</v>
          </cell>
          <cell r="B9938" t="str">
            <v>Niple duplo em ferro galvanizado, NBR 6943, rosca BSP, fab. TUPY ou similar, bitola 15mm (1/2")</v>
          </cell>
          <cell r="C9938" t="str">
            <v>ud</v>
          </cell>
          <cell r="D9938">
            <v>0</v>
          </cell>
          <cell r="E9938">
            <v>3.12</v>
          </cell>
          <cell r="F9938">
            <v>3.12</v>
          </cell>
          <cell r="G9938">
            <v>4177</v>
          </cell>
        </row>
        <row r="9939">
          <cell r="A9939" t="str">
            <v>424411</v>
          </cell>
          <cell r="B9939" t="str">
            <v>Niple duplo em ferro galvanizado, NBR 6943, rosca BSP, fab. TUPY ou similar, bitola 20mm (3/4")</v>
          </cell>
          <cell r="C9939" t="str">
            <v>ud</v>
          </cell>
          <cell r="D9939">
            <v>0</v>
          </cell>
          <cell r="E9939">
            <v>4.33</v>
          </cell>
          <cell r="F9939">
            <v>4.33</v>
          </cell>
          <cell r="G9939">
            <v>4178</v>
          </cell>
        </row>
        <row r="9940">
          <cell r="A9940" t="str">
            <v>424412</v>
          </cell>
          <cell r="B9940" t="str">
            <v xml:space="preserve">Niple duplo em ferro galvanizado, NBR 6943, rosca BSP, fab. TUPY ou similar, bitola 25mm (1")  </v>
          </cell>
          <cell r="C9940" t="str">
            <v>ud</v>
          </cell>
          <cell r="D9940">
            <v>0</v>
          </cell>
          <cell r="E9940">
            <v>6.38</v>
          </cell>
          <cell r="F9940">
            <v>6.38</v>
          </cell>
          <cell r="G9940">
            <v>4179</v>
          </cell>
        </row>
        <row r="9941">
          <cell r="A9941" t="str">
            <v>424413</v>
          </cell>
          <cell r="B9941" t="str">
            <v>Niple duplo em ferro galvanizado, NBR 6943, rosca BSP, fab. TUPY ou similar, bitola 32mm (1 1/4")</v>
          </cell>
          <cell r="C9941" t="str">
            <v>ud</v>
          </cell>
          <cell r="D9941">
            <v>0</v>
          </cell>
          <cell r="E9941">
            <v>9.4</v>
          </cell>
          <cell r="F9941">
            <v>9.4</v>
          </cell>
          <cell r="G9941">
            <v>4180</v>
          </cell>
        </row>
        <row r="9942">
          <cell r="A9942" t="str">
            <v>424414</v>
          </cell>
          <cell r="B9942" t="str">
            <v>Niple duplo em ferro galvanizado, NBR 6943, rosca BSP, fab. TUPY ou similar, bitola 40mm (1 1/2")</v>
          </cell>
          <cell r="C9942" t="str">
            <v>ud</v>
          </cell>
          <cell r="D9942">
            <v>0</v>
          </cell>
          <cell r="E9942">
            <v>12.49</v>
          </cell>
          <cell r="F9942">
            <v>12.49</v>
          </cell>
          <cell r="G9942">
            <v>4209</v>
          </cell>
        </row>
        <row r="9943">
          <cell r="A9943" t="str">
            <v>424415</v>
          </cell>
          <cell r="B9943" t="str">
            <v>Niple duplo em ferro galvanizado, NBR 6943, rosca BSP, fab. TUPY ou similar, bitola 50mm (2")</v>
          </cell>
          <cell r="C9943" t="str">
            <v>ud</v>
          </cell>
          <cell r="D9943">
            <v>0</v>
          </cell>
          <cell r="E9943">
            <v>19.420000000000002</v>
          </cell>
          <cell r="F9943">
            <v>19.420000000000002</v>
          </cell>
          <cell r="G9943">
            <v>4181</v>
          </cell>
        </row>
        <row r="9944">
          <cell r="A9944" t="str">
            <v>424416</v>
          </cell>
          <cell r="B9944" t="str">
            <v>Niple duplo em ferro galvanizado, NBR 6943, rosca BSP, fab. TUPY ou similar, bitola 65mm (2 1/2")</v>
          </cell>
          <cell r="C9944" t="str">
            <v>ud</v>
          </cell>
          <cell r="D9944">
            <v>0</v>
          </cell>
          <cell r="E9944">
            <v>29.73</v>
          </cell>
          <cell r="F9944">
            <v>29.73</v>
          </cell>
          <cell r="G9944">
            <v>4208</v>
          </cell>
        </row>
        <row r="9945">
          <cell r="A9945" t="str">
            <v>424417</v>
          </cell>
          <cell r="B9945" t="str">
            <v>Niple duplo em ferro galvanizado, NBR 6943, rosca BSP, fab. TUPY ou similar, bitola 80mm (3")</v>
          </cell>
          <cell r="C9945" t="str">
            <v>ud</v>
          </cell>
          <cell r="D9945">
            <v>0</v>
          </cell>
          <cell r="E9945">
            <v>48.37</v>
          </cell>
          <cell r="F9945">
            <v>48.37</v>
          </cell>
          <cell r="G9945">
            <v>4182</v>
          </cell>
        </row>
        <row r="9946">
          <cell r="A9946" t="str">
            <v>424418</v>
          </cell>
          <cell r="B9946" t="str">
            <v>Niple duplo em ferro galvanizado, NBR 6943, rosca BSP, fab. TUPY ou similar, bitola 100mm (4")</v>
          </cell>
          <cell r="C9946" t="str">
            <v>ud</v>
          </cell>
          <cell r="D9946">
            <v>0</v>
          </cell>
          <cell r="E9946">
            <v>77.87</v>
          </cell>
          <cell r="F9946">
            <v>77.87</v>
          </cell>
          <cell r="G9946">
            <v>4183</v>
          </cell>
        </row>
        <row r="9947">
          <cell r="A9947" t="str">
            <v>424419</v>
          </cell>
          <cell r="B9947" t="str">
            <v>Niple em latão, ø1/4" BSP, fab. TUPY ou similar</v>
          </cell>
          <cell r="C9947" t="str">
            <v>ud</v>
          </cell>
          <cell r="D9947">
            <v>0</v>
          </cell>
          <cell r="E9947">
            <v>4.16</v>
          </cell>
          <cell r="F9947">
            <v>4.16</v>
          </cell>
          <cell r="G9947">
            <v>0</v>
          </cell>
        </row>
        <row r="9948">
          <cell r="A9948" t="str">
            <v>424420</v>
          </cell>
          <cell r="B9948" t="str">
            <v xml:space="preserve">Tê 45º em aço galvanizado, ø1/2" BSP, fab. TUPY ou similar </v>
          </cell>
          <cell r="C9948" t="str">
            <v>ud</v>
          </cell>
          <cell r="D9948">
            <v>0</v>
          </cell>
          <cell r="E9948">
            <v>5.21</v>
          </cell>
          <cell r="F9948">
            <v>5.21</v>
          </cell>
          <cell r="G9948">
            <v>6294</v>
          </cell>
        </row>
        <row r="9949">
          <cell r="A9949" t="str">
            <v>424421</v>
          </cell>
          <cell r="B9949" t="str">
            <v>Tê 90º em aço galvanizado, ø1/2" BSP, fab. TUPY ou similar</v>
          </cell>
          <cell r="C9949" t="str">
            <v>ud</v>
          </cell>
          <cell r="D9949">
            <v>0</v>
          </cell>
          <cell r="E9949">
            <v>5.21</v>
          </cell>
          <cell r="F9949">
            <v>5.21</v>
          </cell>
          <cell r="G9949">
            <v>6294</v>
          </cell>
        </row>
        <row r="9950">
          <cell r="A9950" t="str">
            <v>424422</v>
          </cell>
          <cell r="B9950" t="str">
            <v xml:space="preserve">União em aço galvanizado, ø1/2" BSP, fab. TUPY ou similar </v>
          </cell>
          <cell r="C9950" t="str">
            <v>ud</v>
          </cell>
          <cell r="D9950">
            <v>0</v>
          </cell>
          <cell r="E9950">
            <v>13.42</v>
          </cell>
          <cell r="F9950">
            <v>13.42</v>
          </cell>
          <cell r="G9950">
            <v>9883</v>
          </cell>
        </row>
        <row r="9951">
          <cell r="A9951" t="str">
            <v>4245</v>
          </cell>
          <cell r="B9951" t="str">
            <v>CONEXÕES PARA ELETROCALHAS E LEITOS</v>
          </cell>
          <cell r="C9951">
            <v>0</v>
          </cell>
          <cell r="D9951">
            <v>0</v>
          </cell>
          <cell r="E9951">
            <v>0</v>
          </cell>
          <cell r="F9951">
            <v>0</v>
          </cell>
          <cell r="G9951">
            <v>0</v>
          </cell>
        </row>
        <row r="9952">
          <cell r="A9952" t="str">
            <v>424501</v>
          </cell>
          <cell r="B9952" t="str">
            <v>Junção simples, em aço galvanizado a fogo, para leito aba 60mm (50x25x160mm), ref. DP-847, fab. DISPAN ou similar</v>
          </cell>
          <cell r="C9952" t="str">
            <v>ud</v>
          </cell>
          <cell r="D9952">
            <v>0</v>
          </cell>
          <cell r="E9952">
            <v>1.94</v>
          </cell>
          <cell r="F9952">
            <v>1.94</v>
          </cell>
        </row>
        <row r="9953">
          <cell r="A9953" t="str">
            <v>424502</v>
          </cell>
          <cell r="B9953" t="str">
            <v>Junção angular 90°, em aço galvanizado a fogo, para leito aba 60mm (50x25x80mm), ref. DP-851, fab. DISPAN ou similar</v>
          </cell>
          <cell r="C9953" t="str">
            <v>ud</v>
          </cell>
          <cell r="D9953">
            <v>0</v>
          </cell>
          <cell r="E9953">
            <v>1.94</v>
          </cell>
          <cell r="F9953">
            <v>1.94</v>
          </cell>
        </row>
        <row r="9954">
          <cell r="A9954" t="str">
            <v>424503</v>
          </cell>
          <cell r="B9954" t="str">
            <v>Curva horizontal 45°, p/ leito para cabos tipo leve (60x19mm), em chapa de aço galvanizado a fogo, raio 320mm, ref. DP808, fab. DISPAN ou similar, largura 200mm</v>
          </cell>
          <cell r="C9954" t="str">
            <v>ud</v>
          </cell>
          <cell r="D9954">
            <v>0</v>
          </cell>
          <cell r="E9954">
            <v>25.97</v>
          </cell>
          <cell r="F9954">
            <v>25.97</v>
          </cell>
        </row>
        <row r="9955">
          <cell r="A9955" t="str">
            <v>424504</v>
          </cell>
          <cell r="B9955" t="str">
            <v>Curva horizontal 45°, p/ leito para cabos tipo leve (60x19mm), em chapa de aço galvanizado a fogo, raio 320mm, ref. DP808, fab. DISPAN ou similar, largura 300mm</v>
          </cell>
          <cell r="C9955" t="str">
            <v>ud</v>
          </cell>
          <cell r="D9955">
            <v>0</v>
          </cell>
          <cell r="E9955">
            <v>51.7</v>
          </cell>
          <cell r="F9955">
            <v>51.7</v>
          </cell>
        </row>
        <row r="9956">
          <cell r="A9956" t="str">
            <v>424505</v>
          </cell>
          <cell r="B9956" t="str">
            <v>Curva horizontal 45°,, p/ leito para cabos tipo leve (60x19mm), em chapa de aço galvanizado a fogo, raio 320mm, ref. DP808, fab. DISPAN ou similar, largura 400mm</v>
          </cell>
          <cell r="C9956" t="str">
            <v>ud</v>
          </cell>
          <cell r="D9956">
            <v>0</v>
          </cell>
          <cell r="E9956">
            <v>57.15</v>
          </cell>
          <cell r="F9956">
            <v>57.15</v>
          </cell>
        </row>
        <row r="9957">
          <cell r="A9957" t="str">
            <v>424506</v>
          </cell>
          <cell r="B9957" t="str">
            <v>Curva horizontal 45°, p/ leito para cabos tipo leve (60x19mm), em chapa de aço galvanizado a fogo, raio 320mm, ref. DP808, fab. DISPAN ou similar, largura 500mm</v>
          </cell>
          <cell r="C9957" t="str">
            <v>ud</v>
          </cell>
          <cell r="D9957">
            <v>0</v>
          </cell>
          <cell r="E9957">
            <v>42.03</v>
          </cell>
          <cell r="F9957">
            <v>42.03</v>
          </cell>
        </row>
        <row r="9958">
          <cell r="A9958" t="str">
            <v>424507</v>
          </cell>
          <cell r="B9958" t="str">
            <v>Curva horizontal 45°, p/ leito para cabos tipo semi pesado (75x19mm), em chapa de aço galvanizado a fogo, raio 320mm, ref. DP808, fab. DISPAN ou similar, largura 200mm</v>
          </cell>
          <cell r="C9958" t="str">
            <v>ud</v>
          </cell>
          <cell r="D9958">
            <v>0</v>
          </cell>
          <cell r="E9958">
            <v>25.99</v>
          </cell>
          <cell r="F9958">
            <v>25.99</v>
          </cell>
        </row>
        <row r="9959">
          <cell r="A9959" t="str">
            <v>424508</v>
          </cell>
          <cell r="B9959" t="str">
            <v>Curva horizontal 45°, p/ leito para cabos tipo semi pesado (75x19mm), em chapa de aço galvanizado a fogo, raio 320mm, ref. DP808, fab. DISPAN ou similar, largura 300mm</v>
          </cell>
          <cell r="C9959" t="str">
            <v>ud</v>
          </cell>
          <cell r="D9959">
            <v>0</v>
          </cell>
          <cell r="E9959">
            <v>58.64</v>
          </cell>
          <cell r="F9959">
            <v>58.64</v>
          </cell>
        </row>
        <row r="9960">
          <cell r="A9960" t="str">
            <v>424509</v>
          </cell>
          <cell r="B9960" t="str">
            <v>Curva horizontal 45°, p/ leito para cabos tipo semi pesado (75x19mm), em chapa de aço galvanizado a fogo, raio 320mm, ref. DP808, fab. DISPAN ou similar, largura 400mm</v>
          </cell>
          <cell r="C9960" t="str">
            <v>ud</v>
          </cell>
          <cell r="D9960">
            <v>0</v>
          </cell>
          <cell r="E9960">
            <v>65.319999999999993</v>
          </cell>
          <cell r="F9960">
            <v>65.319999999999993</v>
          </cell>
        </row>
        <row r="9961">
          <cell r="A9961" t="str">
            <v>424510</v>
          </cell>
          <cell r="B9961" t="str">
            <v>Curva horizontal 45°, p/ leito para cabos tipo semi pesado (75x19mm), em chapa de aço galvanizado a fogo, raio 320mm, ref. DP808, fab. DISPAN ou similar, largura 500mm</v>
          </cell>
          <cell r="C9961" t="str">
            <v>ud</v>
          </cell>
          <cell r="D9961">
            <v>0</v>
          </cell>
          <cell r="E9961">
            <v>42.77</v>
          </cell>
          <cell r="F9961">
            <v>42.77</v>
          </cell>
        </row>
        <row r="9962">
          <cell r="A9962" t="str">
            <v>424511</v>
          </cell>
          <cell r="B9962" t="str">
            <v>Curva horizontal 45°, p/ leito para cabos tipo semi pesado (75x19mm), em chapa de aço galvanizado a fogo, raio 320mm, ref. DP808, fab. DISPAN ou similar, largura 600mm</v>
          </cell>
          <cell r="C9962" t="str">
            <v>ud</v>
          </cell>
          <cell r="D9962">
            <v>0</v>
          </cell>
          <cell r="E9962">
            <v>30.29</v>
          </cell>
          <cell r="F9962">
            <v>30.29</v>
          </cell>
        </row>
        <row r="9963">
          <cell r="A9963" t="str">
            <v>424512</v>
          </cell>
          <cell r="B9963" t="str">
            <v>Curva horizontal 45°, p/ leito para cabos tipo semi pesado (75x19mm), em chapa de aço galvanizado a fogo, raio 320mm, ref. DP808, fab. DISPAN ou similar, largura 700mm</v>
          </cell>
          <cell r="C9963" t="str">
            <v>ud</v>
          </cell>
          <cell r="D9963">
            <v>0</v>
          </cell>
          <cell r="E9963">
            <v>93.88</v>
          </cell>
          <cell r="F9963">
            <v>93.88</v>
          </cell>
        </row>
        <row r="9964">
          <cell r="A9964" t="str">
            <v>424513</v>
          </cell>
          <cell r="B9964" t="str">
            <v>Curva horizontal 45°, p/ leito para cabos tipo semi pesado (75x19mm), em chapa de aço galvanizado a fogo, raio 320mm, ref. DP808, fab. DISPAN ou similar, largura 800mm</v>
          </cell>
          <cell r="C9964" t="str">
            <v>ud</v>
          </cell>
          <cell r="D9964">
            <v>0</v>
          </cell>
          <cell r="E9964">
            <v>111.92</v>
          </cell>
          <cell r="F9964">
            <v>111.92</v>
          </cell>
        </row>
        <row r="9965">
          <cell r="A9965" t="str">
            <v>424514</v>
          </cell>
          <cell r="B9965" t="str">
            <v>Curva horizontal 45°, p/ leito para cabos tipo semi pesado (100x19mm), em chapa de aço galvanizado a fogo, raio 320mm, ref. DP808, fab. DISPAN ou similar, largura 200mm</v>
          </cell>
          <cell r="C9965" t="str">
            <v>ud</v>
          </cell>
          <cell r="D9965">
            <v>0</v>
          </cell>
          <cell r="E9965">
            <v>30.29</v>
          </cell>
          <cell r="F9965">
            <v>30.29</v>
          </cell>
        </row>
        <row r="9966">
          <cell r="A9966" t="str">
            <v>424515</v>
          </cell>
          <cell r="B9966" t="str">
            <v>Curva horizontal 45°, p/ leito para cabos tipo semi pesado (100x19mm), em chapa de aço galvanizado a fogo, raio 320mm, ref. DP808, fab. DISPAN ou similar, largura 300mm</v>
          </cell>
          <cell r="C9966" t="str">
            <v>ud</v>
          </cell>
          <cell r="D9966">
            <v>0</v>
          </cell>
          <cell r="E9966">
            <v>67.22</v>
          </cell>
          <cell r="F9966">
            <v>67.22</v>
          </cell>
        </row>
        <row r="9967">
          <cell r="A9967" t="str">
            <v>424516</v>
          </cell>
          <cell r="B9967" t="str">
            <v>Curva horizontal 45°, p/ leito para cabos tipo semi pesado (100x19mm), em chapa de aço galvanizado a fogo, raio 320mm, ref. DP808, fab. DISPAN ou similar, largura 400mm</v>
          </cell>
          <cell r="C9967" t="str">
            <v>ud</v>
          </cell>
          <cell r="D9967">
            <v>0</v>
          </cell>
          <cell r="E9967">
            <v>73.92</v>
          </cell>
          <cell r="F9967">
            <v>73.92</v>
          </cell>
        </row>
        <row r="9968">
          <cell r="A9968" t="str">
            <v>424517</v>
          </cell>
          <cell r="B9968" t="str">
            <v>Curva horizontal 45°, p/ leito para cabos tipo semi pesado (100x19mm), em chapa de aço galvanizado a fogo, raio 320mm, ref. DP808, fab. DISPAN ou similar, largura 500mm</v>
          </cell>
          <cell r="C9968" t="str">
            <v>ud</v>
          </cell>
          <cell r="D9968">
            <v>0</v>
          </cell>
          <cell r="E9968">
            <v>48.62</v>
          </cell>
          <cell r="F9968">
            <v>48.62</v>
          </cell>
        </row>
        <row r="9969">
          <cell r="A9969" t="str">
            <v>424518</v>
          </cell>
          <cell r="B9969" t="str">
            <v>Curva horizontal 45°, p/ leito para cabos tipo semi pesado (100x19mm), em chapa de aço galvanizado a fogo, raio 320mm, ref. DP808, fab. DISPAN ou similar, largura 600mm</v>
          </cell>
          <cell r="C9969" t="str">
            <v>ud</v>
          </cell>
          <cell r="D9969">
            <v>0</v>
          </cell>
          <cell r="E9969">
            <v>87.29</v>
          </cell>
          <cell r="F9969">
            <v>87.29</v>
          </cell>
        </row>
        <row r="9970">
          <cell r="A9970" t="str">
            <v>424519</v>
          </cell>
          <cell r="B9970" t="str">
            <v>Curva horizontal 45°, p/ leito para cabos tipo semi pesado (100x19mm), em chapa de aço galvanizado a fogo, raio 320mm, ref. DP808, fab. DISPAN ou similar, largura 700mm</v>
          </cell>
          <cell r="C9970" t="str">
            <v>ud</v>
          </cell>
          <cell r="D9970">
            <v>0</v>
          </cell>
          <cell r="E9970">
            <v>104.35</v>
          </cell>
          <cell r="F9970">
            <v>104.35</v>
          </cell>
        </row>
        <row r="9971">
          <cell r="A9971" t="str">
            <v>424520</v>
          </cell>
          <cell r="B9971" t="str">
            <v>Curva horizontal 45°, p/ leito para cabos tipo semi pesado (100x19mm), em chapa de aço galvanizado a fogo, raio 320mm, ref. DP808, fab. DISPAN ou similar, largura 800mm</v>
          </cell>
          <cell r="C9971" t="str">
            <v>ud</v>
          </cell>
          <cell r="D9971">
            <v>0</v>
          </cell>
          <cell r="E9971">
            <v>94.94</v>
          </cell>
          <cell r="F9971">
            <v>94.94</v>
          </cell>
        </row>
        <row r="9972">
          <cell r="A9972" t="str">
            <v>424521</v>
          </cell>
          <cell r="B9972" t="str">
            <v>Curva horizontal 45°, p/ leito para cabos tipo pesado (100x19mm), em chapa de aço galvanizado a fogo, raio 320mm, ref. DP808, fab. DISPAN ou similar, largura 200mm</v>
          </cell>
          <cell r="C9972" t="str">
            <v>ud</v>
          </cell>
          <cell r="D9972">
            <v>0</v>
          </cell>
          <cell r="E9972">
            <v>77.73</v>
          </cell>
          <cell r="F9972">
            <v>77.73</v>
          </cell>
        </row>
        <row r="9973">
          <cell r="A9973" t="str">
            <v>424522</v>
          </cell>
          <cell r="B9973" t="str">
            <v>Curva horizontal 45°, p/ leito para cabos tipo pesado (100x19mm), em chapa de aço galvanizado a fogo, raio 320mm, ref. DP808, fab. DISPAN ou similar, largura 300mm</v>
          </cell>
          <cell r="C9973" t="str">
            <v>ud</v>
          </cell>
          <cell r="D9973">
            <v>0</v>
          </cell>
          <cell r="E9973">
            <v>81.75</v>
          </cell>
          <cell r="F9973">
            <v>81.75</v>
          </cell>
        </row>
        <row r="9974">
          <cell r="A9974" t="str">
            <v>424523</v>
          </cell>
          <cell r="B9974" t="str">
            <v>Curva horizontal 45°, p/ leito para cabos tipo pesado (100x19mm), em chapa de aço galvanizado a fogo, raio 320mm, ref. DP808, fab. DISPAN ou similar, largura 400mm</v>
          </cell>
          <cell r="C9974" t="str">
            <v>ud</v>
          </cell>
          <cell r="D9974">
            <v>0</v>
          </cell>
          <cell r="E9974">
            <v>86.01</v>
          </cell>
          <cell r="F9974">
            <v>86.01</v>
          </cell>
        </row>
        <row r="9975">
          <cell r="A9975" t="str">
            <v>424524</v>
          </cell>
          <cell r="B9975" t="str">
            <v>Curva horizontal 45°, p/ leito para cabos tipo pesado (100x19mm), em chapa de aço galvanizado a fogo, raio 320mm, ref. DP808, fab. DISPAN ou similar, largura 500mm</v>
          </cell>
          <cell r="C9975" t="str">
            <v>ud</v>
          </cell>
          <cell r="D9975">
            <v>0</v>
          </cell>
          <cell r="E9975">
            <v>73.63</v>
          </cell>
          <cell r="F9975">
            <v>73.63</v>
          </cell>
        </row>
        <row r="9976">
          <cell r="A9976" t="str">
            <v>424525</v>
          </cell>
          <cell r="B9976" t="str">
            <v>Curva horizontal 45°, p/ leito para cabos tipo pesado (100x19mm), em chapa de aço galvanizado a fogo, raio 320mm, ref. DP808, fab. DISPAN ou similar, largura 600mm</v>
          </cell>
          <cell r="C9976" t="str">
            <v>ud</v>
          </cell>
          <cell r="D9976">
            <v>0</v>
          </cell>
          <cell r="E9976">
            <v>100.13</v>
          </cell>
          <cell r="F9976">
            <v>100.13</v>
          </cell>
        </row>
        <row r="9977">
          <cell r="A9977" t="str">
            <v>424526</v>
          </cell>
          <cell r="B9977" t="str">
            <v>Curva horizontal 45°, p/ leito para cabos tipo pesado (100x19mm), em chapa de aço galvanizado a fogo, raio 320mm, ref. DP808, fab. DISPAN ou similar, largura 700mm</v>
          </cell>
          <cell r="C9977" t="str">
            <v>ud</v>
          </cell>
          <cell r="D9977">
            <v>0</v>
          </cell>
          <cell r="E9977">
            <v>105.27</v>
          </cell>
          <cell r="F9977">
            <v>105.27</v>
          </cell>
        </row>
        <row r="9978">
          <cell r="A9978" t="str">
            <v>424527</v>
          </cell>
          <cell r="B9978" t="str">
            <v>Curva horizontal 45°, p/ leito para cabos tipo pesado (100x19mm), em chapa de aço galvanizado a fogo, raio 320mm, ref. DP808, fab. DISPAN ou similar, largura 800mm</v>
          </cell>
          <cell r="C9978" t="str">
            <v>ud</v>
          </cell>
          <cell r="D9978">
            <v>0</v>
          </cell>
          <cell r="E9978">
            <v>94.96</v>
          </cell>
          <cell r="F9978">
            <v>94.96</v>
          </cell>
        </row>
        <row r="9979">
          <cell r="A9979" t="str">
            <v>424528</v>
          </cell>
          <cell r="B9979" t="str">
            <v>Curva horizontal 90°, p/ leito para cabos tipo leve (60x19mm), em chapa de aço galvanizado a fogo, raio 320mm, ref. DP811, fab. DISPAN ou similar, largura 200mm</v>
          </cell>
          <cell r="C9979" t="str">
            <v>ud</v>
          </cell>
          <cell r="D9979">
            <v>0</v>
          </cell>
          <cell r="E9979">
            <v>51.92</v>
          </cell>
          <cell r="F9979">
            <v>51.92</v>
          </cell>
        </row>
        <row r="9980">
          <cell r="A9980" t="str">
            <v>424529</v>
          </cell>
          <cell r="B9980" t="str">
            <v>Curva horizontal 90°, p/ leito para cabos tipo leve (60x19mm), em chapa de aço galvanizado a fogo, raio 320mm, ref. DP811, fab. DISPAN ou similar, largura 300mm</v>
          </cell>
          <cell r="C9980" t="str">
            <v>ud</v>
          </cell>
          <cell r="D9980">
            <v>0</v>
          </cell>
          <cell r="E9980">
            <v>58.04</v>
          </cell>
          <cell r="F9980">
            <v>58.04</v>
          </cell>
        </row>
        <row r="9981">
          <cell r="A9981" t="str">
            <v>424530</v>
          </cell>
          <cell r="B9981" t="str">
            <v>Curva horizontal 90°, p/ leito para cabos tipo leve (60x19mm), em chapa de aço galvanizado a fogo, raio 320mm, ref. DP811, fab. DISPAN ou similar, largura 400mm</v>
          </cell>
          <cell r="C9981" t="str">
            <v>ud</v>
          </cell>
          <cell r="D9981">
            <v>0</v>
          </cell>
          <cell r="E9981">
            <v>64.16</v>
          </cell>
          <cell r="F9981">
            <v>64.16</v>
          </cell>
        </row>
        <row r="9982">
          <cell r="A9982" t="str">
            <v>424531</v>
          </cell>
          <cell r="B9982" t="str">
            <v>Curva horizontal 90°, p/ leito para cabos tipo leve (60x19mm), em chapa de aço galvanizado a fogo, raio 320mm, ref. DP811, fab. DISPAN ou similar, largura 500mm</v>
          </cell>
          <cell r="C9982" t="str">
            <v>ud</v>
          </cell>
          <cell r="D9982">
            <v>0</v>
          </cell>
          <cell r="E9982">
            <v>96.07</v>
          </cell>
          <cell r="F9982">
            <v>96.07</v>
          </cell>
        </row>
        <row r="9983">
          <cell r="A9983" t="str">
            <v>424532</v>
          </cell>
          <cell r="B9983" t="str">
            <v>Curva horizontal 90°, p/ leito para cabos tipo semi pesado (75x19mm), em chapa de aço galvanizado a fogo, raio 320mm, ref. DP811, fab. DISPAN ou similar, largura 200mm</v>
          </cell>
          <cell r="C9983" t="str">
            <v>ud</v>
          </cell>
          <cell r="D9983">
            <v>0</v>
          </cell>
          <cell r="E9983">
            <v>53.18</v>
          </cell>
          <cell r="F9983">
            <v>53.18</v>
          </cell>
        </row>
        <row r="9984">
          <cell r="A9984" t="str">
            <v>424533</v>
          </cell>
          <cell r="B9984" t="str">
            <v>Curva horizontal 90°, p/ leito para cabos tipo semi pesado (75x19mm), em chapa de aço galvanizado a fogo, raio 320mm, ref. DP811, fab. DISPAN ou similar, largura 300mm</v>
          </cell>
          <cell r="C9984" t="str">
            <v>ud</v>
          </cell>
          <cell r="D9984">
            <v>0</v>
          </cell>
          <cell r="E9984">
            <v>63.97</v>
          </cell>
          <cell r="F9984">
            <v>63.97</v>
          </cell>
        </row>
        <row r="9985">
          <cell r="A9985" t="str">
            <v>424534</v>
          </cell>
          <cell r="B9985" t="str">
            <v>Curva horizontal 90°, p/ leito para cabos tipo semi pesado (75x19mm), em chapa de aço galvanizado a fogo, raio 320mm, ref. DP811, fab. DISPAN ou similar, largura 400mm</v>
          </cell>
          <cell r="C9985" t="str">
            <v>ud</v>
          </cell>
          <cell r="D9985">
            <v>0</v>
          </cell>
          <cell r="E9985">
            <v>71.27</v>
          </cell>
          <cell r="F9985">
            <v>71.27</v>
          </cell>
        </row>
        <row r="9986">
          <cell r="A9986" t="str">
            <v>424535</v>
          </cell>
          <cell r="B9986" t="str">
            <v>Curva horizontal 90°, p/ leito para cabos tipo semi pesado (75x19mm), em chapa de aço galvanizado a fogo, raio 320mm, ref. DP811, fab. DISPAN ou similar, largura 500mm</v>
          </cell>
          <cell r="C9986" t="str">
            <v>ud</v>
          </cell>
          <cell r="D9986">
            <v>0</v>
          </cell>
          <cell r="E9986">
            <v>85.55</v>
          </cell>
          <cell r="F9986">
            <v>85.55</v>
          </cell>
        </row>
        <row r="9987">
          <cell r="A9987" t="str">
            <v>424536</v>
          </cell>
          <cell r="B9987" t="str">
            <v>Curva horizontal 90°, p/ leito para cabos tipo semi pesado (75x19mm), em chapa de aço galvanizado a fogo, raio 320mm, ref. DP811, fab. DISPAN ou similar, largura 600mm</v>
          </cell>
          <cell r="C9987" t="str">
            <v>ud</v>
          </cell>
          <cell r="D9987">
            <v>0</v>
          </cell>
          <cell r="E9987">
            <v>85.87</v>
          </cell>
          <cell r="F9987">
            <v>85.87</v>
          </cell>
        </row>
        <row r="9988">
          <cell r="A9988" t="str">
            <v>424537</v>
          </cell>
          <cell r="B9988" t="str">
            <v>Curva horizontal 90°, p/ leito para cabos tipo semi pesado (75x19mm), em chapa de aço galvanizado a fogo, raio 320mm, ref. DP811, fab. DISPAN ou similar, largura 700mm</v>
          </cell>
          <cell r="C9988" t="str">
            <v>ud</v>
          </cell>
          <cell r="D9988">
            <v>0</v>
          </cell>
          <cell r="E9988">
            <v>102.4</v>
          </cell>
          <cell r="F9988">
            <v>102.4</v>
          </cell>
        </row>
        <row r="9989">
          <cell r="A9989" t="str">
            <v>424538</v>
          </cell>
          <cell r="B9989" t="str">
            <v>Curva horizontal 90°, p/ leito para cabos tipo semi pesado (75x19mm), em chapa de aço galvanizado a fogo, raio 320mm, ref. DP811, fab. DISPAN ou similar, largura 800mm</v>
          </cell>
          <cell r="C9989" t="str">
            <v>ud</v>
          </cell>
          <cell r="D9989">
            <v>0</v>
          </cell>
          <cell r="E9989">
            <v>122.06</v>
          </cell>
          <cell r="F9989">
            <v>122.06</v>
          </cell>
        </row>
        <row r="9990">
          <cell r="A9990" t="str">
            <v>424539</v>
          </cell>
          <cell r="B9990" t="str">
            <v>Curva horizontal 90°, p/ leito para cabos tipo semi pesado (100x19mm), em chapa de aço galvanizado a fogo, raio 320mm, ref. DP811, fab. DISPAN ou similar, largura 200mm</v>
          </cell>
          <cell r="C9990" t="str">
            <v>ud</v>
          </cell>
          <cell r="D9990">
            <v>0</v>
          </cell>
          <cell r="E9990">
            <v>60.57</v>
          </cell>
          <cell r="F9990">
            <v>60.57</v>
          </cell>
        </row>
        <row r="9991">
          <cell r="A9991" t="str">
            <v>424540</v>
          </cell>
          <cell r="B9991" t="str">
            <v>Curva horizontal 90°, p/ leito para cabos tipo semi pesado (100x19mm), em chapa de aço galvanizado a fogo, raio 320mm, ref. DP811, fab. DISPAN ou similar, largura 300mm</v>
          </cell>
          <cell r="C9991" t="str">
            <v>ud</v>
          </cell>
          <cell r="D9991">
            <v>0</v>
          </cell>
          <cell r="E9991">
            <v>73.319999999999993</v>
          </cell>
          <cell r="F9991">
            <v>73.319999999999993</v>
          </cell>
        </row>
        <row r="9992">
          <cell r="A9992" t="str">
            <v>424541</v>
          </cell>
          <cell r="B9992" t="str">
            <v>Curva horizontal 90°, p/ leito para cabos tipo semi pesado (100x19mm), em chapa de aço galvanizado a fogo, raio 320mm, ref. DP811, fab. DISPAN ou similar, largura 400mm</v>
          </cell>
          <cell r="C9992" t="str">
            <v>ud</v>
          </cell>
          <cell r="D9992">
            <v>0</v>
          </cell>
          <cell r="E9992">
            <v>80.62</v>
          </cell>
          <cell r="F9992">
            <v>80.62</v>
          </cell>
        </row>
        <row r="9993">
          <cell r="A9993" t="str">
            <v>424542</v>
          </cell>
          <cell r="B9993" t="str">
            <v>Curva horizontal 90°, p/ leito para cabos tipo semi pesado (100x19mm), em chapa de aço galvanizado a fogo, raio 320mm, ref. DP811, fab. DISPAN ou similar, largura 500mm</v>
          </cell>
          <cell r="C9993" t="str">
            <v>ud</v>
          </cell>
          <cell r="D9993">
            <v>0</v>
          </cell>
          <cell r="E9993">
            <v>87.92</v>
          </cell>
          <cell r="F9993">
            <v>87.92</v>
          </cell>
        </row>
        <row r="9994">
          <cell r="A9994" t="str">
            <v>424543</v>
          </cell>
          <cell r="B9994" t="str">
            <v>Curva horizontal 90°, p/ leito para cabos tipo semi pesado (100x19mm), em chapa de aço galvanizado a fogo, raio 320mm, ref. DP811, fab. DISPAN ou similar, largura 600mm</v>
          </cell>
          <cell r="C9994" t="str">
            <v>ud</v>
          </cell>
          <cell r="D9994">
            <v>0</v>
          </cell>
          <cell r="E9994">
            <v>95.19</v>
          </cell>
          <cell r="F9994">
            <v>95.19</v>
          </cell>
        </row>
        <row r="9995">
          <cell r="A9995" t="str">
            <v>424544</v>
          </cell>
          <cell r="B9995" t="str">
            <v>Curva horizontal 90°, p/ leito para cabos tipo semi pesado (100x19mm), em chapa de aço galvanizado a fogo, raio 320mm, ref. DP811, fab. DISPAN ou similar, largura 700mm</v>
          </cell>
          <cell r="C9995" t="str">
            <v>ud</v>
          </cell>
          <cell r="D9995">
            <v>0</v>
          </cell>
          <cell r="E9995">
            <v>113.79</v>
          </cell>
          <cell r="F9995">
            <v>113.79</v>
          </cell>
        </row>
        <row r="9996">
          <cell r="A9996" t="str">
            <v>424545</v>
          </cell>
          <cell r="B9996" t="str">
            <v>Curva horizontal 90°, p/ leito para cabos tipo semi pesado (100x19mm), em chapa de aço galvanizado a fogo, raio 320mm, ref. DP811, fab. DISPAN ou similar, largura 800mm</v>
          </cell>
          <cell r="C9996" t="str">
            <v>ud</v>
          </cell>
          <cell r="D9996">
            <v>0</v>
          </cell>
          <cell r="E9996">
            <v>133.49</v>
          </cell>
          <cell r="F9996">
            <v>133.49</v>
          </cell>
        </row>
        <row r="9997">
          <cell r="A9997" t="str">
            <v>424546</v>
          </cell>
          <cell r="B9997" t="str">
            <v>Curva horizontal 90°, p/ leito para cabos tipo pesado (100x19mm), em chapa de aço galvanizado a fogo, raio 320mm, ref. DP811, fab. DISPAN ou similar, largura 200mm</v>
          </cell>
          <cell r="C9997" t="str">
            <v>ud</v>
          </cell>
          <cell r="D9997">
            <v>0</v>
          </cell>
          <cell r="E9997">
            <v>69.849999999999994</v>
          </cell>
          <cell r="F9997">
            <v>69.849999999999994</v>
          </cell>
        </row>
        <row r="9998">
          <cell r="A9998" t="str">
            <v>424547</v>
          </cell>
          <cell r="B9998" t="str">
            <v>Curva horizontal 90°, p/ leito para cabos tipo pesado (100x19mm), em chapa de aço galvanizado a fogo, raio 320mm, ref. DP811, fab. DISPAN ou similar, largura 300mm</v>
          </cell>
          <cell r="C9998" t="str">
            <v>ud</v>
          </cell>
          <cell r="D9998">
            <v>0</v>
          </cell>
          <cell r="E9998">
            <v>72.77</v>
          </cell>
          <cell r="F9998">
            <v>72.77</v>
          </cell>
        </row>
        <row r="9999">
          <cell r="A9999" t="str">
            <v>424548</v>
          </cell>
          <cell r="B9999" t="str">
            <v>Curva horizontal 90°, p/ leito para cabos tipo pesado (100x19mm), em chapa de aço galvanizado a fogo, raio 320mm, ref. DP811, fab. DISPAN ou similar, largura 400mm</v>
          </cell>
          <cell r="C9999" t="str">
            <v>ud</v>
          </cell>
          <cell r="D9999">
            <v>0</v>
          </cell>
          <cell r="E9999">
            <v>93.79</v>
          </cell>
          <cell r="F9999">
            <v>93.79</v>
          </cell>
        </row>
        <row r="10000">
          <cell r="A10000" t="str">
            <v>424549</v>
          </cell>
          <cell r="B10000" t="str">
            <v>Curva horizontal 90°, p/ leito para cabos tipo pesado (100x19mm), em chapa de aço galvanizado a fogo, raio 320mm, ref. DP811, fab. DISPAN ou similar, largura 500mm</v>
          </cell>
          <cell r="C10000" t="str">
            <v>ud</v>
          </cell>
          <cell r="D10000">
            <v>0</v>
          </cell>
          <cell r="E10000">
            <v>115.86</v>
          </cell>
          <cell r="F10000">
            <v>115.86</v>
          </cell>
        </row>
        <row r="10001">
          <cell r="A10001" t="str">
            <v>424550</v>
          </cell>
          <cell r="B10001" t="str">
            <v>Curva horizontal 90°, p/ leito para cabos tipo pesado (100x19mm), em chapa de aço galvanizado a fogo, raio 320mm, ref. DP811, fab. DISPAN ou similar, largura 600mm</v>
          </cell>
          <cell r="C10001" t="str">
            <v>ud</v>
          </cell>
          <cell r="D10001">
            <v>0</v>
          </cell>
          <cell r="E10001">
            <v>109.17</v>
          </cell>
          <cell r="F10001">
            <v>109.17</v>
          </cell>
        </row>
        <row r="10002">
          <cell r="A10002" t="str">
            <v>424551</v>
          </cell>
          <cell r="B10002" t="str">
            <v>Curva horizontal 90°, p/ leito para cabos tipo pesado (100x19mm), em chapa de aço galvanizado a fogo, raio 320mm, ref. DP811, fab. DISPAN ou similar, largura 700mm</v>
          </cell>
          <cell r="C10002" t="str">
            <v>ud</v>
          </cell>
          <cell r="D10002">
            <v>0</v>
          </cell>
          <cell r="E10002">
            <v>114.79</v>
          </cell>
          <cell r="F10002">
            <v>114.79</v>
          </cell>
        </row>
        <row r="10003">
          <cell r="A10003" t="str">
            <v>424552</v>
          </cell>
          <cell r="B10003" t="str">
            <v>Curva horizontal 90°, p/ leito para cabos tipo pesado (100x19mm), em chapa de aço galvanizado a fogo, raio 320mm, ref. DP811, fab. DISPAN ou similar, largura 800mm</v>
          </cell>
          <cell r="C10003" t="str">
            <v>ud</v>
          </cell>
          <cell r="D10003">
            <v>0</v>
          </cell>
          <cell r="E10003">
            <v>165.61</v>
          </cell>
          <cell r="F10003">
            <v>165.61</v>
          </cell>
        </row>
        <row r="10004">
          <cell r="A10004" t="str">
            <v>424553</v>
          </cell>
          <cell r="B10004" t="str">
            <v>Curva vertical interna 90°, p/ leito para cabos tipo leve (60x19mm), em chapa de aço galvanizado a fogo, raio 320mm, ref. DP817, fab. DISPAN ou similar, largura 200mm</v>
          </cell>
          <cell r="C10004" t="str">
            <v>ud</v>
          </cell>
          <cell r="D10004">
            <v>0</v>
          </cell>
          <cell r="E10004">
            <v>50.94</v>
          </cell>
          <cell r="F10004">
            <v>50.94</v>
          </cell>
        </row>
        <row r="10005">
          <cell r="A10005" t="str">
            <v>424554</v>
          </cell>
          <cell r="B10005" t="str">
            <v>Curva vertical interna 90°, p/ leito para cabos tipo leve (60x19mm), em chapa de aço galvanizado a fogo, raio 320mm, ref. DP817, fab. DISPAN ou similar, largura 300mm</v>
          </cell>
          <cell r="C10005" t="str">
            <v>ud</v>
          </cell>
          <cell r="D10005">
            <v>0</v>
          </cell>
          <cell r="E10005">
            <v>56.37</v>
          </cell>
          <cell r="F10005">
            <v>56.37</v>
          </cell>
        </row>
        <row r="10006">
          <cell r="A10006" t="str">
            <v>424555</v>
          </cell>
          <cell r="B10006" t="str">
            <v>Curva vertical interna 90°, p/ leito para cabos tipo leve (60x19mm), em chapa de aço galvanizado a fogo, raio 320mm, ref. DP817, fab. DISPAN ou similar, largura 400mm</v>
          </cell>
          <cell r="C10006" t="str">
            <v>ud</v>
          </cell>
          <cell r="D10006">
            <v>0</v>
          </cell>
          <cell r="E10006">
            <v>62.32</v>
          </cell>
          <cell r="F10006">
            <v>62.32</v>
          </cell>
        </row>
        <row r="10007">
          <cell r="A10007" t="str">
            <v>424556</v>
          </cell>
          <cell r="B10007" t="str">
            <v>Curva vertical interna 90°, p/ leito para cabos tipo leve (60x19mm), em chapa de aço galvanizado a fogo, raio 320mm, ref. DP817, fab. DISPAN ou similar, largura 500mm</v>
          </cell>
          <cell r="C10007" t="str">
            <v>ud</v>
          </cell>
          <cell r="D10007">
            <v>0</v>
          </cell>
          <cell r="E10007">
            <v>76.23</v>
          </cell>
          <cell r="F10007">
            <v>76.23</v>
          </cell>
        </row>
        <row r="10008">
          <cell r="A10008" t="str">
            <v>424557</v>
          </cell>
          <cell r="B10008" t="str">
            <v>Curva vertical interna 90°, p/ leito para cabos tipo semi pesado (75x19mm), em chapa de aço galvanizado a fogo, raio 320mm, ref. DP817, fab. DISPAN ou similar, largura 200mm</v>
          </cell>
          <cell r="C10008" t="str">
            <v>ud</v>
          </cell>
          <cell r="D10008">
            <v>0</v>
          </cell>
          <cell r="E10008">
            <v>51.4</v>
          </cell>
          <cell r="F10008">
            <v>51.4</v>
          </cell>
        </row>
        <row r="10009">
          <cell r="A10009" t="str">
            <v>424558</v>
          </cell>
          <cell r="B10009" t="str">
            <v>Curva vertical interna 90°, p/ leito para cabos tipo semi pesado (75x19mm), em chapa de aço galvanizado a fogo, raio 320mm, ref. DP817, fab. DISPAN ou similar, largura 300mm</v>
          </cell>
          <cell r="C10009" t="str">
            <v>ud</v>
          </cell>
          <cell r="D10009">
            <v>0</v>
          </cell>
          <cell r="E10009">
            <v>56.9</v>
          </cell>
          <cell r="F10009">
            <v>56.9</v>
          </cell>
        </row>
        <row r="10010">
          <cell r="A10010" t="str">
            <v>424559</v>
          </cell>
          <cell r="B10010" t="str">
            <v>Curva vertical interna 90°, p/ leito para cabos tipo semi pesado (75x19mm), em chapa de aço galvanizado a fogo, raio 320mm, ref. DP817, fab. DISPAN ou similar, largura 400mm</v>
          </cell>
          <cell r="C10010" t="str">
            <v>ud</v>
          </cell>
          <cell r="D10010">
            <v>0</v>
          </cell>
          <cell r="E10010">
            <v>62.41</v>
          </cell>
          <cell r="F10010">
            <v>62.41</v>
          </cell>
        </row>
        <row r="10011">
          <cell r="A10011" t="str">
            <v>424560</v>
          </cell>
          <cell r="B10011" t="str">
            <v>Curva vertical interna 90°, p/ leito para cabos tipo semi pesado (75x19mm), em chapa de aço galvanizado a fogo, raio 320mm, ref. DP817, fab. DISPAN ou similar, largura 500mm</v>
          </cell>
          <cell r="C10011" t="str">
            <v>ud</v>
          </cell>
          <cell r="D10011">
            <v>0</v>
          </cell>
          <cell r="E10011">
            <v>67.900000000000006</v>
          </cell>
          <cell r="F10011">
            <v>67.900000000000006</v>
          </cell>
        </row>
        <row r="10012">
          <cell r="A10012" t="str">
            <v>424561</v>
          </cell>
          <cell r="B10012" t="str">
            <v>Curva vertical interna 90°, p/ leito para cabos tipo semi pesado (75x19mm), em chapa de aço galvanizado a fogo, raio 320mm, ref. DP817, fab. DISPAN ou similar, largura 600mm</v>
          </cell>
          <cell r="C10012" t="str">
            <v>ud</v>
          </cell>
          <cell r="D10012">
            <v>0</v>
          </cell>
          <cell r="E10012">
            <v>80.069999999999993</v>
          </cell>
          <cell r="F10012">
            <v>80.069999999999993</v>
          </cell>
        </row>
        <row r="10013">
          <cell r="A10013" t="str">
            <v>424562</v>
          </cell>
          <cell r="B10013" t="str">
            <v>Curva vertical interna 90°, p/ leito para cabos tipo semi pesado (75x19mm), em chapa de aço galvanizado a fogo, raio 320mm, ref. DP817, fab. DISPAN ou similar, largura 700mm</v>
          </cell>
          <cell r="C10013" t="str">
            <v>ud</v>
          </cell>
          <cell r="D10013">
            <v>0</v>
          </cell>
          <cell r="E10013">
            <v>116.63</v>
          </cell>
          <cell r="F10013">
            <v>116.63</v>
          </cell>
        </row>
        <row r="10014">
          <cell r="A10014" t="str">
            <v>424563</v>
          </cell>
          <cell r="B10014" t="str">
            <v>Curva vertical interna 90°, p/ leito para cabos tipo semi pesado (75x19mm), em chapa de aço galvanizado a fogo, raio 320mm, ref. DP817, fab. DISPAN ou similar, largura 800mm</v>
          </cell>
          <cell r="C10014" t="str">
            <v>ud</v>
          </cell>
          <cell r="D10014">
            <v>0</v>
          </cell>
          <cell r="E10014">
            <v>100.09</v>
          </cell>
          <cell r="F10014">
            <v>100.09</v>
          </cell>
        </row>
        <row r="10015">
          <cell r="A10015" t="str">
            <v>424564</v>
          </cell>
          <cell r="B10015" t="str">
            <v>Curva vertical interna 90°, p/ leito para cabos tipo semi pesado (100x19mm), em chapa de aço galvanizado a fogo, raio 320mm, ref. DP817, fab. DISPAN ou similar, largura 200mm</v>
          </cell>
          <cell r="C10015" t="str">
            <v>ud</v>
          </cell>
          <cell r="D10015">
            <v>0</v>
          </cell>
          <cell r="E10015">
            <v>63.46</v>
          </cell>
          <cell r="F10015">
            <v>63.46</v>
          </cell>
        </row>
        <row r="10016">
          <cell r="A10016" t="str">
            <v>424565</v>
          </cell>
          <cell r="B10016" t="str">
            <v>Curva vertical interna 90°, p/ leito para cabos tipo semi pesado (100x19mm), em chapa de aço galvanizado a fogo, raio 320mm, ref. DP817, fab. DISPAN ou similar, largura 300mm</v>
          </cell>
          <cell r="C10016" t="str">
            <v>ud</v>
          </cell>
          <cell r="D10016">
            <v>0</v>
          </cell>
          <cell r="E10016">
            <v>68.959999999999994</v>
          </cell>
          <cell r="F10016">
            <v>68.959999999999994</v>
          </cell>
        </row>
        <row r="10017">
          <cell r="A10017" t="str">
            <v>424566</v>
          </cell>
          <cell r="B10017" t="str">
            <v>Curva vertical interna 90°, p/ leito para cabos tipo semi pesado (100x19mm), em chapa de aço galvanizado a fogo, raio 320mm, ref. DP817, fab. DISPAN ou similar, largura 400mm</v>
          </cell>
          <cell r="C10017" t="str">
            <v>ud</v>
          </cell>
          <cell r="D10017">
            <v>0</v>
          </cell>
          <cell r="E10017">
            <v>74.47</v>
          </cell>
          <cell r="F10017">
            <v>74.47</v>
          </cell>
        </row>
        <row r="10018">
          <cell r="A10018" t="str">
            <v>424567</v>
          </cell>
          <cell r="B10018" t="str">
            <v>Curva vertical interna 90°, p/ leito para cabos tipo semi pesado (100x19mm), em chapa de aço galvanizado a fogo, raio 320mm, ref. DP817, fab. DISPAN ou similar, largura 500mm</v>
          </cell>
          <cell r="C10018" t="str">
            <v>ud</v>
          </cell>
          <cell r="D10018">
            <v>0</v>
          </cell>
          <cell r="E10018">
            <v>79.989999999999995</v>
          </cell>
          <cell r="F10018">
            <v>79.989999999999995</v>
          </cell>
        </row>
        <row r="10019">
          <cell r="A10019" t="str">
            <v>424568</v>
          </cell>
          <cell r="B10019" t="str">
            <v>Curva vertical interna 90°, p/ leito para cabos tipo semi pesado (100x19mm), em chapa de aço galvanizado a fogo, raio 320mm, ref. DP817, fab. DISPAN ou similar, largura 600mm</v>
          </cell>
          <cell r="C10019" t="str">
            <v>ud</v>
          </cell>
          <cell r="D10019">
            <v>0</v>
          </cell>
          <cell r="E10019">
            <v>92.15</v>
          </cell>
          <cell r="F10019">
            <v>92.15</v>
          </cell>
        </row>
        <row r="10020">
          <cell r="A10020" t="str">
            <v>424569</v>
          </cell>
          <cell r="B10020" t="str">
            <v>Curva vertical interna 90°, p/ leito para cabos tipo semi pesado (100x19mm), em chapa de aço galvanizado a fogo, raio 320mm, ref. DP817, fab. DISPAN ou similar, largura 700mm</v>
          </cell>
          <cell r="C10020" t="str">
            <v>ud</v>
          </cell>
          <cell r="D10020">
            <v>0</v>
          </cell>
          <cell r="E10020">
            <v>107.58</v>
          </cell>
          <cell r="F10020">
            <v>107.58</v>
          </cell>
        </row>
        <row r="10021">
          <cell r="A10021" t="str">
            <v>424570</v>
          </cell>
          <cell r="B10021" t="str">
            <v>Curva vertical interna 90°, p/ leito para cabos tipo semi pesado (100x19mm), em chapa de aço galvanizado a fogo, raio 320mm, ref. DP817, fab. DISPAN ou similar, largura 800mm</v>
          </cell>
          <cell r="C10021" t="str">
            <v>ud</v>
          </cell>
          <cell r="D10021">
            <v>0</v>
          </cell>
          <cell r="E10021">
            <v>114.22</v>
          </cell>
          <cell r="F10021">
            <v>114.22</v>
          </cell>
        </row>
        <row r="10022">
          <cell r="A10022" t="str">
            <v>424571</v>
          </cell>
          <cell r="B10022" t="str">
            <v>Curva vertical interna 90°, p/ leito para cabos tipo pesado (100x19mm), em chapa de aço galvanizado a fogo, raio 320mm, ref. DP817, fab. DISPAN ou similar, largura 200mm</v>
          </cell>
          <cell r="C10022" t="str">
            <v>ud</v>
          </cell>
          <cell r="D10022">
            <v>0</v>
          </cell>
          <cell r="E10022">
            <v>72.290000000000006</v>
          </cell>
          <cell r="F10022">
            <v>72.290000000000006</v>
          </cell>
        </row>
        <row r="10023">
          <cell r="A10023" t="str">
            <v>424572</v>
          </cell>
          <cell r="B10023" t="str">
            <v>Curva vertical interna 90°, p/ leito para cabos tipo pesado (100x19mm), em chapa de aço galvanizado a fogo, raio 320mm, ref. DP817, fab. DISPAN ou similar, largura 300mm</v>
          </cell>
          <cell r="C10023" t="str">
            <v>ud</v>
          </cell>
          <cell r="D10023">
            <v>0</v>
          </cell>
          <cell r="E10023">
            <v>89.16</v>
          </cell>
          <cell r="F10023">
            <v>89.16</v>
          </cell>
        </row>
        <row r="10024">
          <cell r="A10024" t="str">
            <v>424573</v>
          </cell>
          <cell r="B10024" t="str">
            <v>Curva vertical interna 90°, p/ leito para cabos tipo pesado (100x19mm), em chapa de aço galvanizado a fogo, raio 320mm, ref. DP817, fab. DISPAN ou similar, largura 400mm</v>
          </cell>
          <cell r="C10024" t="str">
            <v>ud</v>
          </cell>
          <cell r="D10024">
            <v>0</v>
          </cell>
          <cell r="E10024">
            <v>93.79</v>
          </cell>
          <cell r="F10024">
            <v>93.79</v>
          </cell>
        </row>
        <row r="10025">
          <cell r="A10025" t="str">
            <v>424574</v>
          </cell>
          <cell r="B10025" t="str">
            <v>Curva vertical interna 90°, p/ leito para cabos tipo pesado (100x19mm), em chapa de aço galvanizado a fogo, raio 320mm, ref. DP817, fab. DISPAN ou similar, largura 500mm</v>
          </cell>
          <cell r="C10025" t="str">
            <v>ud</v>
          </cell>
          <cell r="D10025">
            <v>0</v>
          </cell>
          <cell r="E10025">
            <v>103.54</v>
          </cell>
          <cell r="F10025">
            <v>103.54</v>
          </cell>
        </row>
        <row r="10026">
          <cell r="A10026" t="str">
            <v>424575</v>
          </cell>
          <cell r="B10026" t="str">
            <v>Curva vertical interna 90°, p/ leito para cabos tipo pesado (100x19mm), em chapa de aço galvanizado a fogo, raio 320mm, ref. DP817, fab. DISPAN ou similar, largura 600mm</v>
          </cell>
          <cell r="C10026" t="str">
            <v>ud</v>
          </cell>
          <cell r="D10026">
            <v>0</v>
          </cell>
          <cell r="E10026">
            <v>109.2</v>
          </cell>
          <cell r="F10026">
            <v>109.2</v>
          </cell>
        </row>
        <row r="10027">
          <cell r="A10027" t="str">
            <v>424576</v>
          </cell>
          <cell r="B10027" t="str">
            <v>Curva vertical interna 90°, p/ leito para cabos tipo pesado (100x19mm), em chapa de aço galvanizado a fogo, raio 320mm, ref. DP817, fab. DISPAN ou similar, largura 700mm</v>
          </cell>
          <cell r="C10027" t="str">
            <v>ud</v>
          </cell>
          <cell r="D10027">
            <v>0</v>
          </cell>
          <cell r="E10027">
            <v>114.79</v>
          </cell>
          <cell r="F10027">
            <v>114.79</v>
          </cell>
        </row>
        <row r="10028">
          <cell r="A10028" t="str">
            <v>424577</v>
          </cell>
          <cell r="B10028" t="str">
            <v>Curva vertical interna 90°, p/ leito para cabos tipo pesado (100x19mm), em chapa de aço galvanizado a fogo, raio 320mm, ref. DP817, fab. DISPAN ou similar, largura 800mm</v>
          </cell>
          <cell r="C10028" t="str">
            <v>ud</v>
          </cell>
          <cell r="D10028">
            <v>0</v>
          </cell>
          <cell r="E10028">
            <v>127.43</v>
          </cell>
          <cell r="F10028">
            <v>127.43</v>
          </cell>
        </row>
        <row r="10029">
          <cell r="A10029" t="str">
            <v>424578</v>
          </cell>
          <cell r="B10029" t="str">
            <v>Curva vertical externa 90°, p/ leito para cabos tipo leve (60x19mm), em chapa de aço galvanizado a fogo, raio 320mm, ref. DP823, fab. DISPAN ou similar, largura 200mm</v>
          </cell>
          <cell r="C10029" t="str">
            <v>ud</v>
          </cell>
          <cell r="D10029">
            <v>0</v>
          </cell>
          <cell r="E10029">
            <v>50.94</v>
          </cell>
          <cell r="F10029">
            <v>50.94</v>
          </cell>
        </row>
        <row r="10030">
          <cell r="A10030" t="str">
            <v>424579</v>
          </cell>
          <cell r="B10030" t="str">
            <v>Curva vertical externa 90°, p/ leito para cabos tipo leve (60x19mm), em chapa de aço galvanizado a fogo, raio 320mm, ref. DP823, fab. DISPAN ou similar, largura 300mm</v>
          </cell>
          <cell r="C10030" t="str">
            <v>ud</v>
          </cell>
          <cell r="D10030">
            <v>0</v>
          </cell>
          <cell r="E10030">
            <v>56.37</v>
          </cell>
          <cell r="F10030">
            <v>56.37</v>
          </cell>
        </row>
        <row r="10031">
          <cell r="A10031" t="str">
            <v>424580</v>
          </cell>
          <cell r="B10031" t="str">
            <v>Curva vertical externa 90°, p/ leito para cabos tipo leve (60x19mm), em chapa de aço galvanizado a fogo, raio 320mm, ref. DP823, fab. DISPAN ou similar, largura 400mm</v>
          </cell>
          <cell r="C10031" t="str">
            <v>ud</v>
          </cell>
          <cell r="D10031">
            <v>0</v>
          </cell>
          <cell r="E10031">
            <v>62.32</v>
          </cell>
          <cell r="F10031">
            <v>62.32</v>
          </cell>
        </row>
        <row r="10032">
          <cell r="A10032" t="str">
            <v>424581</v>
          </cell>
          <cell r="B10032" t="str">
            <v>Curva vertical externa 90°, p/ leito para cabos tipo leve (60x19mm), em chapa de aço galvanizado a fogo, raio 320mm, ref. DP823, fab. DISPAN ou similar, largura 500mm</v>
          </cell>
          <cell r="C10032" t="str">
            <v>ud</v>
          </cell>
          <cell r="D10032">
            <v>0</v>
          </cell>
          <cell r="E10032">
            <v>68.239999999999995</v>
          </cell>
          <cell r="F10032">
            <v>68.239999999999995</v>
          </cell>
        </row>
        <row r="10033">
          <cell r="A10033" t="str">
            <v>424582</v>
          </cell>
          <cell r="B10033" t="str">
            <v>Curva vertical externa 90°, p/ leito para cabos tipo semi pesado (75x19mm), em chapa de aço galvanizado a fogo, raio 320mm, ref. DP823, fab. DISPAN ou similar, largura 200mm</v>
          </cell>
          <cell r="C10033" t="str">
            <v>ud</v>
          </cell>
          <cell r="D10033">
            <v>0</v>
          </cell>
          <cell r="E10033">
            <v>51.4</v>
          </cell>
          <cell r="F10033">
            <v>51.4</v>
          </cell>
        </row>
        <row r="10034">
          <cell r="A10034" t="str">
            <v>424583</v>
          </cell>
          <cell r="B10034" t="str">
            <v>Curva vertical externa 90°, p/ leito para cabos tipo semi pesado (75x19mm), em chapa de aço galvanizado a fogo, raio 320mm, ref. DP823, fab. DISPAN ou similar, largura 300mm</v>
          </cell>
          <cell r="C10034" t="str">
            <v>ud</v>
          </cell>
          <cell r="D10034">
            <v>0</v>
          </cell>
          <cell r="E10034">
            <v>56.9</v>
          </cell>
          <cell r="F10034">
            <v>56.9</v>
          </cell>
        </row>
        <row r="10035">
          <cell r="A10035" t="str">
            <v>424584</v>
          </cell>
          <cell r="B10035" t="str">
            <v>Curva vertical externa 90°, p/ leito para cabos tipo semi pesado (75x19mm), em chapa de aço galvanizado a fogo, raio 320mm, ref. DP823, fab. DISPAN ou similar, largura 400mm</v>
          </cell>
          <cell r="C10035" t="str">
            <v>ud</v>
          </cell>
          <cell r="D10035">
            <v>0</v>
          </cell>
          <cell r="E10035">
            <v>62.41</v>
          </cell>
          <cell r="F10035">
            <v>62.41</v>
          </cell>
        </row>
        <row r="10036">
          <cell r="A10036" t="str">
            <v>424585</v>
          </cell>
          <cell r="B10036" t="str">
            <v>Curva vertical externa 90°, p/ leito para cabos tipo semi pesado (75x19mm), em chapa de aço galvanizado a fogo, raio 320mm, ref. DP823, fab. DISPAN ou similar, largura 500mm</v>
          </cell>
          <cell r="C10036" t="str">
            <v>ud</v>
          </cell>
          <cell r="D10036">
            <v>0</v>
          </cell>
          <cell r="E10036">
            <v>67.92</v>
          </cell>
          <cell r="F10036">
            <v>67.92</v>
          </cell>
        </row>
        <row r="10037">
          <cell r="A10037" t="str">
            <v>424586</v>
          </cell>
          <cell r="B10037" t="str">
            <v>Curva vertical externa 90°, p/ leito para cabos tipo semi pesado (75x19mm), em chapa de aço galvanizado a fogo, raio 320mm, ref. DP823, fab. DISPAN ou similar, largura 600mm</v>
          </cell>
          <cell r="C10037" t="str">
            <v>ud</v>
          </cell>
          <cell r="D10037">
            <v>0</v>
          </cell>
          <cell r="E10037">
            <v>80.099999999999994</v>
          </cell>
          <cell r="F10037">
            <v>80.099999999999994</v>
          </cell>
        </row>
        <row r="10038">
          <cell r="A10038" t="str">
            <v>424587</v>
          </cell>
          <cell r="B10038" t="str">
            <v>Curva vertical externa 90°, p/ leito para cabos tipo semi pesado (75x19mm), em chapa de aço galvanizado a fogo, raio 320mm, ref. DP823, fab. DISPAN ou similar, largura 700mm</v>
          </cell>
          <cell r="C10038" t="str">
            <v>ud</v>
          </cell>
          <cell r="D10038">
            <v>0</v>
          </cell>
          <cell r="E10038">
            <v>116.68</v>
          </cell>
          <cell r="F10038">
            <v>116.68</v>
          </cell>
        </row>
        <row r="10039">
          <cell r="A10039" t="str">
            <v>424588</v>
          </cell>
          <cell r="B10039" t="str">
            <v>Curva vertical externa 90°, p/ leito para cabos tipo semi pesado (75x19mm), em chapa de aço galvanizado a fogo, raio 320mm, ref. DP823, fab. DISPAN ou similar, largura 800mm</v>
          </cell>
          <cell r="C10039" t="str">
            <v>ud</v>
          </cell>
          <cell r="D10039">
            <v>0</v>
          </cell>
          <cell r="E10039">
            <v>100.12</v>
          </cell>
          <cell r="F10039">
            <v>100.12</v>
          </cell>
        </row>
        <row r="10040">
          <cell r="A10040" t="str">
            <v>424589</v>
          </cell>
          <cell r="B10040" t="str">
            <v>Curva vertical externa 90°, p/ leito para cabos tipo semi pesado (100x19mm), em chapa de aço galvanizado a fogo, raio 320mm, ref. DP823, fab. DISPAN ou similar, largura 200mm</v>
          </cell>
          <cell r="C10040" t="str">
            <v>ud</v>
          </cell>
          <cell r="D10040">
            <v>0</v>
          </cell>
          <cell r="E10040">
            <v>63.48</v>
          </cell>
          <cell r="F10040">
            <v>63.48</v>
          </cell>
        </row>
        <row r="10041">
          <cell r="A10041" t="str">
            <v>424590</v>
          </cell>
          <cell r="B10041" t="str">
            <v>Curva vertical externa 90°, p/ leito para cabos tipo semi pesado (100x19mm), em chapa de aço galvanizado a fogo, raio 320mm, ref. DP823, fab. DISPAN ou similar, largura 300mm</v>
          </cell>
          <cell r="C10041" t="str">
            <v>ud</v>
          </cell>
          <cell r="D10041">
            <v>0</v>
          </cell>
          <cell r="E10041">
            <v>68.989999999999995</v>
          </cell>
          <cell r="F10041">
            <v>68.989999999999995</v>
          </cell>
        </row>
        <row r="10042">
          <cell r="A10042" t="str">
            <v>424591</v>
          </cell>
          <cell r="B10042" t="str">
            <v>Curva vertical externa 90°, p/ leito para cabos tipo semi pesado (100x19mm), em chapa de aço galvanizado a fogo, raio 320mm, ref. DP823, fab. DISPAN ou similar, largura 400mm</v>
          </cell>
          <cell r="C10042" t="str">
            <v>ud</v>
          </cell>
          <cell r="D10042">
            <v>0</v>
          </cell>
          <cell r="E10042">
            <v>74.48</v>
          </cell>
          <cell r="F10042">
            <v>74.48</v>
          </cell>
        </row>
        <row r="10043">
          <cell r="A10043" t="str">
            <v>424592</v>
          </cell>
          <cell r="B10043" t="str">
            <v>Curva vertical externa 90°, p/ leito para cabos tipo semi pesado (100x19mm), em chapa de aço galvanizado a fogo, raio 320mm, ref. DP823, fab. DISPAN ou similar, largura 500mm</v>
          </cell>
          <cell r="C10043" t="str">
            <v>ud</v>
          </cell>
          <cell r="D10043">
            <v>0</v>
          </cell>
          <cell r="E10043">
            <v>80.010000000000005</v>
          </cell>
          <cell r="F10043">
            <v>80.010000000000005</v>
          </cell>
        </row>
        <row r="10044">
          <cell r="A10044" t="str">
            <v>424593</v>
          </cell>
          <cell r="B10044" t="str">
            <v>Curva vertical externa 90°, p/ leito para cabos tipo semi pesado (100x19mm), em chapa de aço galvanizado a fogo, raio 320mm, ref. DP823, fab. DISPAN ou similar, largura 600mm</v>
          </cell>
          <cell r="C10044" t="str">
            <v>ud</v>
          </cell>
          <cell r="D10044">
            <v>0</v>
          </cell>
          <cell r="E10044">
            <v>92.16</v>
          </cell>
          <cell r="F10044">
            <v>92.16</v>
          </cell>
        </row>
        <row r="10045">
          <cell r="A10045" t="str">
            <v>424594</v>
          </cell>
          <cell r="B10045" t="str">
            <v>Curva vertical externa 90°, p/ leito para cabos tipo semi pesado (100x19mm), em chapa de aço galvanizado a fogo, raio 320mm, ref. DP823, fab. DISPAN ou similar, largura 700mm</v>
          </cell>
          <cell r="C10045" t="str">
            <v>ud</v>
          </cell>
          <cell r="D10045">
            <v>0</v>
          </cell>
          <cell r="E10045">
            <v>107.6</v>
          </cell>
          <cell r="F10045">
            <v>107.6</v>
          </cell>
        </row>
        <row r="10046">
          <cell r="A10046" t="str">
            <v>424595</v>
          </cell>
          <cell r="B10046" t="str">
            <v>Curva vertical externa 90°, p/ leito para cabos tipo semi pesado (100x19mm), em chapa de aço galvanizado a fogo, raio 320mm, ref. DP823, fab. DISPAN ou similar, largura 800mm</v>
          </cell>
          <cell r="C10046" t="str">
            <v>ud</v>
          </cell>
          <cell r="D10046">
            <v>0</v>
          </cell>
          <cell r="E10046">
            <v>114.24</v>
          </cell>
          <cell r="F10046">
            <v>114.24</v>
          </cell>
        </row>
        <row r="10047">
          <cell r="A10047" t="str">
            <v>424596</v>
          </cell>
          <cell r="B10047" t="str">
            <v>Curva vertical externa 90°, p/ leito para cabos tipo pesado (100x19mm), em chapa de aço galvanizado a fogo, raio 320mm, ref. DP823, fab. DISPAN ou similar, largura 200mm</v>
          </cell>
          <cell r="C10047" t="str">
            <v>ud</v>
          </cell>
          <cell r="D10047">
            <v>0</v>
          </cell>
          <cell r="E10047">
            <v>81.11</v>
          </cell>
          <cell r="F10047">
            <v>81.11</v>
          </cell>
        </row>
        <row r="10048">
          <cell r="A10048" t="str">
            <v>424597</v>
          </cell>
          <cell r="B10048" t="str">
            <v>Curva vertical externa 90°, p/ leito para cabos tipo pesado (100x19mm), em chapa de aço galvanizado a fogo, raio 320mm, ref. DP823, fab. DISPAN ou similar, largura 300mm</v>
          </cell>
          <cell r="C10048" t="str">
            <v>ud</v>
          </cell>
          <cell r="D10048">
            <v>0</v>
          </cell>
          <cell r="E10048">
            <v>91.06</v>
          </cell>
          <cell r="F10048">
            <v>91.06</v>
          </cell>
        </row>
        <row r="10049">
          <cell r="A10049" t="str">
            <v>424598</v>
          </cell>
          <cell r="B10049" t="str">
            <v>Curva vertical externa 90°, p/ leito para cabos tipo pesado (100x19mm), em chapa de aço galvanizado a fogo, raio 320mm, ref. DP823, fab. DISPAN ou similar, largura 400mm</v>
          </cell>
          <cell r="C10049" t="str">
            <v>ud</v>
          </cell>
          <cell r="D10049">
            <v>0</v>
          </cell>
          <cell r="E10049">
            <v>101</v>
          </cell>
          <cell r="F10049">
            <v>101</v>
          </cell>
        </row>
        <row r="10050">
          <cell r="A10050" t="str">
            <v>424599</v>
          </cell>
          <cell r="B10050" t="str">
            <v>Curva vertical externa 90°, p/ leito para cabos tipo pesado (100x19mm), em chapa de aço galvanizado a fogo, raio 320mm, ref. DP823, fab. DISPAN ou similar, largura 500mm</v>
          </cell>
          <cell r="C10050" t="str">
            <v>ud</v>
          </cell>
          <cell r="D10050">
            <v>0</v>
          </cell>
          <cell r="E10050">
            <v>110.89</v>
          </cell>
          <cell r="F10050">
            <v>110.89</v>
          </cell>
        </row>
        <row r="10051">
          <cell r="A10051" t="str">
            <v>4246</v>
          </cell>
          <cell r="B10051" t="str">
            <v>CONEXÕES PARA ELETROCALHAS E LEITOS</v>
          </cell>
          <cell r="C10051">
            <v>0</v>
          </cell>
          <cell r="D10051">
            <v>0</v>
          </cell>
          <cell r="E10051">
            <v>0</v>
          </cell>
          <cell r="F10051">
            <v>0</v>
          </cell>
        </row>
        <row r="10052">
          <cell r="A10052" t="str">
            <v>424601</v>
          </cell>
          <cell r="B10052" t="str">
            <v>Curva vertical externa 90°, p/ leito para cabos tipo pesado (100x19mm), em chapa de aço galvanizado a fogo, raio 320mm, ref. DP823, fab. DISPAN ou similar, largura 600mm</v>
          </cell>
          <cell r="C10052" t="str">
            <v>ud</v>
          </cell>
          <cell r="D10052">
            <v>0</v>
          </cell>
          <cell r="E10052">
            <v>106.52</v>
          </cell>
          <cell r="F10052">
            <v>106.52</v>
          </cell>
        </row>
        <row r="10053">
          <cell r="A10053" t="str">
            <v>424602</v>
          </cell>
          <cell r="B10053" t="str">
            <v>Curva vertical externa 90°, p/ leito para cabos tipo pesado (100x19mm), em chapa de aço galvanizado a fogo, raio 320mm, ref. DP823, fab. DISPAN ou similar, largura 700mm</v>
          </cell>
          <cell r="C10053" t="str">
            <v>ud</v>
          </cell>
          <cell r="D10053">
            <v>0</v>
          </cell>
          <cell r="E10053">
            <v>130.78</v>
          </cell>
          <cell r="F10053">
            <v>130.78</v>
          </cell>
        </row>
        <row r="10054">
          <cell r="A10054" t="str">
            <v>424603</v>
          </cell>
          <cell r="B10054" t="str">
            <v>Curva vertical externa 90°, p/ leito para cabos tipo pesado (100x19mm), em chapa de aço galvanizado a fogo, raio 320mm, ref. DP823, fab. DISPAN ou similar, largura 800mm</v>
          </cell>
          <cell r="C10054" t="str">
            <v>ud</v>
          </cell>
          <cell r="D10054">
            <v>0</v>
          </cell>
          <cell r="E10054">
            <v>140.69999999999999</v>
          </cell>
          <cell r="F10054">
            <v>140.69999999999999</v>
          </cell>
        </row>
        <row r="10055">
          <cell r="A10055" t="str">
            <v>424604</v>
          </cell>
          <cell r="B10055" t="str">
            <v>Tê horizontal 90°, p/ leito para cabos tipo leve (60x19mm), em chapa de aço galvanizado a fogo, raio 320mm, ref. DP829, fab. DISPAN ou similar, largura 200mm</v>
          </cell>
          <cell r="C10055" t="str">
            <v>ud</v>
          </cell>
          <cell r="D10055">
            <v>0</v>
          </cell>
          <cell r="E10055">
            <v>83.13</v>
          </cell>
          <cell r="F10055">
            <v>83.13</v>
          </cell>
        </row>
        <row r="10056">
          <cell r="A10056" t="str">
            <v>424605</v>
          </cell>
          <cell r="B10056" t="str">
            <v>Tê horizontal 90°, p/ leito para cabos tipo leve (60x19mm), em chapa de aço galvanizado a fogo, raio 320mm, ref. DP829, fab. DISPAN ou similar, largura 300mm</v>
          </cell>
          <cell r="C10056" t="str">
            <v>ud</v>
          </cell>
          <cell r="D10056">
            <v>0</v>
          </cell>
          <cell r="E10056">
            <v>114.74</v>
          </cell>
          <cell r="F10056">
            <v>114.74</v>
          </cell>
        </row>
        <row r="10057">
          <cell r="A10057" t="str">
            <v>424606</v>
          </cell>
          <cell r="B10057" t="str">
            <v>Tê horizontal 90°, p/ leito para cabos tipo leve (60x19mm), em chapa de aço galvanizado a fogo, raio 320mm, ref. DP829, fab. DISPAN ou similar, largura 400mm</v>
          </cell>
          <cell r="C10057" t="str">
            <v>ud</v>
          </cell>
          <cell r="D10057">
            <v>0</v>
          </cell>
          <cell r="E10057">
            <v>129.86000000000001</v>
          </cell>
          <cell r="F10057">
            <v>129.86000000000001</v>
          </cell>
        </row>
        <row r="10058">
          <cell r="A10058" t="str">
            <v>424607</v>
          </cell>
          <cell r="B10058" t="str">
            <v>Tê horizontal 90°, p/ leito para cabos tipo leve (60x19mm), em chapa de aço galvanizado a fogo, raio 320mm, ref. DP829, fab. DISPAN ou similar, largura 500mm</v>
          </cell>
          <cell r="C10058" t="str">
            <v>ud</v>
          </cell>
          <cell r="D10058">
            <v>0</v>
          </cell>
          <cell r="E10058">
            <v>67.91</v>
          </cell>
          <cell r="F10058">
            <v>67.91</v>
          </cell>
        </row>
        <row r="10059">
          <cell r="A10059" t="str">
            <v>424608</v>
          </cell>
          <cell r="B10059" t="str">
            <v>Tê horizontal 90°, p/ leito para cabos tipo semi pesado (75x19mm), em chapa de aço galvanizado a fogo, raio 320mm, ref. DP829, fab. DISPAN ou similar, largura 200mm</v>
          </cell>
          <cell r="C10059" t="str">
            <v>ud</v>
          </cell>
          <cell r="D10059">
            <v>0</v>
          </cell>
          <cell r="E10059">
            <v>81.86</v>
          </cell>
          <cell r="F10059">
            <v>81.86</v>
          </cell>
        </row>
        <row r="10060">
          <cell r="A10060" t="str">
            <v>424609</v>
          </cell>
          <cell r="B10060" t="str">
            <v>Tê horizontal 90°, p/ leito para cabos tipo semi pesado (75x19mm), em chapa de aço galvanizado a fogo, raio 320mm, ref. DP829, fab. DISPAN ou similar, largura 300mm</v>
          </cell>
          <cell r="C10060" t="str">
            <v>ud</v>
          </cell>
          <cell r="D10060">
            <v>0</v>
          </cell>
          <cell r="E10060">
            <v>97.17</v>
          </cell>
          <cell r="F10060">
            <v>97.17</v>
          </cell>
        </row>
        <row r="10061">
          <cell r="A10061" t="str">
            <v>424610</v>
          </cell>
          <cell r="B10061" t="str">
            <v>Tê horizontal 90°, p/ leito para cabos tipo semi pesado (75x19mm), em chapa de aço galvanizado a fogo, raio 320mm, ref. DP829, fab. DISPAN ou similar, largura 400mm</v>
          </cell>
          <cell r="C10061" t="str">
            <v>ud</v>
          </cell>
          <cell r="D10061">
            <v>0</v>
          </cell>
          <cell r="E10061">
            <v>109.85</v>
          </cell>
          <cell r="F10061">
            <v>109.85</v>
          </cell>
        </row>
        <row r="10062">
          <cell r="A10062" t="str">
            <v>424611</v>
          </cell>
          <cell r="B10062" t="str">
            <v>Tê horizontal 90°, p/ leito para cabos tipo semi pesado (75x19mm), em chapa de aço galvanizado a fogo, raio 320mm, ref. DP829, fab. DISPAN ou similar, largura 500mm</v>
          </cell>
          <cell r="C10062" t="str">
            <v>ud</v>
          </cell>
          <cell r="D10062">
            <v>0</v>
          </cell>
          <cell r="E10062">
            <v>122.25</v>
          </cell>
          <cell r="F10062">
            <v>122.25</v>
          </cell>
        </row>
        <row r="10063">
          <cell r="A10063" t="str">
            <v>424612</v>
          </cell>
          <cell r="B10063" t="str">
            <v>Tê horizontal 90°, p/ leito para cabos tipo semi pesado (75x19mm), em chapa de aço galvanizado a fogo, raio 320mm, ref. DP829, fab. DISPAN ou similar, largura 600mm</v>
          </cell>
          <cell r="C10063" t="str">
            <v>ud</v>
          </cell>
          <cell r="D10063">
            <v>0</v>
          </cell>
          <cell r="E10063">
            <v>149.24</v>
          </cell>
          <cell r="F10063">
            <v>149.24</v>
          </cell>
        </row>
        <row r="10064">
          <cell r="A10064" t="str">
            <v>424613</v>
          </cell>
          <cell r="B10064" t="str">
            <v>Tê horizontal 90°, p/ leito para cabos tipo semi pesado (75x19mm), em chapa de aço galvanizado a fogo, raio 320mm, ref. DP829, fab. DISPAN ou similar, largura 700mm</v>
          </cell>
          <cell r="C10064" t="str">
            <v>ud</v>
          </cell>
          <cell r="D10064">
            <v>0</v>
          </cell>
          <cell r="E10064">
            <v>224.17</v>
          </cell>
          <cell r="F10064">
            <v>224.17</v>
          </cell>
        </row>
        <row r="10065">
          <cell r="A10065" t="str">
            <v>424614</v>
          </cell>
          <cell r="B10065" t="str">
            <v>Tê horizontal 90°, p/ leito para cabos tipo semi pesado (75x19mm), em chapa de aço galvanizado a fogo, raio 320mm, ref. DP829, fab. DISPAN ou similar, largura 800mm</v>
          </cell>
          <cell r="C10065" t="str">
            <v>ud</v>
          </cell>
          <cell r="D10065">
            <v>0</v>
          </cell>
          <cell r="E10065">
            <v>100.35</v>
          </cell>
          <cell r="F10065">
            <v>100.35</v>
          </cell>
        </row>
        <row r="10066">
          <cell r="A10066" t="str">
            <v>424615</v>
          </cell>
          <cell r="B10066" t="str">
            <v>Tê horizontal 90°, p/ leito para cabos tipo semi pesado (100x19mm), em chapa de aço galvanizado a fogo, raio 320mm, ref. DP829, fab. DISPAN ou similar, largura 200mm</v>
          </cell>
          <cell r="C10066" t="str">
            <v>ud</v>
          </cell>
          <cell r="D10066">
            <v>0</v>
          </cell>
          <cell r="E10066">
            <v>94.35</v>
          </cell>
          <cell r="F10066">
            <v>94.35</v>
          </cell>
        </row>
        <row r="10067">
          <cell r="A10067" t="str">
            <v>424616</v>
          </cell>
          <cell r="B10067" t="str">
            <v>Tê horizontal 90°, p/ leito para cabos tipo semi pesado (100x19mm), em chapa de aço galvanizado a fogo, raio 320mm, ref. DP829, fab. DISPAN ou similar, largura 300mm</v>
          </cell>
          <cell r="C10067" t="str">
            <v>ud</v>
          </cell>
          <cell r="D10067">
            <v>0</v>
          </cell>
          <cell r="E10067">
            <v>109.3</v>
          </cell>
          <cell r="F10067">
            <v>109.3</v>
          </cell>
        </row>
        <row r="10068">
          <cell r="A10068" t="str">
            <v>424617</v>
          </cell>
          <cell r="B10068" t="str">
            <v>Tê horizontal 90°, p/ leito para cabos tipo semi pesado (100x19mm), em chapa de aço galvanizado a fogo, raio 320mm, ref. DP829, fab. DISPAN ou similar, largura 400mm</v>
          </cell>
          <cell r="C10068" t="str">
            <v>ud</v>
          </cell>
          <cell r="D10068">
            <v>0</v>
          </cell>
          <cell r="E10068">
            <v>122.57</v>
          </cell>
          <cell r="F10068">
            <v>122.57</v>
          </cell>
        </row>
        <row r="10069">
          <cell r="A10069" t="str">
            <v>424618</v>
          </cell>
          <cell r="B10069" t="str">
            <v>Tê horizontal 90°, p/ leito para cabos tipo semi pesado (100x19mm), em chapa de aço galvanizado a fogo, raio 320mm, ref. DP829, fab. DISPAN ou similar, largura 500mm</v>
          </cell>
          <cell r="C10069" t="str">
            <v>ud</v>
          </cell>
          <cell r="D10069">
            <v>0</v>
          </cell>
          <cell r="E10069">
            <v>135.83000000000001</v>
          </cell>
          <cell r="F10069">
            <v>135.83000000000001</v>
          </cell>
        </row>
        <row r="10070">
          <cell r="A10070" t="str">
            <v>424619</v>
          </cell>
          <cell r="B10070" t="str">
            <v>Tê horizontal 90°, p/ leito para cabos tipo semi pesado (100x19mm), em chapa de aço galvanizado a fogo, raio 320mm, ref. DP829, fab. DISPAN ou similar, largura 600mm</v>
          </cell>
          <cell r="C10070" t="str">
            <v>ud</v>
          </cell>
          <cell r="D10070">
            <v>0</v>
          </cell>
          <cell r="E10070">
            <v>163.46</v>
          </cell>
          <cell r="F10070">
            <v>163.46</v>
          </cell>
        </row>
        <row r="10071">
          <cell r="A10071" t="str">
            <v>424620</v>
          </cell>
          <cell r="B10071" t="str">
            <v>Tê horizontal 90°, p/ leito para cabos tipo semi pesado (100x19mm), em chapa de aço galvanizado a fogo, raio 320mm, ref. DP829, fab. DISPAN ou similar, largura 700mm</v>
          </cell>
          <cell r="C10071" t="str">
            <v>ud</v>
          </cell>
          <cell r="D10071">
            <v>0</v>
          </cell>
          <cell r="E10071">
            <v>192.55</v>
          </cell>
          <cell r="F10071">
            <v>192.55</v>
          </cell>
        </row>
        <row r="10072">
          <cell r="A10072" t="str">
            <v>424621</v>
          </cell>
          <cell r="B10072" t="str">
            <v>Tê horizontal 90°, p/ leito para cabos tipo semi pesado (100x19mm), em chapa de aço galvanizado a fogo, raio 320mm, ref. DP829, fab. DISPAN ou similar, largura 800mm</v>
          </cell>
          <cell r="C10072" t="str">
            <v>ud</v>
          </cell>
          <cell r="D10072">
            <v>0</v>
          </cell>
          <cell r="E10072">
            <v>223.4</v>
          </cell>
          <cell r="F10072">
            <v>223.4</v>
          </cell>
        </row>
        <row r="10073">
          <cell r="A10073" t="str">
            <v>424622</v>
          </cell>
          <cell r="B10073" t="str">
            <v>Tê horizontal 90°, p/ leito para cabos tipo pesado (100x19mm), em chapa de aço galvanizado a fogo, raio 320mm, ref. DP829, fab. DISPAN ou similar, largura 200mm</v>
          </cell>
          <cell r="C10073" t="str">
            <v>ud</v>
          </cell>
          <cell r="D10073">
            <v>0</v>
          </cell>
          <cell r="E10073">
            <v>127.4</v>
          </cell>
          <cell r="F10073">
            <v>127.4</v>
          </cell>
        </row>
        <row r="10074">
          <cell r="A10074" t="str">
            <v>424623</v>
          </cell>
          <cell r="B10074" t="str">
            <v>Tê horizontal 90°, p/ leito para cabos tipo pesado (100x19mm), em chapa de aço galvanizado a fogo, raio 320mm, ref. DP829, fab. DISPAN ou similar, largura 300mm</v>
          </cell>
          <cell r="C10074" t="str">
            <v>ud</v>
          </cell>
          <cell r="D10074">
            <v>0</v>
          </cell>
          <cell r="E10074">
            <v>153.91</v>
          </cell>
          <cell r="F10074">
            <v>153.91</v>
          </cell>
        </row>
        <row r="10075">
          <cell r="A10075" t="str">
            <v>424624</v>
          </cell>
          <cell r="B10075" t="str">
            <v>Tê horizontal 90°, p/ leito para cabos tipo pesado (100x19mm), em chapa de aço galvanizado a fogo, raio 320mm, ref. DP829, fab. DISPAN ou similar, largura 400mm</v>
          </cell>
          <cell r="C10075" t="str">
            <v>ud</v>
          </cell>
          <cell r="D10075">
            <v>0</v>
          </cell>
          <cell r="E10075">
            <v>175.68</v>
          </cell>
          <cell r="F10075">
            <v>175.68</v>
          </cell>
        </row>
        <row r="10076">
          <cell r="A10076" t="str">
            <v>424625</v>
          </cell>
          <cell r="B10076" t="str">
            <v>Tê horizontal 90°, p/ leito para cabos tipo pesado (100x19mm), em chapa de aço galvanizado a fogo, raio 320mm, ref. DP829, fab. DISPAN ou similar, largura 500mm</v>
          </cell>
          <cell r="C10076" t="str">
            <v>ud</v>
          </cell>
          <cell r="D10076">
            <v>0</v>
          </cell>
          <cell r="E10076">
            <v>197.44</v>
          </cell>
          <cell r="F10076">
            <v>197.44</v>
          </cell>
        </row>
        <row r="10077">
          <cell r="A10077" t="str">
            <v>424626</v>
          </cell>
          <cell r="B10077" t="str">
            <v>Tê horizontal 90°, p/ leito para cabos tipo pesado (100x19mm), em chapa de aço galvanizado a fogo, raio 320mm, ref. DP829, fab. DISPAN ou similar, largura 600mm</v>
          </cell>
          <cell r="C10077" t="str">
            <v>ud</v>
          </cell>
          <cell r="D10077">
            <v>0</v>
          </cell>
          <cell r="E10077">
            <v>219.21</v>
          </cell>
          <cell r="F10077">
            <v>219.21</v>
          </cell>
        </row>
        <row r="10078">
          <cell r="A10078" t="str">
            <v>424627</v>
          </cell>
          <cell r="B10078" t="str">
            <v>Tê horizontal 90°, p/ leito para cabos tipo pesado (100x19mm), em chapa de aço galvanizado a fogo, raio 320mm, ref. DP829, fab. DISPAN ou similar, largura 700mm</v>
          </cell>
          <cell r="C10078" t="str">
            <v>ud</v>
          </cell>
          <cell r="D10078">
            <v>0</v>
          </cell>
          <cell r="E10078">
            <v>240.98</v>
          </cell>
          <cell r="F10078">
            <v>240.98</v>
          </cell>
        </row>
        <row r="10079">
          <cell r="A10079" t="str">
            <v>424628</v>
          </cell>
          <cell r="B10079" t="str">
            <v>Tê horizontal 90°, p/ leito para cabos tipo pesado (100x19mm), em chapa de aço galvanizado a fogo, raio 320mm, ref. DP829, fab. DISPAN ou similar, largura 800mm</v>
          </cell>
          <cell r="C10079" t="str">
            <v>ud</v>
          </cell>
          <cell r="D10079">
            <v>0</v>
          </cell>
          <cell r="E10079">
            <v>285.27</v>
          </cell>
          <cell r="F10079">
            <v>285.27</v>
          </cell>
        </row>
        <row r="10080">
          <cell r="A10080" t="str">
            <v>424629</v>
          </cell>
          <cell r="B10080" t="str">
            <v>Redução concêntrica, p/ leito para cabos tipo leve (60x19mm), em chapa de aço galvanizado a fogo, ref. DP839, fab. DISPAN ou similar, largura 500mm x 300mm</v>
          </cell>
          <cell r="C10080" t="str">
            <v>ud</v>
          </cell>
          <cell r="D10080">
            <v>0</v>
          </cell>
          <cell r="E10080">
            <v>61.09</v>
          </cell>
          <cell r="F10080">
            <v>61.09</v>
          </cell>
        </row>
        <row r="10081">
          <cell r="A10081" t="str">
            <v>424630</v>
          </cell>
          <cell r="B10081" t="str">
            <v>Redução concêntrica, p/ leito para cabos tipo leve (60x19mm), em chapa de aço galvanizado a fogo, ref. DP839, fab. DISPAN ou similar, largura 400mm x 200mm</v>
          </cell>
          <cell r="C10081" t="str">
            <v>ud</v>
          </cell>
          <cell r="D10081">
            <v>0</v>
          </cell>
          <cell r="E10081">
            <v>58.22</v>
          </cell>
          <cell r="F10081">
            <v>58.22</v>
          </cell>
        </row>
        <row r="10082">
          <cell r="A10082" t="str">
            <v>424631</v>
          </cell>
          <cell r="B10082" t="str">
            <v>Redução concêntrica, p/ leito para cabos tipo semi pesado (75x19mm), em chapa de aço galvanizado a fogo, ref. DP839, fab. DISPAN ou similar, largura 800mm x 600mm</v>
          </cell>
          <cell r="C10082" t="str">
            <v>ud</v>
          </cell>
          <cell r="D10082">
            <v>0</v>
          </cell>
          <cell r="E10082">
            <v>84.01</v>
          </cell>
          <cell r="F10082">
            <v>84.01</v>
          </cell>
        </row>
        <row r="10083">
          <cell r="A10083" t="str">
            <v>424632</v>
          </cell>
          <cell r="B10083" t="str">
            <v>Redução concêntrica, p/ leito para cabos tipo semi pesado (75x19mm), em chapa de aço galvanizado a fogo, ref. DP839, fab. DISPAN ou similar, largura 700mm x 500mm</v>
          </cell>
          <cell r="C10083" t="str">
            <v>ud</v>
          </cell>
          <cell r="D10083">
            <v>0</v>
          </cell>
          <cell r="E10083">
            <v>91.11</v>
          </cell>
          <cell r="F10083">
            <v>91.11</v>
          </cell>
        </row>
        <row r="10084">
          <cell r="A10084" t="str">
            <v>424633</v>
          </cell>
          <cell r="B10084" t="str">
            <v>Redução concêntrica, p/ leito para cabos tipo semi pesado (75x19mm), em chapa de aço galvanizado a fogo, ref. DP839, fab. DISPAN ou similar, largura 600mm x 400mm</v>
          </cell>
          <cell r="C10084" t="str">
            <v>ud</v>
          </cell>
          <cell r="D10084">
            <v>0</v>
          </cell>
          <cell r="E10084">
            <v>63.91</v>
          </cell>
          <cell r="F10084">
            <v>63.91</v>
          </cell>
        </row>
        <row r="10085">
          <cell r="A10085" t="str">
            <v>424634</v>
          </cell>
          <cell r="B10085" t="str">
            <v>Redução concêntrica, p/ leito para cabos tipo semi pesado (75x19mm), em chapa de aço galvanizado a fogo, ref. DP839, fab. DISPAN ou similar, largura 500mm x 300mm</v>
          </cell>
          <cell r="C10085" t="str">
            <v>ud</v>
          </cell>
          <cell r="D10085">
            <v>0</v>
          </cell>
          <cell r="E10085">
            <v>54.54</v>
          </cell>
          <cell r="F10085">
            <v>54.54</v>
          </cell>
        </row>
        <row r="10086">
          <cell r="A10086" t="str">
            <v>424635</v>
          </cell>
          <cell r="B10086" t="str">
            <v>Redução concêntrica, p/ leito para cabos tipo semi pesado (75x19mm), em chapa de aço galvanizado a fogo, ref. DP839, fab. DISPAN ou similar, largura 400mm x 200mm</v>
          </cell>
          <cell r="C10086" t="str">
            <v>ud</v>
          </cell>
          <cell r="D10086">
            <v>0</v>
          </cell>
          <cell r="E10086">
            <v>49.42</v>
          </cell>
          <cell r="F10086">
            <v>49.42</v>
          </cell>
        </row>
        <row r="10087">
          <cell r="A10087" t="str">
            <v>424636</v>
          </cell>
          <cell r="B10087" t="str">
            <v>Redução concêntrica, p/ leito para cabos tipo semi pesado (100x19mm), em chapa de aço galvanizado a fogo, ref. DP839, fab. DISPAN ou similar, largura 800mm x 600mm</v>
          </cell>
          <cell r="C10087" t="str">
            <v>ud</v>
          </cell>
          <cell r="D10087">
            <v>0</v>
          </cell>
          <cell r="E10087">
            <v>95.61</v>
          </cell>
          <cell r="F10087">
            <v>95.61</v>
          </cell>
        </row>
        <row r="10088">
          <cell r="A10088" t="str">
            <v>424637</v>
          </cell>
          <cell r="B10088" t="str">
            <v>Redução concêntrica, p/ leito para cabos tipo semi pesado (100x19mm), em chapa de aço galvanizado a fogo, ref. DP839, fab. DISPAN ou similar, largura 700mm x 500mm</v>
          </cell>
          <cell r="C10088" t="str">
            <v>ud</v>
          </cell>
          <cell r="D10088">
            <v>0</v>
          </cell>
          <cell r="E10088">
            <v>88.28</v>
          </cell>
          <cell r="F10088">
            <v>88.28</v>
          </cell>
        </row>
        <row r="10089">
          <cell r="A10089" t="str">
            <v>424638</v>
          </cell>
          <cell r="B10089" t="str">
            <v>Redução concêntrica, p/ leito para cabos tipo semi pesado (100x19mm), em chapa de aço galvanizado a fogo, ref. DP839, fab. DISPAN ou similar, largura 600mm x 400mm</v>
          </cell>
          <cell r="C10089" t="str">
            <v>ud</v>
          </cell>
          <cell r="D10089">
            <v>0</v>
          </cell>
          <cell r="E10089">
            <v>72.8</v>
          </cell>
          <cell r="F10089">
            <v>72.8</v>
          </cell>
        </row>
        <row r="10090">
          <cell r="A10090" t="str">
            <v>424639</v>
          </cell>
          <cell r="B10090" t="str">
            <v>Redução concêntrica, p/ leito para cabos tipo semi pesado (100x19mm), em chapa de aço galvanizado a fogo, ref. DP839, fab. DISPAN ou similar, largura 500mm x 300mm</v>
          </cell>
          <cell r="C10090" t="str">
            <v>ud</v>
          </cell>
          <cell r="D10090">
            <v>0</v>
          </cell>
          <cell r="E10090">
            <v>62.96</v>
          </cell>
          <cell r="F10090">
            <v>62.96</v>
          </cell>
        </row>
        <row r="10091">
          <cell r="A10091" t="str">
            <v>424640</v>
          </cell>
          <cell r="B10091" t="str">
            <v>Redução concêntrica, p/ leito para cabos tipo semi pesado (100x19mm), em chapa de aço galvanizado a fogo, ref. DP839, fab. DISPAN ou similar, largura 400mm x 200mm</v>
          </cell>
          <cell r="C10091" t="str">
            <v>ud</v>
          </cell>
          <cell r="D10091">
            <v>0</v>
          </cell>
          <cell r="E10091">
            <v>57.44</v>
          </cell>
          <cell r="F10091">
            <v>57.44</v>
          </cell>
        </row>
        <row r="10092">
          <cell r="A10092" t="str">
            <v>424641</v>
          </cell>
          <cell r="B10092" t="str">
            <v>Redução concêntrica, p/ leito para cabos tipo pesado (100x19mm), em chapa de aço galvanizado a fogo, ref. DP839, fab. DISPAN ou similar, largura 800mm x 600mm</v>
          </cell>
          <cell r="C10092" t="str">
            <v>ud</v>
          </cell>
          <cell r="D10092">
            <v>0</v>
          </cell>
          <cell r="E10092">
            <v>106.38</v>
          </cell>
          <cell r="F10092">
            <v>106.38</v>
          </cell>
        </row>
        <row r="10093">
          <cell r="A10093" t="str">
            <v>424642</v>
          </cell>
          <cell r="B10093" t="str">
            <v>Redução concêntrica, p/ leito para cabos tipo pesado (100x19mm), em chapa de aço galvanizado a fogo, ref. DP839, fab. DISPAN ou similar, largura 700mm x 500mm</v>
          </cell>
          <cell r="C10093" t="str">
            <v>ud</v>
          </cell>
          <cell r="D10093">
            <v>0</v>
          </cell>
          <cell r="E10093">
            <v>102.1</v>
          </cell>
          <cell r="F10093">
            <v>102.1</v>
          </cell>
        </row>
        <row r="10094">
          <cell r="A10094" t="str">
            <v>424643</v>
          </cell>
          <cell r="B10094" t="str">
            <v>Redução concêntrica, p/ leito para cabos tipo pesado (100x19mm), em chapa de aço galvanizado a fogo, ref. DP839, fab. DISPAN ou similar, largura 600mm x 400mm</v>
          </cell>
          <cell r="C10094" t="str">
            <v>ud</v>
          </cell>
          <cell r="D10094">
            <v>0</v>
          </cell>
          <cell r="E10094">
            <v>82.69</v>
          </cell>
          <cell r="F10094">
            <v>82.69</v>
          </cell>
        </row>
        <row r="10095">
          <cell r="A10095" t="str">
            <v>424644</v>
          </cell>
          <cell r="B10095" t="str">
            <v>Redução concêntrica, p/ leito para cabos tipo pesado (100x19mm), em chapa de aço galvanizado a fogo, ref. DP839, fab. DISPAN ou similar, largura 500mm x 300mm</v>
          </cell>
          <cell r="C10095" t="str">
            <v>ud</v>
          </cell>
          <cell r="D10095">
            <v>0</v>
          </cell>
          <cell r="E10095">
            <v>84.06</v>
          </cell>
          <cell r="F10095">
            <v>84.06</v>
          </cell>
        </row>
        <row r="10096">
          <cell r="A10096" t="str">
            <v>424645</v>
          </cell>
          <cell r="B10096" t="str">
            <v>Redução concêntrica, p/ leito para cabos tipo pesado (100x19mm), em chapa de aço galvanizado a fogo, ref. DP839, fab. DISPAN ou similar, largura 400mm x 200mm</v>
          </cell>
          <cell r="C10096" t="str">
            <v>ud</v>
          </cell>
          <cell r="D10096">
            <v>0</v>
          </cell>
          <cell r="E10096">
            <v>67.180000000000007</v>
          </cell>
          <cell r="F10096">
            <v>67.180000000000007</v>
          </cell>
        </row>
        <row r="10097">
          <cell r="A10097" t="str">
            <v>424646</v>
          </cell>
          <cell r="B10097" t="str">
            <v>Redução a direita, p/ leito para cabos tipo leve (60x19mm), em chapa de aço galvanizado a fogo, ref. DP840, fab. DISPAN ou similar, largura 500mm x 300mm</v>
          </cell>
          <cell r="C10097" t="str">
            <v>ud</v>
          </cell>
          <cell r="D10097">
            <v>0</v>
          </cell>
          <cell r="E10097">
            <v>64.319999999999993</v>
          </cell>
          <cell r="F10097">
            <v>64.319999999999993</v>
          </cell>
        </row>
        <row r="10098">
          <cell r="A10098" t="str">
            <v>424647</v>
          </cell>
          <cell r="B10098" t="str">
            <v>Redução a direita, p/ leito para cabos tipo leve (60x19mm), em chapa de aço galvanizado a fogo, ref. DP840, fab. DISPAN ou similar, largura 400mm x 200mm</v>
          </cell>
          <cell r="C10098" t="str">
            <v>ud</v>
          </cell>
          <cell r="D10098">
            <v>0</v>
          </cell>
          <cell r="E10098">
            <v>58.22</v>
          </cell>
          <cell r="F10098">
            <v>58.22</v>
          </cell>
        </row>
        <row r="10099">
          <cell r="A10099" t="str">
            <v>424648</v>
          </cell>
          <cell r="B10099" t="str">
            <v>Redução a direita, p/ leito para cabos tipo semi pesado (75x19mm), em chapa de aço galvanizado a fogo, ref. DP840, fab. DISPAN ou similar, largura 800mm x 600mm</v>
          </cell>
          <cell r="C10099" t="str">
            <v>ud</v>
          </cell>
          <cell r="D10099">
            <v>0</v>
          </cell>
          <cell r="E10099">
            <v>84.07</v>
          </cell>
          <cell r="F10099">
            <v>84.07</v>
          </cell>
        </row>
        <row r="10100">
          <cell r="A10100" t="str">
            <v>424649</v>
          </cell>
          <cell r="B10100" t="str">
            <v>Redução a direita, p/ leito para cabos tipo semi pesado (75x19mm), em chapa de aço galvanizado a fogo, ref. DP840, fab. DISPAN ou similar, largura 700mm x 500mm</v>
          </cell>
          <cell r="C10100" t="str">
            <v>ud</v>
          </cell>
          <cell r="D10100">
            <v>0</v>
          </cell>
          <cell r="E10100">
            <v>91.11</v>
          </cell>
          <cell r="F10100">
            <v>91.11</v>
          </cell>
        </row>
        <row r="10101">
          <cell r="A10101" t="str">
            <v>424650</v>
          </cell>
          <cell r="B10101" t="str">
            <v>Redução a direita, p/ leito para cabos tipo semi pesado (75x19mm), em chapa de aço galvanizado a fogo, ref. DP840, fab. DISPAN ou similar, largura 600mm x 400mm</v>
          </cell>
          <cell r="C10101" t="str">
            <v>ud</v>
          </cell>
          <cell r="D10101">
            <v>0</v>
          </cell>
          <cell r="E10101">
            <v>63.92</v>
          </cell>
          <cell r="F10101">
            <v>63.92</v>
          </cell>
        </row>
        <row r="10102">
          <cell r="A10102" t="str">
            <v>424651</v>
          </cell>
          <cell r="B10102" t="str">
            <v>Redução a direita, p/ leito para cabos tipo semi pesado (75x19mm), em chapa de aço galvanizado a fogo, ref. DP840, fab. DISPAN ou similar, largura 500mm x 300mm</v>
          </cell>
          <cell r="C10102" t="str">
            <v>ud</v>
          </cell>
          <cell r="D10102">
            <v>0</v>
          </cell>
          <cell r="E10102">
            <v>54.53</v>
          </cell>
          <cell r="F10102">
            <v>54.53</v>
          </cell>
        </row>
        <row r="10103">
          <cell r="A10103" t="str">
            <v>424652</v>
          </cell>
          <cell r="B10103" t="str">
            <v>Redução a direita, p/ leito para cabos tipo semi pesado (75x19mm), em chapa de aço galvanizado a fogo, ref. DP840, fab. DISPAN ou similar, largura 400mm x 200mm</v>
          </cell>
          <cell r="C10103" t="str">
            <v>ud</v>
          </cell>
          <cell r="D10103">
            <v>0</v>
          </cell>
          <cell r="E10103">
            <v>49.43</v>
          </cell>
          <cell r="F10103">
            <v>49.43</v>
          </cell>
        </row>
        <row r="10104">
          <cell r="A10104" t="str">
            <v>424653</v>
          </cell>
          <cell r="B10104" t="str">
            <v>Redução a direita, p/ leito para cabos tipo semi pesado (100x19mm), em chapa de aço galvanizado a fogo, ref. DP840, fab. DISPAN ou similar, largura 800mm x 600mm</v>
          </cell>
          <cell r="C10104" t="str">
            <v>ud</v>
          </cell>
          <cell r="D10104">
            <v>0</v>
          </cell>
          <cell r="E10104">
            <v>95.6</v>
          </cell>
          <cell r="F10104">
            <v>95.6</v>
          </cell>
        </row>
        <row r="10105">
          <cell r="A10105" t="str">
            <v>424654</v>
          </cell>
          <cell r="B10105" t="str">
            <v>Redução a direita, p/ leito para cabos tipo semi pesado (100x19mm), em chapa de aço galvanizado a fogo, ref. DP840, fab. DISPAN ou similar, largura 700mm x 500mm</v>
          </cell>
          <cell r="C10105" t="str">
            <v>ud</v>
          </cell>
          <cell r="D10105">
            <v>0</v>
          </cell>
          <cell r="E10105">
            <v>88.28</v>
          </cell>
          <cell r="F10105">
            <v>88.28</v>
          </cell>
        </row>
        <row r="10106">
          <cell r="A10106" t="str">
            <v>424655</v>
          </cell>
          <cell r="B10106" t="str">
            <v>Redução a direita, p/ leito para cabos tipo semi pesado (100x19mm), em chapa de aço galvanizado a fogo, ref. DP840, fab. DISPAN ou similar, largura 600mm x 400mm</v>
          </cell>
          <cell r="C10106" t="str">
            <v>ud</v>
          </cell>
          <cell r="D10106">
            <v>0</v>
          </cell>
          <cell r="E10106">
            <v>72.8</v>
          </cell>
          <cell r="F10106">
            <v>72.8</v>
          </cell>
        </row>
        <row r="10107">
          <cell r="A10107" t="str">
            <v>424656</v>
          </cell>
          <cell r="B10107" t="str">
            <v>Redução a direita, p/ leito para cabos tipo semi pesado (100x19mm), em chapa de aço galvanizado a fogo, ref. DP840, fab. DISPAN ou similar, largura 500mm x 300mm</v>
          </cell>
          <cell r="C10107" t="str">
            <v>ud</v>
          </cell>
          <cell r="D10107">
            <v>0</v>
          </cell>
          <cell r="E10107">
            <v>56.25</v>
          </cell>
          <cell r="F10107">
            <v>56.25</v>
          </cell>
        </row>
        <row r="10108">
          <cell r="A10108" t="str">
            <v>424657</v>
          </cell>
          <cell r="B10108" t="str">
            <v>Redução a direita, p/ leito para cabos tipo semi pesado (100x19mm), em chapa de aço galvanizado a fogo, ref. DP840, fab. DISPAN ou similar, largura 400mm x 200mm</v>
          </cell>
          <cell r="C10108" t="str">
            <v>ud</v>
          </cell>
          <cell r="D10108">
            <v>0</v>
          </cell>
          <cell r="E10108">
            <v>51.31</v>
          </cell>
          <cell r="F10108">
            <v>51.31</v>
          </cell>
        </row>
        <row r="10109">
          <cell r="A10109" t="str">
            <v>424658</v>
          </cell>
          <cell r="B10109" t="str">
            <v>Redução a direita, p/ leito para cabos tipo pesado (100x19mm), em chapa de aço galvanizado a fogo, ref. DP840, fab. DISPAN ou similar, largura 800mm x 600mm</v>
          </cell>
          <cell r="C10109" t="str">
            <v>ud</v>
          </cell>
          <cell r="D10109">
            <v>0</v>
          </cell>
          <cell r="E10109">
            <v>99.52</v>
          </cell>
          <cell r="F10109">
            <v>99.52</v>
          </cell>
        </row>
        <row r="10110">
          <cell r="A10110" t="str">
            <v>424659</v>
          </cell>
          <cell r="B10110" t="str">
            <v>Redução a direita, p/ leito para cabos tipo pesado (100x19mm), em chapa de aço galvanizado a fogo, ref. DP840, fab. DISPAN ou similar, largura 700mm x 500mm</v>
          </cell>
          <cell r="C10110" t="str">
            <v>ud</v>
          </cell>
          <cell r="D10110">
            <v>0</v>
          </cell>
          <cell r="E10110">
            <v>99.52</v>
          </cell>
          <cell r="F10110">
            <v>99.52</v>
          </cell>
        </row>
        <row r="10111">
          <cell r="A10111" t="str">
            <v>424660</v>
          </cell>
          <cell r="B10111" t="str">
            <v>Redução a direita, p/ leito para cabos tipo pesado (100x19mm), em chapa de aço galvanizado a fogo, ref. DP840, fab. DISPAN ou similar, largura 600mm x 400mm</v>
          </cell>
          <cell r="C10111" t="str">
            <v>ud</v>
          </cell>
          <cell r="D10111">
            <v>0</v>
          </cell>
          <cell r="E10111">
            <v>83.02</v>
          </cell>
          <cell r="F10111">
            <v>83.02</v>
          </cell>
        </row>
        <row r="10112">
          <cell r="A10112" t="str">
            <v>424661</v>
          </cell>
          <cell r="B10112" t="str">
            <v>Redução a direita, p/ leito para cabos tipo pesado (100x19mm), em chapa de aço galvanizado a fogo, ref. DP840, fab. DISPAN ou similar, largura 500mm x 300mm</v>
          </cell>
          <cell r="C10112" t="str">
            <v>ud</v>
          </cell>
          <cell r="D10112">
            <v>0</v>
          </cell>
          <cell r="E10112">
            <v>75.08</v>
          </cell>
          <cell r="F10112">
            <v>75.08</v>
          </cell>
        </row>
        <row r="10113">
          <cell r="A10113" t="str">
            <v>424662</v>
          </cell>
          <cell r="B10113" t="str">
            <v>Redução a direita, p/ leito para cabos tipo pesado (100x19mm), em chapa de aço galvanizado a fogo, ref. DP840, fab. DISPAN ou similar, largura 400mm x 200mm</v>
          </cell>
          <cell r="C10113" t="str">
            <v>ud</v>
          </cell>
          <cell r="D10113">
            <v>0</v>
          </cell>
          <cell r="E10113">
            <v>67.45</v>
          </cell>
          <cell r="F10113">
            <v>67.45</v>
          </cell>
        </row>
        <row r="10114">
          <cell r="A10114" t="str">
            <v>424663</v>
          </cell>
          <cell r="B10114" t="str">
            <v>Redução a esquerda, p/ leito para cabos tipo leve (60x19mm), em chapa de aço galvanizado a fogo, ref. DP841, fab. DISPAN ou similar, largura 500mm x 300mm</v>
          </cell>
          <cell r="C10114" t="str">
            <v>ud</v>
          </cell>
          <cell r="D10114">
            <v>0</v>
          </cell>
          <cell r="E10114">
            <v>61.1</v>
          </cell>
          <cell r="F10114">
            <v>61.1</v>
          </cell>
        </row>
        <row r="10115">
          <cell r="A10115" t="str">
            <v>424664</v>
          </cell>
          <cell r="B10115" t="str">
            <v>Redução a esquerda, p/ leito para cabos tipo leve (60x19mm), em chapa de aço galvanizado a fogo, ref. DP841, fab. DISPAN ou similar, largura 400mm x 200mm</v>
          </cell>
          <cell r="C10115" t="str">
            <v>ud</v>
          </cell>
          <cell r="D10115">
            <v>0</v>
          </cell>
          <cell r="E10115">
            <v>58.23</v>
          </cell>
          <cell r="F10115">
            <v>58.23</v>
          </cell>
        </row>
        <row r="10116">
          <cell r="A10116" t="str">
            <v>424665</v>
          </cell>
          <cell r="B10116" t="str">
            <v>Redução a esquerda, p/ leito para cabos tipo semi pesado (75x19mm), em chapa de aço galvanizado a fogo, ref. DP841, fab. DISPAN ou similar, largura 800mm x 600mm</v>
          </cell>
          <cell r="C10116" t="str">
            <v>ud</v>
          </cell>
          <cell r="D10116">
            <v>0</v>
          </cell>
          <cell r="E10116">
            <v>82.17</v>
          </cell>
          <cell r="F10116">
            <v>82.17</v>
          </cell>
        </row>
        <row r="10117">
          <cell r="A10117" t="str">
            <v>424666</v>
          </cell>
          <cell r="B10117" t="str">
            <v>Redução a esquerda, p/ leito para cabos tipo semi pesado (75x19mm), em chapa de aço galvanizado a fogo, ref. DP841, fab. DISPAN ou similar, largura 700mm x 500mm</v>
          </cell>
          <cell r="C10117" t="str">
            <v>ud</v>
          </cell>
          <cell r="D10117">
            <v>0</v>
          </cell>
          <cell r="E10117">
            <v>75.599999999999994</v>
          </cell>
          <cell r="F10117">
            <v>75.599999999999994</v>
          </cell>
        </row>
        <row r="10118">
          <cell r="A10118" t="str">
            <v>424667</v>
          </cell>
          <cell r="B10118" t="str">
            <v>Redução a esquerda, p/ leito para cabos tipo semi pesado (75x19mm), em chapa de aço galvanizado a fogo, ref. DP841, fab. DISPAN ou similar, largura 600mm x 400mm</v>
          </cell>
          <cell r="C10118" t="str">
            <v>ud</v>
          </cell>
          <cell r="D10118">
            <v>0</v>
          </cell>
          <cell r="E10118">
            <v>62.51</v>
          </cell>
          <cell r="F10118">
            <v>62.51</v>
          </cell>
        </row>
        <row r="10119">
          <cell r="A10119" t="str">
            <v>424668</v>
          </cell>
          <cell r="B10119" t="str">
            <v>Redução a esquerda, p/ leito para cabos tipo semi pesado (75x19mm), em chapa de aço galvanizado a fogo, ref. DP841, fab. DISPAN ou similar, largura 500mm x 300mm</v>
          </cell>
          <cell r="C10119" t="str">
            <v>ud</v>
          </cell>
          <cell r="D10119">
            <v>0</v>
          </cell>
          <cell r="E10119">
            <v>53.34</v>
          </cell>
          <cell r="F10119">
            <v>53.34</v>
          </cell>
        </row>
        <row r="10120">
          <cell r="A10120" t="str">
            <v>424669</v>
          </cell>
          <cell r="B10120" t="str">
            <v>Redução a esquerda, p/ leito para cabos tipo semi pesado (75x19mm), em chapa de aço galvanizado a fogo, ref. DP841, fab. DISPAN ou similar, largura 400mm x 200mm</v>
          </cell>
          <cell r="C10120" t="str">
            <v>ud</v>
          </cell>
          <cell r="D10120">
            <v>0</v>
          </cell>
          <cell r="E10120">
            <v>48.34</v>
          </cell>
          <cell r="F10120">
            <v>48.34</v>
          </cell>
        </row>
        <row r="10121">
          <cell r="A10121" t="str">
            <v>424670</v>
          </cell>
          <cell r="B10121" t="str">
            <v>Redução a esquerda, p/ leito para cabos tipo semi pesado (100x19mm), em chapa de aço galvanizado a fogo, ref. DP841, fab. DISPAN ou similar, largura 800mm x 600mm</v>
          </cell>
          <cell r="C10121" t="str">
            <v>ud</v>
          </cell>
          <cell r="D10121">
            <v>0</v>
          </cell>
          <cell r="E10121">
            <v>93.51</v>
          </cell>
          <cell r="F10121">
            <v>93.51</v>
          </cell>
        </row>
        <row r="10122">
          <cell r="A10122" t="str">
            <v>424671</v>
          </cell>
          <cell r="B10122" t="str">
            <v>Redução a esquerda, p/ leito para cabos tipo semi pesado (100x19mm), em chapa de aço galvanizado a fogo, ref. DP841, fab. DISPAN ou similar, largura 700mm x 500mm</v>
          </cell>
          <cell r="C10122" t="str">
            <v>ud</v>
          </cell>
          <cell r="D10122">
            <v>0</v>
          </cell>
          <cell r="E10122">
            <v>86.34</v>
          </cell>
          <cell r="F10122">
            <v>86.34</v>
          </cell>
        </row>
        <row r="10123">
          <cell r="A10123" t="str">
            <v>424672</v>
          </cell>
          <cell r="B10123" t="str">
            <v>Redução a esquerda, p/ leito para cabos tipo semi pesado (100x19mm), em chapa de aço galvanizado a fogo, ref. DP841, fab. DISPAN ou similar, largura 600mm x 400mm</v>
          </cell>
          <cell r="C10123" t="str">
            <v>ud</v>
          </cell>
          <cell r="D10123">
            <v>0</v>
          </cell>
          <cell r="E10123">
            <v>79.31</v>
          </cell>
          <cell r="F10123">
            <v>79.31</v>
          </cell>
        </row>
        <row r="10124">
          <cell r="A10124" t="str">
            <v>424673</v>
          </cell>
          <cell r="B10124" t="str">
            <v>Redução a esquerda, p/ leito para cabos tipo semi pesado (100x19mm), em chapa de aço galvanizado a fogo, ref. DP841, fab. DISPAN ou similar, largura 500mm x 300mm</v>
          </cell>
          <cell r="C10124" t="str">
            <v>ud</v>
          </cell>
          <cell r="D10124">
            <v>0</v>
          </cell>
          <cell r="E10124">
            <v>61.58</v>
          </cell>
          <cell r="F10124">
            <v>61.58</v>
          </cell>
        </row>
        <row r="10125">
          <cell r="A10125" t="str">
            <v>424674</v>
          </cell>
          <cell r="B10125" t="str">
            <v>Redução a esquerda, p/ leito para cabos tipo semi pesado (100x19mm), em chapa de aço galvanizado a fogo, ref. DP841, fab. DISPAN ou similar, largura 400mm x 200mm</v>
          </cell>
          <cell r="C10125" t="str">
            <v>ud</v>
          </cell>
          <cell r="D10125">
            <v>0</v>
          </cell>
          <cell r="E10125">
            <v>56.18</v>
          </cell>
          <cell r="F10125">
            <v>56.18</v>
          </cell>
        </row>
        <row r="10126">
          <cell r="A10126" t="str">
            <v>424675</v>
          </cell>
          <cell r="B10126" t="str">
            <v>Redução a esquerda, p/ leito para cabos tipo pesado (100x19mm), em chapa de aço galvanizado a fogo, ref. DP841, fab. DISPAN ou similar, largura 800mm x 600mm</v>
          </cell>
          <cell r="C10126" t="str">
            <v>ud</v>
          </cell>
          <cell r="D10126">
            <v>0</v>
          </cell>
          <cell r="E10126">
            <v>95.6</v>
          </cell>
          <cell r="F10126">
            <v>95.6</v>
          </cell>
        </row>
        <row r="10127">
          <cell r="A10127" t="str">
            <v>424676</v>
          </cell>
          <cell r="B10127" t="str">
            <v>Redução a esquerda, p/ leito para cabos tipo pesado (100x19mm), em chapa de aço galvanizado a fogo, ref. DP841, fab. DISPAN ou similar, largura 700mm x 500mm</v>
          </cell>
          <cell r="C10127" t="str">
            <v>ud</v>
          </cell>
          <cell r="D10127">
            <v>0</v>
          </cell>
          <cell r="E10127">
            <v>87.61</v>
          </cell>
          <cell r="F10127">
            <v>87.61</v>
          </cell>
        </row>
        <row r="10128">
          <cell r="A10128" t="str">
            <v>424677</v>
          </cell>
          <cell r="B10128" t="str">
            <v>Redução a esquerda, p/ leito para cabos tipo pesado (100x19mm), em chapa de aço galvanizado a fogo, ref. DP841, fab. DISPAN ou similar, largura 600mm x 400mm</v>
          </cell>
          <cell r="C10128" t="str">
            <v>ud</v>
          </cell>
          <cell r="D10128">
            <v>0</v>
          </cell>
          <cell r="E10128">
            <v>79.760000000000005</v>
          </cell>
          <cell r="F10128">
            <v>79.760000000000005</v>
          </cell>
        </row>
        <row r="10129">
          <cell r="A10129" t="str">
            <v>424678</v>
          </cell>
          <cell r="B10129" t="str">
            <v>Redução a esquerda, p/ leito para cabos tipo pesado (100x19mm), em chapa de aço galvanizado a fogo, ref. DP841, fab. DISPAN ou similar, largura 500mm x 300mm</v>
          </cell>
          <cell r="C10129" t="str">
            <v>ud</v>
          </cell>
          <cell r="D10129">
            <v>0</v>
          </cell>
          <cell r="E10129">
            <v>72.13</v>
          </cell>
          <cell r="F10129">
            <v>72.13</v>
          </cell>
        </row>
        <row r="10130">
          <cell r="A10130" t="str">
            <v>424679</v>
          </cell>
          <cell r="B10130" t="str">
            <v>Redução a esquerda, p/ leito para cabos tipo pesado (100x19mm), em chapa de aço galvanizado a fogo, ref. DP841, fab. DISPAN ou similar, largura 400mm x 200mm</v>
          </cell>
          <cell r="C10130" t="str">
            <v>ud</v>
          </cell>
          <cell r="D10130">
            <v>0</v>
          </cell>
          <cell r="E10130">
            <v>64.8</v>
          </cell>
          <cell r="F10130">
            <v>64.8</v>
          </cell>
        </row>
        <row r="10131">
          <cell r="A10131" t="str">
            <v>424680</v>
          </cell>
          <cell r="B10131" t="str">
            <v>Tampa de encaixe para leito, em chapa de aço galvanizado a fogo (chapa 18), comprimento 3.000mm, ref. DP853, fab. DISPAN ou similar, largura 200mm</v>
          </cell>
          <cell r="C10131" t="str">
            <v>ud</v>
          </cell>
          <cell r="D10131">
            <v>0</v>
          </cell>
          <cell r="E10131">
            <v>82.57</v>
          </cell>
          <cell r="F10131">
            <v>82.57</v>
          </cell>
        </row>
        <row r="10132">
          <cell r="A10132" t="str">
            <v>424681</v>
          </cell>
          <cell r="B10132" t="str">
            <v>Tampa de encaixe para leito, em chapa de aço galvanizado a fogo (chapa 18), comprimento 3.000mm, ref. DP853, fab. DISPAN ou similar, largura 300mm</v>
          </cell>
          <cell r="C10132" t="str">
            <v>ud</v>
          </cell>
          <cell r="D10132">
            <v>0</v>
          </cell>
          <cell r="E10132">
            <v>110.2</v>
          </cell>
          <cell r="F10132">
            <v>110.2</v>
          </cell>
        </row>
        <row r="10133">
          <cell r="A10133" t="str">
            <v>424682</v>
          </cell>
          <cell r="B10133" t="str">
            <v>Tampa de encaixe para leito, em chapa de aço galvanizado a fogo (chapa 16), comprimento 3.000mm, ref. DP853, fab. DISPAN ou similar, largura 400mm</v>
          </cell>
          <cell r="C10133" t="str">
            <v>ud</v>
          </cell>
          <cell r="D10133">
            <v>0</v>
          </cell>
          <cell r="E10133">
            <v>175.98</v>
          </cell>
          <cell r="F10133">
            <v>175.98</v>
          </cell>
        </row>
        <row r="10134">
          <cell r="A10134" t="str">
            <v>424683</v>
          </cell>
          <cell r="B10134" t="str">
            <v>Tampa de encaixe para leito, em chapa de aço galvanizado a fogo (chapa 16), comprimento 3.000mm, ref. DP853, fab. DISPAN ou similar, largura 500mm</v>
          </cell>
          <cell r="C10134" t="str">
            <v>ud</v>
          </cell>
          <cell r="D10134">
            <v>0</v>
          </cell>
          <cell r="E10134">
            <v>239.46</v>
          </cell>
          <cell r="F10134">
            <v>239.46</v>
          </cell>
        </row>
        <row r="10135">
          <cell r="A10135" t="str">
            <v>424684</v>
          </cell>
          <cell r="B10135" t="str">
            <v>Tampa de encaixe para leito, em chapa de aço galvanizado a fogo (chapa 16), comprimento 3.000mm, ref. DP853, fab. DISPAN ou similar, largura 600mm</v>
          </cell>
          <cell r="C10135" t="str">
            <v>ud</v>
          </cell>
          <cell r="D10135">
            <v>0</v>
          </cell>
          <cell r="E10135">
            <v>281.83999999999997</v>
          </cell>
          <cell r="F10135">
            <v>281.83999999999997</v>
          </cell>
        </row>
        <row r="10136">
          <cell r="A10136" t="str">
            <v>424685</v>
          </cell>
          <cell r="B10136" t="str">
            <v>Tampa de encaixe para leito, em chapa de aço galvanizado a fogo (chapa 16), comprimento 3.000mm, ref. DP853, fab. DISPAN ou similar, largura 700mm</v>
          </cell>
          <cell r="C10136" t="str">
            <v>ud</v>
          </cell>
          <cell r="D10136">
            <v>0</v>
          </cell>
          <cell r="E10136">
            <v>324.22000000000003</v>
          </cell>
          <cell r="F10136">
            <v>324.22000000000003</v>
          </cell>
        </row>
        <row r="10137">
          <cell r="A10137" t="str">
            <v>424686</v>
          </cell>
          <cell r="B10137" t="str">
            <v>Tampa de encaixe para leito, em chapa de aço galvanizado a fogo (chapa 16), comprimento 3.000mm, ref. DP853, fab. DISPAN ou similar, largura 800mm</v>
          </cell>
          <cell r="C10137" t="str">
            <v>ud</v>
          </cell>
          <cell r="D10137">
            <v>0</v>
          </cell>
          <cell r="E10137">
            <v>366.6</v>
          </cell>
          <cell r="F10137">
            <v>366.6</v>
          </cell>
        </row>
        <row r="10138">
          <cell r="A10138" t="str">
            <v>424687</v>
          </cell>
          <cell r="B10138" t="str">
            <v>Presilha para tampa de encaixe, para leito para cabos 60x19mm, em chapa de aço galvanizado a fogo, ref. DP855, fab. DISPAN ou similar</v>
          </cell>
          <cell r="C10138" t="str">
            <v>ud</v>
          </cell>
          <cell r="D10138">
            <v>0</v>
          </cell>
          <cell r="E10138">
            <v>1</v>
          </cell>
          <cell r="F10138">
            <v>1</v>
          </cell>
        </row>
        <row r="10139">
          <cell r="A10139" t="str">
            <v>424688</v>
          </cell>
          <cell r="B10139" t="str">
            <v>Presilha para tampa de encaixe, para leito para cabos 75x19mm, em chapa de aço galvanizado a fogo, ref. DP855, fab. DISPAN ou similar</v>
          </cell>
          <cell r="C10139" t="str">
            <v>ud</v>
          </cell>
          <cell r="D10139">
            <v>0</v>
          </cell>
          <cell r="E10139">
            <v>1.08</v>
          </cell>
          <cell r="F10139">
            <v>1.08</v>
          </cell>
        </row>
        <row r="10140">
          <cell r="A10140" t="str">
            <v>424689</v>
          </cell>
          <cell r="B10140" t="str">
            <v>Presilha para tampa de encaixe, para leito para cabos 100x19mm, em chapa de aço galvanizado a fogo, ref. DP855, fab. DISPAN ou similar</v>
          </cell>
          <cell r="C10140" t="str">
            <v>ud</v>
          </cell>
          <cell r="D10140">
            <v>0</v>
          </cell>
          <cell r="E10140">
            <v>1.25</v>
          </cell>
          <cell r="F10140">
            <v>1.25</v>
          </cell>
        </row>
        <row r="10141">
          <cell r="A10141" t="str">
            <v>424690</v>
          </cell>
          <cell r="B10141" t="str">
            <v>Suporte simples, para leito para cabos 60x19mm, em chapa de aço galvanizado a fogo, ref. DP856, fab. DISPAN ou similar</v>
          </cell>
          <cell r="C10141" t="str">
            <v>ud</v>
          </cell>
          <cell r="D10141">
            <v>0</v>
          </cell>
          <cell r="E10141">
            <v>1.29</v>
          </cell>
          <cell r="F10141">
            <v>1.29</v>
          </cell>
        </row>
        <row r="10142">
          <cell r="A10142" t="str">
            <v>424691</v>
          </cell>
          <cell r="B10142" t="str">
            <v>Suporte simples, para leito para cabos 75x19mm, em chapa de aço galvanizado a fogo, ref. DP856, fab. DISPAN ou similar</v>
          </cell>
          <cell r="C10142" t="str">
            <v>ud</v>
          </cell>
          <cell r="D10142">
            <v>0</v>
          </cell>
          <cell r="E10142">
            <v>1.74</v>
          </cell>
          <cell r="F10142">
            <v>1.74</v>
          </cell>
        </row>
        <row r="10143">
          <cell r="A10143" t="str">
            <v>424692</v>
          </cell>
          <cell r="B10143" t="str">
            <v>Suporte simples, para leito para cabos 100x19mm, em chapa de aço galvanizado a fogo, ref. DP856, fab. DISPAN ou similar</v>
          </cell>
          <cell r="C10143" t="str">
            <v>ud</v>
          </cell>
          <cell r="D10143">
            <v>0</v>
          </cell>
          <cell r="E10143">
            <v>1.67</v>
          </cell>
          <cell r="F10143">
            <v>1.67</v>
          </cell>
        </row>
        <row r="10144">
          <cell r="A10144" t="str">
            <v>424693</v>
          </cell>
          <cell r="B10144" t="str">
            <v>Suporte de suspensão, para leito para cabos 60x19mm, em chapa de aço galvanizado a fogo, ref. DP857, fab. DISPAN ou similar</v>
          </cell>
          <cell r="C10144" t="str">
            <v>ud</v>
          </cell>
          <cell r="D10144">
            <v>0</v>
          </cell>
          <cell r="E10144">
            <v>1.6</v>
          </cell>
          <cell r="F10144">
            <v>1.6</v>
          </cell>
        </row>
        <row r="10145">
          <cell r="A10145" t="str">
            <v>424694</v>
          </cell>
          <cell r="B10145" t="str">
            <v>Suporte de suspensão, para leito para cabos 75x19mm, em chapa de aço galvanizado a fogo, ref. DP857, fab. DISPAN ou similar</v>
          </cell>
          <cell r="C10145" t="str">
            <v>ud</v>
          </cell>
          <cell r="D10145">
            <v>0</v>
          </cell>
          <cell r="E10145">
            <v>1.73</v>
          </cell>
          <cell r="F10145">
            <v>1.73</v>
          </cell>
        </row>
        <row r="10146">
          <cell r="A10146" t="str">
            <v>424695</v>
          </cell>
          <cell r="B10146" t="str">
            <v>Suporte de suspensão, para leito para cabos 100x19mm, em chapa de aço galvanizado a fogo, ref. DP857, fab. DISPAN ou similar</v>
          </cell>
          <cell r="C10146" t="str">
            <v>ud</v>
          </cell>
          <cell r="D10146">
            <v>0</v>
          </cell>
          <cell r="E10146">
            <v>1.99</v>
          </cell>
          <cell r="F10146">
            <v>1.99</v>
          </cell>
        </row>
        <row r="10147">
          <cell r="A10147" t="str">
            <v>424696</v>
          </cell>
          <cell r="B10147" t="str">
            <v>Septo divisor para leito para cabos 60x19mm (A=37mm), em chapa de aço galvanizado a fogo, comprimento 3.000mm, ref. DP854, fab. DISPAN ou similar</v>
          </cell>
          <cell r="C10147" t="str">
            <v>ud</v>
          </cell>
          <cell r="D10147">
            <v>0</v>
          </cell>
          <cell r="E10147">
            <v>26.69</v>
          </cell>
          <cell r="F10147">
            <v>26.69</v>
          </cell>
        </row>
        <row r="10148">
          <cell r="A10148" t="str">
            <v>424697</v>
          </cell>
          <cell r="B10148" t="str">
            <v>Septo divisor para leito para cabos 75x19mm (A=50mm), em chapa de aço galvanizado a fogo, comprimento 3.000mm, ref. DP854, fab. DISPAN ou similar</v>
          </cell>
          <cell r="C10148" t="str">
            <v>ud</v>
          </cell>
          <cell r="D10148">
            <v>0</v>
          </cell>
          <cell r="E10148">
            <v>31.4</v>
          </cell>
          <cell r="F10148">
            <v>31.4</v>
          </cell>
        </row>
        <row r="10149">
          <cell r="A10149" t="str">
            <v>424698</v>
          </cell>
          <cell r="B10149" t="str">
            <v>Septo divisor para leito para cabos 100x19mm (A=72mm), em chapa de aço galvanizado a fogo, comprimento 3.000mm, ref. DP854, fab. DISPAN ou similar</v>
          </cell>
          <cell r="C10149" t="str">
            <v>ud</v>
          </cell>
          <cell r="D10149">
            <v>0</v>
          </cell>
          <cell r="E10149">
            <v>34.33</v>
          </cell>
          <cell r="F10149">
            <v>34.33</v>
          </cell>
        </row>
        <row r="10150">
          <cell r="A10150" t="str">
            <v>424699</v>
          </cell>
          <cell r="B10150" t="str">
            <v>Grapa fixa 3/8", em aço galvanizado a fogo, ref. DP611, fab. DISPAN ou similar</v>
          </cell>
          <cell r="C10150" t="str">
            <v>ud</v>
          </cell>
          <cell r="D10150">
            <v>0</v>
          </cell>
          <cell r="E10150">
            <v>1.75</v>
          </cell>
          <cell r="F10150">
            <v>1.75</v>
          </cell>
        </row>
        <row r="10151">
          <cell r="A10151" t="str">
            <v>4247</v>
          </cell>
          <cell r="B10151" t="str">
            <v>CONEXÕES PARA ELETROCALHAS E LEITOS</v>
          </cell>
          <cell r="C10151">
            <v>0</v>
          </cell>
          <cell r="D10151">
            <v>0</v>
          </cell>
          <cell r="E10151">
            <v>0</v>
          </cell>
          <cell r="F10151">
            <v>0</v>
          </cell>
        </row>
        <row r="10152">
          <cell r="A10152" t="str">
            <v>424701</v>
          </cell>
          <cell r="B10152" t="str">
            <v>Perfilado perfurado, 38x38mm, de aço galvanizado a fogo, chapa 16, comprimento 3.000mm, ref. DP502, fab. DISPAN ou similar</v>
          </cell>
          <cell r="C10152" t="str">
            <v>ud</v>
          </cell>
          <cell r="D10152">
            <v>0</v>
          </cell>
          <cell r="E10152">
            <v>42.21</v>
          </cell>
          <cell r="F10152">
            <v>42.21</v>
          </cell>
        </row>
        <row r="10153">
          <cell r="A10153" t="str">
            <v>424702</v>
          </cell>
          <cell r="B10153" t="str">
            <v>Perfilado perfurado, 38x38mm, de aço galvanizado a fogo, chapa 16, comprimento 6.000mm, ref. DP502, fab. DISPAN ou similar</v>
          </cell>
          <cell r="C10153" t="str">
            <v>ud</v>
          </cell>
          <cell r="D10153">
            <v>0</v>
          </cell>
          <cell r="E10153">
            <v>84.42</v>
          </cell>
          <cell r="F10153">
            <v>84.42</v>
          </cell>
        </row>
        <row r="10154">
          <cell r="A10154" t="str">
            <v>424703</v>
          </cell>
          <cell r="B10154" t="str">
            <v>Perfilado perfurado, 38x38mm, de aço galvanizado a fogo, chapa 18, comprimento 3.000mm, ref. DP502, fab. DISPAN ou similar</v>
          </cell>
          <cell r="C10154" t="str">
            <v>ud</v>
          </cell>
          <cell r="D10154">
            <v>0</v>
          </cell>
          <cell r="E10154">
            <v>31.33</v>
          </cell>
          <cell r="F10154">
            <v>31.33</v>
          </cell>
        </row>
        <row r="10155">
          <cell r="A10155" t="str">
            <v>424704</v>
          </cell>
          <cell r="B10155" t="str">
            <v>Perfilado perfurado, 38x38mm, de aço galvanizado a fogo, chapa 18, comprimento 6.000mm, ref. DP502, fab. DISPAN ou similar</v>
          </cell>
          <cell r="C10155" t="str">
            <v>ud</v>
          </cell>
          <cell r="D10155">
            <v>0</v>
          </cell>
          <cell r="E10155">
            <v>62.65</v>
          </cell>
          <cell r="F10155">
            <v>62.65</v>
          </cell>
        </row>
        <row r="10156">
          <cell r="A10156" t="str">
            <v>424705</v>
          </cell>
          <cell r="B10156" t="str">
            <v>Perfilado perfurado, 38x19mm, de aço galvanizado a fogo, chapa 16, comprimento 3.000mm, ref. DP504, fab. DISPAN ou similar</v>
          </cell>
          <cell r="C10156" t="str">
            <v>ud</v>
          </cell>
          <cell r="D10156">
            <v>0</v>
          </cell>
          <cell r="E10156">
            <v>28.14</v>
          </cell>
          <cell r="F10156">
            <v>28.14</v>
          </cell>
        </row>
        <row r="10157">
          <cell r="A10157" t="str">
            <v>424706</v>
          </cell>
          <cell r="B10157" t="str">
            <v>Perfilado perfurado, 38x19mm, de aço galvanizado a fogo, chapa 16, comprimento 6.000mm, ref. DP504, fab. DISPAN ou similar</v>
          </cell>
          <cell r="C10157" t="str">
            <v>ud</v>
          </cell>
          <cell r="D10157">
            <v>0</v>
          </cell>
          <cell r="E10157">
            <v>56.28</v>
          </cell>
          <cell r="F10157">
            <v>56.28</v>
          </cell>
        </row>
        <row r="10158">
          <cell r="A10158" t="str">
            <v>424707</v>
          </cell>
          <cell r="B10158" t="str">
            <v>Perfilado perfurado, 38x19mm, de aço galvanizado a fogo, chapa 18, comprimento 3.000mm, ref. DP504, fab. DISPAN ou similar</v>
          </cell>
          <cell r="C10158" t="str">
            <v>ud</v>
          </cell>
          <cell r="D10158">
            <v>0</v>
          </cell>
          <cell r="E10158">
            <v>27.35</v>
          </cell>
          <cell r="F10158">
            <v>27.35</v>
          </cell>
        </row>
        <row r="10159">
          <cell r="A10159" t="str">
            <v>424708</v>
          </cell>
          <cell r="B10159" t="str">
            <v>Perfilado perfurado, 38x19mm, de aço galvanizado a fogo, chapa 18, comprimento 6.000mm, ref. DP504, fab. DISPAN ou similar</v>
          </cell>
          <cell r="C10159" t="str">
            <v>ud</v>
          </cell>
          <cell r="D10159">
            <v>0</v>
          </cell>
          <cell r="E10159">
            <v>54.7</v>
          </cell>
          <cell r="F10159">
            <v>54.7</v>
          </cell>
        </row>
        <row r="10160">
          <cell r="A10160" t="str">
            <v>424709</v>
          </cell>
          <cell r="B10160" t="str">
            <v xml:space="preserve">Perfilado perfurado, 76x38mm, de aço galvanizado a fogo, chapa 16, comprimento 3.000mm, ref. DP-507, fab. DISPAN ou similar </v>
          </cell>
          <cell r="C10160" t="str">
            <v>ud</v>
          </cell>
          <cell r="D10160">
            <v>0</v>
          </cell>
          <cell r="E10160">
            <v>64.27</v>
          </cell>
          <cell r="F10160">
            <v>64.27</v>
          </cell>
        </row>
        <row r="10161">
          <cell r="A10161" t="str">
            <v>424710</v>
          </cell>
          <cell r="B10161" t="str">
            <v xml:space="preserve">Perfilado perfurado, 76x38mm, de aço galvanizado a fogo, chapa 18, comprimento 3.000mm, ref. DP-507, fab. DISPAN ou similar </v>
          </cell>
          <cell r="C10161" t="str">
            <v>ud</v>
          </cell>
          <cell r="D10161">
            <v>0</v>
          </cell>
          <cell r="E10161">
            <v>43.56</v>
          </cell>
          <cell r="F10161">
            <v>43.56</v>
          </cell>
        </row>
        <row r="10162">
          <cell r="A10162" t="str">
            <v>424711</v>
          </cell>
          <cell r="B10162" t="str">
            <v>Tampa de encaixe para perfilado largura 38mm, em aço galvanizado a fogo, comprimento 3.000mm, ref. DP512, fab. DISPAN ou similar</v>
          </cell>
          <cell r="C10162" t="str">
            <v>ud</v>
          </cell>
          <cell r="D10162">
            <v>0</v>
          </cell>
          <cell r="E10162">
            <v>14.95</v>
          </cell>
          <cell r="F10162">
            <v>14.95</v>
          </cell>
        </row>
        <row r="10163">
          <cell r="A10163" t="str">
            <v>424712</v>
          </cell>
          <cell r="B10163" t="str">
            <v>Tampa de encaixe para perfilado largura 76mm, em aço galvanizado a fogo, comprimento 3.000mm, ref. DP514, fab. DISPAN ou similar</v>
          </cell>
          <cell r="C10163" t="str">
            <v>ud</v>
          </cell>
          <cell r="D10163">
            <v>0</v>
          </cell>
          <cell r="E10163">
            <v>24.92</v>
          </cell>
          <cell r="F10163">
            <v>24.92</v>
          </cell>
        </row>
        <row r="10164">
          <cell r="A10164" t="str">
            <v>424713</v>
          </cell>
          <cell r="B10164" t="str">
            <v>Redução concêntrica lisa, de aço galvanizado a fogo,  ref. DP-730, com tampa fab. DISPAN ou similar, dimensões 150x50mm x 100x50mm</v>
          </cell>
          <cell r="C10164" t="str">
            <v>ud</v>
          </cell>
          <cell r="D10164">
            <v>0</v>
          </cell>
          <cell r="E10164">
            <v>35.28</v>
          </cell>
          <cell r="F10164">
            <v>35.28</v>
          </cell>
        </row>
        <row r="10165">
          <cell r="A10165" t="str">
            <v>424714</v>
          </cell>
          <cell r="B10165" t="str">
            <v>Redução concêntrica lisa, de aço galvanizado a fogo,  ref. DP-730, com tampa fab. DISPAN ou similar, dimensões 200x50mm x 150x50mm</v>
          </cell>
          <cell r="C10165" t="str">
            <v>ud</v>
          </cell>
          <cell r="D10165">
            <v>0</v>
          </cell>
          <cell r="E10165">
            <v>43.49</v>
          </cell>
          <cell r="F10165">
            <v>43.49</v>
          </cell>
        </row>
        <row r="10166">
          <cell r="A10166" t="str">
            <v>424715</v>
          </cell>
          <cell r="B10166" t="str">
            <v>Redução concêntrica lisa, de aço galvanizado a fogo,  ref. DP-730, com tampa fab. DISPAN ou similar, dimensões 200x50mm x 100x50mm</v>
          </cell>
          <cell r="C10166" t="str">
            <v>ud</v>
          </cell>
          <cell r="D10166">
            <v>0</v>
          </cell>
          <cell r="E10166">
            <v>43.49</v>
          </cell>
          <cell r="F10166">
            <v>43.49</v>
          </cell>
        </row>
        <row r="10167">
          <cell r="A10167" t="str">
            <v>424716</v>
          </cell>
          <cell r="B10167" t="str">
            <v>Redução concêntrica lisa, de aço galvanizado a fogo,  ref. DP-730, com tampa fab. DISPAN ou similar, dimensões 300x50mm x 100x50mm</v>
          </cell>
          <cell r="C10167" t="str">
            <v>ud</v>
          </cell>
          <cell r="D10167">
            <v>0</v>
          </cell>
          <cell r="E10167">
            <v>49.43</v>
          </cell>
          <cell r="F10167">
            <v>49.43</v>
          </cell>
        </row>
        <row r="10168">
          <cell r="A10168" t="str">
            <v>424717</v>
          </cell>
          <cell r="B10168" t="str">
            <v>Redução concêntrica lisa, de aço galvanizado a fogo,  ref. DP-730, com tampa fab. DISPAN ou similar, dimensões 300x50mm x 150x50mm</v>
          </cell>
          <cell r="C10168" t="str">
            <v>ud</v>
          </cell>
          <cell r="D10168">
            <v>0</v>
          </cell>
          <cell r="E10168">
            <v>49.43</v>
          </cell>
          <cell r="F10168">
            <v>49.43</v>
          </cell>
        </row>
        <row r="10169">
          <cell r="A10169" t="str">
            <v>424718</v>
          </cell>
          <cell r="B10169" t="str">
            <v>Redução concêntrica lisa, de aço galvanizado a fogo,  ref. DP-730, com tampa fab. DISPAN ou similar, dimensões 300x50mm x 200x50mm</v>
          </cell>
          <cell r="C10169" t="str">
            <v>ud</v>
          </cell>
          <cell r="D10169">
            <v>0</v>
          </cell>
          <cell r="E10169">
            <v>49.43</v>
          </cell>
          <cell r="F10169">
            <v>49.43</v>
          </cell>
        </row>
        <row r="10170">
          <cell r="A10170" t="str">
            <v>424719</v>
          </cell>
          <cell r="B10170" t="str">
            <v>Redução concêntrica lisa, de aço galvanizado a fogo,  ref. DP-730, com tampa fab. DISPAN ou similar, dimensões 150x75mm x 100x75mm</v>
          </cell>
          <cell r="C10170" t="str">
            <v>ud</v>
          </cell>
          <cell r="D10170">
            <v>0</v>
          </cell>
          <cell r="E10170">
            <v>25.74</v>
          </cell>
          <cell r="F10170">
            <v>25.74</v>
          </cell>
        </row>
        <row r="10171">
          <cell r="A10171" t="str">
            <v>424720</v>
          </cell>
          <cell r="B10171" t="str">
            <v>Redução concêntrica lisa, de aço galvanizado a fogo,  ref. DP-730, com tampa fab. DISPAN ou similar, dimensões 200x75mm x 150x75mm</v>
          </cell>
          <cell r="C10171" t="str">
            <v>ud</v>
          </cell>
          <cell r="D10171">
            <v>0</v>
          </cell>
          <cell r="E10171">
            <v>43.61</v>
          </cell>
          <cell r="F10171">
            <v>43.61</v>
          </cell>
        </row>
        <row r="10172">
          <cell r="A10172" t="str">
            <v>424721</v>
          </cell>
          <cell r="B10172" t="str">
            <v>Redução concêntrica lisa, de aço galvanizado a fogo,  ref. DP-730, com tampa fab. DISPAN ou similar, dimensões 200x75mm x 100x75mm</v>
          </cell>
          <cell r="C10172" t="str">
            <v>ud</v>
          </cell>
          <cell r="D10172">
            <v>0</v>
          </cell>
          <cell r="E10172">
            <v>26.21</v>
          </cell>
          <cell r="F10172">
            <v>26.21</v>
          </cell>
        </row>
        <row r="10173">
          <cell r="A10173" t="str">
            <v>424722</v>
          </cell>
          <cell r="B10173" t="str">
            <v>Redução concêntrica lisa, de aço galvanizado a fogo,  ref. DP-730, com tampa fab. DISPAN ou similar, dimensões 300x75mm x 100x75mm</v>
          </cell>
          <cell r="C10173" t="str">
            <v>ud</v>
          </cell>
          <cell r="D10173">
            <v>0</v>
          </cell>
          <cell r="E10173">
            <v>36.6</v>
          </cell>
          <cell r="F10173">
            <v>36.6</v>
          </cell>
        </row>
        <row r="10174">
          <cell r="A10174" t="str">
            <v>424723</v>
          </cell>
          <cell r="B10174" t="str">
            <v>Redução concêntrica lisa, de aço galvanizado a fogo,  ref. DP-730, com tampa fab. DISPAN ou similar, dimensões 300x75mm x 150x50mm</v>
          </cell>
          <cell r="C10174" t="str">
            <v>ud</v>
          </cell>
          <cell r="D10174">
            <v>0</v>
          </cell>
          <cell r="E10174">
            <v>45</v>
          </cell>
          <cell r="F10174">
            <v>45</v>
          </cell>
        </row>
        <row r="10175">
          <cell r="A10175" t="str">
            <v>424724</v>
          </cell>
          <cell r="B10175" t="str">
            <v>Redução concêntrica lisa, de aço galvanizado a fogo,  ref. DP-730, com tampa fab. DISPAN ou similar, dimensões 300x75mm x 200x75mm</v>
          </cell>
          <cell r="C10175" t="str">
            <v>ud</v>
          </cell>
          <cell r="D10175">
            <v>0</v>
          </cell>
          <cell r="E10175">
            <v>45</v>
          </cell>
          <cell r="F10175">
            <v>45</v>
          </cell>
        </row>
        <row r="10176">
          <cell r="A10176" t="str">
            <v>424725</v>
          </cell>
          <cell r="B10176" t="str">
            <v>Redução concêntrica lisa, de aço galvanizado a fogo,  ref. DP-730, com tampa fab. DISPAN ou similar, dimensões 150x100mm x 100x100mm</v>
          </cell>
          <cell r="C10176" t="str">
            <v>ud</v>
          </cell>
          <cell r="D10176">
            <v>0</v>
          </cell>
          <cell r="E10176">
            <v>25.71</v>
          </cell>
          <cell r="F10176">
            <v>25.71</v>
          </cell>
        </row>
        <row r="10177">
          <cell r="A10177" t="str">
            <v>424726</v>
          </cell>
          <cell r="B10177" t="str">
            <v>Redução concêntrica lisa, de aço galvanizado a fogo,  ref. DP-730, com tampa fab. DISPAN ou similar, dimensões 200x100mm x 150x100mm</v>
          </cell>
          <cell r="C10177" t="str">
            <v>ud</v>
          </cell>
          <cell r="D10177">
            <v>0</v>
          </cell>
          <cell r="E10177">
            <v>31.04</v>
          </cell>
          <cell r="F10177">
            <v>31.04</v>
          </cell>
        </row>
        <row r="10178">
          <cell r="A10178" t="str">
            <v>424727</v>
          </cell>
          <cell r="B10178" t="str">
            <v>Redução concêntrica lisa, de aço galvanizado a fogo,  ref. DP-730, com tampa fab. DISPAN ou similar, dimensões 200x100mm x 100x100mm</v>
          </cell>
          <cell r="C10178" t="str">
            <v>ud</v>
          </cell>
          <cell r="D10178">
            <v>0</v>
          </cell>
          <cell r="E10178">
            <v>31.04</v>
          </cell>
          <cell r="F10178">
            <v>31.04</v>
          </cell>
        </row>
        <row r="10179">
          <cell r="A10179" t="str">
            <v>424728</v>
          </cell>
          <cell r="B10179" t="str">
            <v>Redução concêntrica lisa, de aço galvanizado a fogo,  ref. DP-730, com tampa fab. DISPAN ou similar, dimensões 300x100mm x 100x100mm</v>
          </cell>
          <cell r="C10179" t="str">
            <v>ud</v>
          </cell>
          <cell r="D10179">
            <v>0</v>
          </cell>
          <cell r="E10179">
            <v>48.79</v>
          </cell>
          <cell r="F10179">
            <v>48.79</v>
          </cell>
        </row>
        <row r="10180">
          <cell r="A10180" t="str">
            <v>424729</v>
          </cell>
          <cell r="B10180" t="str">
            <v>Redução concêntrica lisa, de aço galvanizado a fogo,  ref. DP-730, com tampa fab. DISPAN ou similar, dimensões 300x100mm x 150x100mm</v>
          </cell>
          <cell r="C10180" t="str">
            <v>ud</v>
          </cell>
          <cell r="D10180">
            <v>0</v>
          </cell>
          <cell r="E10180">
            <v>48.79</v>
          </cell>
          <cell r="F10180">
            <v>48.79</v>
          </cell>
        </row>
        <row r="10181">
          <cell r="A10181" t="str">
            <v>424730</v>
          </cell>
          <cell r="B10181" t="str">
            <v>Redução concêntrica lisa, de aço galvanizado a fogo,  ref. DP-730, com tampa fab. DISPAN ou similar, dimensões 300x100mm x 200x100mm</v>
          </cell>
          <cell r="C10181" t="str">
            <v>ud</v>
          </cell>
          <cell r="D10181">
            <v>0</v>
          </cell>
          <cell r="E10181">
            <v>48.79</v>
          </cell>
          <cell r="F10181">
            <v>48.79</v>
          </cell>
        </row>
        <row r="10182">
          <cell r="A10182" t="str">
            <v>424731</v>
          </cell>
          <cell r="B10182" t="str">
            <v>Redução concêntrica lisa, de aço galvanizado a fogo,  ref. DP-730, com tampa fab. DISPAN ou similar, dimensões 400x100mm x 200x100mm</v>
          </cell>
          <cell r="C10182" t="str">
            <v>ud</v>
          </cell>
          <cell r="D10182">
            <v>0</v>
          </cell>
          <cell r="E10182">
            <v>61.53</v>
          </cell>
          <cell r="F10182">
            <v>61.53</v>
          </cell>
        </row>
        <row r="10183">
          <cell r="A10183" t="str">
            <v>424732</v>
          </cell>
          <cell r="B10183" t="str">
            <v>Redução concêntrica lisa, de aço galvanizado a fogo,  ref. DP-730, com tampa fab. DISPAN ou similar, dimensões 400x100mm x 300x100mm</v>
          </cell>
          <cell r="C10183" t="str">
            <v>ud</v>
          </cell>
          <cell r="D10183">
            <v>0</v>
          </cell>
          <cell r="E10183">
            <v>61.49</v>
          </cell>
          <cell r="F10183">
            <v>61.49</v>
          </cell>
        </row>
        <row r="10184">
          <cell r="A10184" t="str">
            <v>424733</v>
          </cell>
          <cell r="B10184" t="str">
            <v>Redução concêntrica lisa, de aço galvanizado a fogo,  ref. DP-730, com tampa fab. DISPAN ou similar, dimensões 500x100mm x 200x100mm</v>
          </cell>
          <cell r="C10184" t="str">
            <v>ud</v>
          </cell>
          <cell r="D10184">
            <v>0</v>
          </cell>
          <cell r="E10184">
            <v>74.27</v>
          </cell>
          <cell r="F10184">
            <v>74.27</v>
          </cell>
        </row>
        <row r="10185">
          <cell r="A10185" t="str">
            <v>424734</v>
          </cell>
          <cell r="B10185" t="str">
            <v>Redução concêntrica lisa, de aço galvanizado a fogo,  ref. DP-730, com tampa fab. DISPAN ou similar, dimensões 500x100mm x 300x100mm</v>
          </cell>
          <cell r="C10185" t="str">
            <v>ud</v>
          </cell>
          <cell r="D10185">
            <v>0</v>
          </cell>
          <cell r="E10185">
            <v>74.27</v>
          </cell>
          <cell r="F10185">
            <v>74.27</v>
          </cell>
        </row>
        <row r="10186">
          <cell r="A10186" t="str">
            <v>424735</v>
          </cell>
          <cell r="B10186" t="str">
            <v>Redução concêntrica lisa, de aço galvanizado a fogo,  ref. DP-730, com tampa fab. DISPAN ou similar, dimensões 500x100mm x 400x100mm</v>
          </cell>
          <cell r="C10186" t="str">
            <v>ud</v>
          </cell>
          <cell r="D10186">
            <v>0</v>
          </cell>
          <cell r="E10186">
            <v>74.27</v>
          </cell>
          <cell r="F10186">
            <v>74.27</v>
          </cell>
        </row>
        <row r="10187">
          <cell r="A10187" t="str">
            <v>424736</v>
          </cell>
          <cell r="B10187" t="str">
            <v>Redução a direita lisa, de aço galvanizado a fogo,  ref. DP-731, com tampa fab. DISPAN ou similar, dimensões 150x50mm x 100x50mm</v>
          </cell>
          <cell r="C10187" t="str">
            <v>ud</v>
          </cell>
          <cell r="D10187">
            <v>0</v>
          </cell>
          <cell r="E10187">
            <v>20.61</v>
          </cell>
          <cell r="F10187">
            <v>20.61</v>
          </cell>
        </row>
        <row r="10188">
          <cell r="A10188" t="str">
            <v>424737</v>
          </cell>
          <cell r="B10188" t="str">
            <v>Redução a direita lisa, de aço galvanizado a fogo,  ref. DP-731, com tampa fab. DISPAN ou similar, dimensões 200x50mm x 150x50mm</v>
          </cell>
          <cell r="C10188" t="str">
            <v>ud</v>
          </cell>
          <cell r="D10188">
            <v>0</v>
          </cell>
          <cell r="E10188">
            <v>25.64</v>
          </cell>
          <cell r="F10188">
            <v>25.64</v>
          </cell>
        </row>
        <row r="10189">
          <cell r="A10189" t="str">
            <v>424738</v>
          </cell>
          <cell r="B10189" t="str">
            <v>Redução a direita lisa, de aço galvanizado a fogo,  ref. DP-731, com tampa fab. DISPAN ou similar, dimensões 200x50mm x 100x50mm</v>
          </cell>
          <cell r="C10189" t="str">
            <v>ud</v>
          </cell>
          <cell r="D10189">
            <v>0</v>
          </cell>
          <cell r="E10189">
            <v>25.6</v>
          </cell>
          <cell r="F10189">
            <v>25.6</v>
          </cell>
        </row>
        <row r="10190">
          <cell r="A10190" t="str">
            <v>424739</v>
          </cell>
          <cell r="B10190" t="str">
            <v>Redução a direita lisa, de aço galvanizado a fogo,  ref. DP-731, com tampa fab. DISPAN ou similar, dimensões 300x50mm x 100x50mm</v>
          </cell>
          <cell r="C10190" t="str">
            <v>ud</v>
          </cell>
          <cell r="D10190">
            <v>0</v>
          </cell>
          <cell r="E10190">
            <v>42.49</v>
          </cell>
          <cell r="F10190">
            <v>42.49</v>
          </cell>
        </row>
        <row r="10191">
          <cell r="A10191" t="str">
            <v>424740</v>
          </cell>
          <cell r="B10191" t="str">
            <v>Redução a direita lisa, de aço galvanizado a fogo,  ref. DP-731, com tampa fab. DISPAN ou similar, dimensões 300x50mm x 150x50mm</v>
          </cell>
          <cell r="C10191" t="str">
            <v>ud</v>
          </cell>
          <cell r="D10191">
            <v>0</v>
          </cell>
          <cell r="E10191">
            <v>42.49</v>
          </cell>
          <cell r="F10191">
            <v>42.49</v>
          </cell>
        </row>
        <row r="10192">
          <cell r="A10192" t="str">
            <v>424741</v>
          </cell>
          <cell r="B10192" t="str">
            <v>Redução a direita lisa, de aço galvanizado a fogo,  ref. DP-731, com tampa fab. DISPAN ou similar, dimensões 300x50mm x 200x50mm</v>
          </cell>
          <cell r="C10192" t="str">
            <v>ud</v>
          </cell>
          <cell r="D10192">
            <v>0</v>
          </cell>
          <cell r="E10192">
            <v>42.49</v>
          </cell>
          <cell r="F10192">
            <v>42.49</v>
          </cell>
        </row>
        <row r="10193">
          <cell r="A10193" t="str">
            <v>424742</v>
          </cell>
          <cell r="B10193" t="str">
            <v>Redução a direita lisa, de aço galvanizado a fogo,  ref. DP-731, com tampa fab. DISPAN ou similar, dimensões 150x75mm x 100x75mm</v>
          </cell>
          <cell r="C10193" t="str">
            <v>ud</v>
          </cell>
          <cell r="D10193">
            <v>0</v>
          </cell>
          <cell r="E10193">
            <v>23.15</v>
          </cell>
          <cell r="F10193">
            <v>23.15</v>
          </cell>
        </row>
        <row r="10194">
          <cell r="A10194" t="str">
            <v>424743</v>
          </cell>
          <cell r="B10194" t="str">
            <v>Redução a direita lisa, de aço galvanizado a fogo,  ref. DP-731, com tampa fab. DISPAN ou similar, dimensões 200x75mm x 150x75mm</v>
          </cell>
          <cell r="C10194" t="str">
            <v>ud</v>
          </cell>
          <cell r="D10194">
            <v>0</v>
          </cell>
          <cell r="E10194">
            <v>27.95</v>
          </cell>
          <cell r="F10194">
            <v>27.95</v>
          </cell>
        </row>
        <row r="10195">
          <cell r="A10195" t="str">
            <v>424744</v>
          </cell>
          <cell r="B10195" t="str">
            <v>Redução a direita lisa, de aço galvanizado a fogo,  ref. DP-731, com tampa fab. DISPAN ou similar, dimensões 200x75mm x 100x75mm</v>
          </cell>
          <cell r="C10195" t="str">
            <v>ud</v>
          </cell>
          <cell r="D10195">
            <v>0</v>
          </cell>
          <cell r="E10195">
            <v>38.28</v>
          </cell>
          <cell r="F10195">
            <v>38.28</v>
          </cell>
        </row>
        <row r="10196">
          <cell r="A10196" t="str">
            <v>424745</v>
          </cell>
          <cell r="B10196" t="str">
            <v>Redução a direita lisa, de aço galvanizado a fogo,  ref. DP-731, com tampa fab. DISPAN ou similar, dimensões 300x75mm x 100x75mm</v>
          </cell>
          <cell r="C10196" t="str">
            <v>ud</v>
          </cell>
          <cell r="D10196">
            <v>0</v>
          </cell>
          <cell r="E10196">
            <v>53.99</v>
          </cell>
          <cell r="F10196">
            <v>53.99</v>
          </cell>
        </row>
        <row r="10197">
          <cell r="A10197" t="str">
            <v>424746</v>
          </cell>
          <cell r="B10197" t="str">
            <v>Redução a direita lisa, de aço galvanizado a fogo,  ref. DP-731, com tampa fab. DISPAN ou similar, dimensões 300x75mm x 150x50mm</v>
          </cell>
          <cell r="C10197" t="str">
            <v>ud</v>
          </cell>
          <cell r="D10197">
            <v>0</v>
          </cell>
          <cell r="E10197">
            <v>53.99</v>
          </cell>
          <cell r="F10197">
            <v>53.99</v>
          </cell>
        </row>
        <row r="10198">
          <cell r="A10198" t="str">
            <v>424747</v>
          </cell>
          <cell r="B10198" t="str">
            <v>Redução a direita lisa, de aço galvanizado a fogo,  ref. DP-731, com tampa fab. DISPAN ou similar, dimensões 300x75mm x 200x75mm</v>
          </cell>
          <cell r="C10198" t="str">
            <v>ud</v>
          </cell>
          <cell r="D10198">
            <v>0</v>
          </cell>
          <cell r="E10198">
            <v>53.99</v>
          </cell>
          <cell r="F10198">
            <v>53.99</v>
          </cell>
        </row>
        <row r="10199">
          <cell r="A10199" t="str">
            <v>424748</v>
          </cell>
          <cell r="B10199" t="str">
            <v>Redução a direita lisa, de aço galvanizado a fogo,  ref. DP-731, com tampa fab. DISPAN ou similar, dimensões 150x100mm x 100x100mm</v>
          </cell>
          <cell r="C10199" t="str">
            <v>ud</v>
          </cell>
          <cell r="D10199">
            <v>0</v>
          </cell>
          <cell r="E10199">
            <v>28.46</v>
          </cell>
          <cell r="F10199">
            <v>28.46</v>
          </cell>
        </row>
        <row r="10200">
          <cell r="A10200" t="str">
            <v>424749</v>
          </cell>
          <cell r="B10200" t="str">
            <v>Redução a direita lisa, de aço galvanizado a fogo,  ref. DP-731, com tampa fab. DISPAN ou similar, dimensões 200x100mm x 150x100mm</v>
          </cell>
          <cell r="C10200" t="str">
            <v>ud</v>
          </cell>
          <cell r="D10200">
            <v>0</v>
          </cell>
          <cell r="E10200">
            <v>34.340000000000003</v>
          </cell>
          <cell r="F10200">
            <v>34.340000000000003</v>
          </cell>
        </row>
        <row r="10201">
          <cell r="A10201" t="str">
            <v>424750</v>
          </cell>
          <cell r="B10201" t="str">
            <v>Redução a direita lisa, de aço galvanizado a fogo,  ref. DP-731, com tampa fab. DISPAN ou similar, dimensões 200x100mm x 100x100mm</v>
          </cell>
          <cell r="C10201" t="str">
            <v>ud</v>
          </cell>
          <cell r="D10201">
            <v>0</v>
          </cell>
          <cell r="E10201">
            <v>34.31</v>
          </cell>
          <cell r="F10201">
            <v>34.31</v>
          </cell>
        </row>
        <row r="10202">
          <cell r="A10202" t="str">
            <v>424751</v>
          </cell>
          <cell r="B10202" t="str">
            <v>Redução a direita lisa, de aço galvanizado a fogo,  ref. DP-731, com tampa fab. DISPAN ou similar, dimensões 300x100mm x 100x100mm</v>
          </cell>
          <cell r="C10202" t="str">
            <v>ud</v>
          </cell>
          <cell r="D10202">
            <v>0</v>
          </cell>
          <cell r="E10202">
            <v>58.57</v>
          </cell>
          <cell r="F10202">
            <v>58.57</v>
          </cell>
        </row>
        <row r="10203">
          <cell r="A10203" t="str">
            <v>424752</v>
          </cell>
          <cell r="B10203" t="str">
            <v>Redução a direita lisa, de aço galvanizado a fogo,  ref. DP-731, com tampa fab. DISPAN ou similar, dimensões 300x100mm x 150x100mm</v>
          </cell>
          <cell r="C10203" t="str">
            <v>ud</v>
          </cell>
          <cell r="D10203">
            <v>0</v>
          </cell>
          <cell r="E10203">
            <v>58.55</v>
          </cell>
          <cell r="F10203">
            <v>58.55</v>
          </cell>
        </row>
        <row r="10204">
          <cell r="A10204" t="str">
            <v>424753</v>
          </cell>
          <cell r="B10204" t="str">
            <v>Redução a direita lisa, de aço galvanizado a fogo,  ref. DP-731, com tampa fab. DISPAN ou similar, dimensões 300x100mm x 200x100mm</v>
          </cell>
          <cell r="C10204" t="str">
            <v>ud</v>
          </cell>
          <cell r="D10204">
            <v>0</v>
          </cell>
          <cell r="E10204">
            <v>58.54</v>
          </cell>
          <cell r="F10204">
            <v>58.54</v>
          </cell>
        </row>
        <row r="10205">
          <cell r="A10205" t="str">
            <v>424754</v>
          </cell>
          <cell r="B10205" t="str">
            <v>Redução a direita lisa, de aço galvanizado a fogo,  ref. DP-731, com tampa fab. DISPAN ou similar, dimensões 400x100mm x 200x100mm</v>
          </cell>
          <cell r="C10205" t="str">
            <v>ud</v>
          </cell>
          <cell r="D10205">
            <v>0</v>
          </cell>
          <cell r="E10205">
            <v>73.78</v>
          </cell>
          <cell r="F10205">
            <v>73.78</v>
          </cell>
        </row>
        <row r="10206">
          <cell r="A10206" t="str">
            <v>424755</v>
          </cell>
          <cell r="B10206" t="str">
            <v>Redução a direita lisa, de aço galvanizado a fogo,  ref. DP-731, com tampa fab. DISPAN ou similar, dimensões 400x100mm x 300x100mm</v>
          </cell>
          <cell r="C10206" t="str">
            <v>ud</v>
          </cell>
          <cell r="D10206">
            <v>0</v>
          </cell>
          <cell r="E10206">
            <v>73.78</v>
          </cell>
          <cell r="F10206">
            <v>73.78</v>
          </cell>
        </row>
        <row r="10207">
          <cell r="A10207" t="str">
            <v>424756</v>
          </cell>
          <cell r="B10207" t="str">
            <v>Redução a direita lisa, de aço galvanizado a fogo,  ref. DP-731, com tampa fab. DISPAN ou similar, dimensões 500x100mm x 200x100mm</v>
          </cell>
          <cell r="C10207" t="str">
            <v>ud</v>
          </cell>
          <cell r="D10207">
            <v>0</v>
          </cell>
          <cell r="E10207">
            <v>89.11</v>
          </cell>
          <cell r="F10207">
            <v>89.11</v>
          </cell>
        </row>
        <row r="10208">
          <cell r="A10208" t="str">
            <v>424757</v>
          </cell>
          <cell r="B10208" t="str">
            <v>Redução a direita lisa, de aço galvanizado a fogo,  ref. DP-731, com tampa fab. DISPAN ou similar, dimensões 500x100mm x 300x100mm</v>
          </cell>
          <cell r="C10208" t="str">
            <v>ud</v>
          </cell>
          <cell r="D10208">
            <v>0</v>
          </cell>
          <cell r="E10208">
            <v>89.11</v>
          </cell>
          <cell r="F10208">
            <v>89.11</v>
          </cell>
        </row>
        <row r="10209">
          <cell r="A10209" t="str">
            <v>424758</v>
          </cell>
          <cell r="B10209" t="str">
            <v>Redução a direita lisa, de aço galvanizado a fogo,  ref. DP-731, com tampa fab. DISPAN ou similar, dimensões 500x100mm x 400x100mm</v>
          </cell>
          <cell r="C10209" t="str">
            <v>ud</v>
          </cell>
          <cell r="D10209">
            <v>0</v>
          </cell>
          <cell r="E10209">
            <v>89.11</v>
          </cell>
          <cell r="F10209">
            <v>89.11</v>
          </cell>
        </row>
        <row r="10210">
          <cell r="A10210" t="str">
            <v>424759</v>
          </cell>
          <cell r="B10210" t="str">
            <v>Redução a esquerda lisa, de aço galvanizado a fogo,  ref. DP-732, com tampa fab. DISPAN ou similar, dimensões 150x50mm x 100x50mm</v>
          </cell>
          <cell r="C10210" t="str">
            <v>ud</v>
          </cell>
          <cell r="D10210">
            <v>0</v>
          </cell>
          <cell r="E10210">
            <v>24.73</v>
          </cell>
          <cell r="F10210">
            <v>24.73</v>
          </cell>
        </row>
        <row r="10211">
          <cell r="A10211" t="str">
            <v>424760</v>
          </cell>
          <cell r="B10211" t="str">
            <v>Redução a esquerda lisa, de aço galvanizado a fogo,  ref. DP-732, com tampa fab. DISPAN ou similar, dimensões 200x50mm x 150x50mm</v>
          </cell>
          <cell r="C10211" t="str">
            <v>ud</v>
          </cell>
          <cell r="D10211">
            <v>0</v>
          </cell>
          <cell r="E10211">
            <v>30.77</v>
          </cell>
          <cell r="F10211">
            <v>30.77</v>
          </cell>
        </row>
        <row r="10212">
          <cell r="A10212" t="str">
            <v>424761</v>
          </cell>
          <cell r="B10212" t="str">
            <v>Redução a esquerda lisa, de aço galvanizado a fogo,  ref. DP-732, com tampa fab. DISPAN ou similar, dimensões 200x50mm x 100x50mm</v>
          </cell>
          <cell r="C10212" t="str">
            <v>ud</v>
          </cell>
          <cell r="D10212">
            <v>0</v>
          </cell>
          <cell r="E10212">
            <v>30.77</v>
          </cell>
          <cell r="F10212">
            <v>30.77</v>
          </cell>
        </row>
        <row r="10213">
          <cell r="A10213" t="str">
            <v>424762</v>
          </cell>
          <cell r="B10213" t="str">
            <v>Redução a esquerda lisa, de aço galvanizado a fogo,  ref. DP-732, com tampa fab. DISPAN ou similar, dimensões 300x50mm x 100x50mm</v>
          </cell>
          <cell r="C10213" t="str">
            <v>ud</v>
          </cell>
          <cell r="D10213">
            <v>0</v>
          </cell>
          <cell r="E10213">
            <v>50.99</v>
          </cell>
          <cell r="F10213">
            <v>50.99</v>
          </cell>
        </row>
        <row r="10214">
          <cell r="A10214" t="str">
            <v>424763</v>
          </cell>
          <cell r="B10214" t="str">
            <v>Redução a esquerda lisa, de aço galvanizado a fogo,  ref. DP-732, com tampa fab. DISPAN ou similar, dimensões 300x50mm x 150x50mm</v>
          </cell>
          <cell r="C10214" t="str">
            <v>ud</v>
          </cell>
          <cell r="D10214">
            <v>0</v>
          </cell>
          <cell r="E10214">
            <v>50.99</v>
          </cell>
          <cell r="F10214">
            <v>50.99</v>
          </cell>
        </row>
        <row r="10215">
          <cell r="A10215" t="str">
            <v>424764</v>
          </cell>
          <cell r="B10215" t="str">
            <v>Redução a esquerda lisa, de aço galvanizado a fogo,  ref. DP-732, com tampa fab. DISPAN ou similar, dimensões 300x50mm x 200x50mm</v>
          </cell>
          <cell r="C10215" t="str">
            <v>ud</v>
          </cell>
          <cell r="D10215">
            <v>0</v>
          </cell>
          <cell r="E10215">
            <v>50.99</v>
          </cell>
          <cell r="F10215">
            <v>50.99</v>
          </cell>
        </row>
        <row r="10216">
          <cell r="A10216" t="str">
            <v>424765</v>
          </cell>
          <cell r="B10216" t="str">
            <v>Redução a esquerda lisa, de aço galvanizado a fogo,  ref. DP-732, com tampa fab. DISPAN ou similar, dimensões 150x75mm x 100x75mm</v>
          </cell>
          <cell r="C10216" t="str">
            <v>ud</v>
          </cell>
          <cell r="D10216">
            <v>0</v>
          </cell>
          <cell r="E10216">
            <v>27.78</v>
          </cell>
          <cell r="F10216">
            <v>27.78</v>
          </cell>
        </row>
        <row r="10217">
          <cell r="A10217" t="str">
            <v>424766</v>
          </cell>
          <cell r="B10217" t="str">
            <v>Redução a esquerda lisa, de aço galvanizado a fogo,  ref. DP-732, com tampa fab. DISPAN ou similar, dimensões 200x75mm x 150x75mm</v>
          </cell>
          <cell r="C10217" t="str">
            <v>ud</v>
          </cell>
          <cell r="D10217">
            <v>0</v>
          </cell>
          <cell r="E10217">
            <v>33.99</v>
          </cell>
          <cell r="F10217">
            <v>33.99</v>
          </cell>
        </row>
        <row r="10218">
          <cell r="A10218" t="str">
            <v>424767</v>
          </cell>
          <cell r="B10218" t="str">
            <v>Redução a esquerda lisa, de aço galvanizado a fogo,  ref. DP-732, com tampa fab. DISPAN ou similar, dimensões 200x75mm x 100x75mm</v>
          </cell>
          <cell r="C10218" t="str">
            <v>ud</v>
          </cell>
          <cell r="D10218">
            <v>0</v>
          </cell>
          <cell r="E10218">
            <v>33.99</v>
          </cell>
          <cell r="F10218">
            <v>33.99</v>
          </cell>
        </row>
        <row r="10219">
          <cell r="A10219" t="str">
            <v>424768</v>
          </cell>
          <cell r="B10219" t="str">
            <v>Redução a esquerda lisa, de aço galvanizado a fogo,  ref. DP-732, com tampa fab. DISPAN ou similar, dimensões 300x75mm x 100x75mm</v>
          </cell>
          <cell r="C10219" t="str">
            <v>ud</v>
          </cell>
          <cell r="D10219">
            <v>0</v>
          </cell>
          <cell r="E10219">
            <v>53.96</v>
          </cell>
          <cell r="F10219">
            <v>53.96</v>
          </cell>
        </row>
        <row r="10220">
          <cell r="A10220" t="str">
            <v>424769</v>
          </cell>
          <cell r="B10220" t="str">
            <v>Redução a esquerda lisa, de aço galvanizado a fogo,  ref. DP-732, com tampa fab. DISPAN ou similar, dimensões 300x75mm x 150x50mm</v>
          </cell>
          <cell r="C10220" t="str">
            <v>ud</v>
          </cell>
          <cell r="D10220">
            <v>0</v>
          </cell>
          <cell r="E10220">
            <v>53.96</v>
          </cell>
          <cell r="F10220">
            <v>53.96</v>
          </cell>
        </row>
        <row r="10221">
          <cell r="A10221" t="str">
            <v>424770</v>
          </cell>
          <cell r="B10221" t="str">
            <v>Redução a esquerda lisa, de aço galvanizado a fogo,  ref. DP-732, com tampa fab. DISPAN ou similar, dimensões 300x75mm x 200x75mm</v>
          </cell>
          <cell r="C10221" t="str">
            <v>ud</v>
          </cell>
          <cell r="D10221">
            <v>0</v>
          </cell>
          <cell r="E10221">
            <v>53.96</v>
          </cell>
          <cell r="F10221">
            <v>53.96</v>
          </cell>
        </row>
        <row r="10222">
          <cell r="A10222" t="str">
            <v>424771</v>
          </cell>
          <cell r="B10222" t="str">
            <v>Redução a esquerda lisa, de aço galvanizado a fogo,  ref. DP-732, com tampa fab. DISPAN ou similar, dimensões 150x100mm x 100x100mm</v>
          </cell>
          <cell r="C10222" t="str">
            <v>ud</v>
          </cell>
          <cell r="D10222">
            <v>0</v>
          </cell>
          <cell r="E10222">
            <v>30.83</v>
          </cell>
          <cell r="F10222">
            <v>30.83</v>
          </cell>
        </row>
        <row r="10223">
          <cell r="A10223" t="str">
            <v>424772</v>
          </cell>
          <cell r="B10223" t="str">
            <v>Redução a esquerda lisa, de aço galvanizado a fogo,  ref. DP-732, com tampa fab. DISPAN ou similar, dimensões 200x100mm x 150x100mm</v>
          </cell>
          <cell r="C10223" t="str">
            <v>ud</v>
          </cell>
          <cell r="D10223">
            <v>0</v>
          </cell>
          <cell r="E10223">
            <v>37.22</v>
          </cell>
          <cell r="F10223">
            <v>37.22</v>
          </cell>
        </row>
        <row r="10224">
          <cell r="A10224" t="str">
            <v>424773</v>
          </cell>
          <cell r="B10224" t="str">
            <v>Redução a esquerda lisa, de aço galvanizado a fogo,  ref. DP-732, com tampa fab. DISPAN ou similar, dimensões 200x100mm x 100x100mm</v>
          </cell>
          <cell r="C10224" t="str">
            <v>ud</v>
          </cell>
          <cell r="D10224">
            <v>0</v>
          </cell>
          <cell r="E10224">
            <v>37.22</v>
          </cell>
          <cell r="F10224">
            <v>37.22</v>
          </cell>
        </row>
        <row r="10225">
          <cell r="A10225" t="str">
            <v>424774</v>
          </cell>
          <cell r="B10225" t="str">
            <v>Redução a esquerda lisa, de aço galvanizado a fogo,  ref. DP-732, com tampa fab. DISPAN ou similar, dimensões 300x100mm x 100x100mm</v>
          </cell>
          <cell r="C10225" t="str">
            <v>ud</v>
          </cell>
          <cell r="D10225">
            <v>0</v>
          </cell>
          <cell r="E10225">
            <v>58.51</v>
          </cell>
          <cell r="F10225">
            <v>58.51</v>
          </cell>
        </row>
        <row r="10226">
          <cell r="A10226" t="str">
            <v>424775</v>
          </cell>
          <cell r="B10226" t="str">
            <v>Redução a esquerda lisa, de aço galvanizado a fogo,  ref. DP-732, com tampa fab. DISPAN ou similar, dimensões 300x100mm x 150x100mm</v>
          </cell>
          <cell r="C10226" t="str">
            <v>ud</v>
          </cell>
          <cell r="D10226">
            <v>0</v>
          </cell>
          <cell r="E10226">
            <v>58.51</v>
          </cell>
          <cell r="F10226">
            <v>58.51</v>
          </cell>
        </row>
        <row r="10227">
          <cell r="A10227" t="str">
            <v>424776</v>
          </cell>
          <cell r="B10227" t="str">
            <v>Redução a esquerda lisa, de aço galvanizado a fogo,  ref. DP-732, com tampa fab. DISPAN ou similar, dimensões 300x100mm x 200x100mm</v>
          </cell>
          <cell r="C10227" t="str">
            <v>ud</v>
          </cell>
          <cell r="D10227">
            <v>0</v>
          </cell>
          <cell r="E10227">
            <v>58.51</v>
          </cell>
          <cell r="F10227">
            <v>58.51</v>
          </cell>
        </row>
        <row r="10228">
          <cell r="A10228" t="str">
            <v>424777</v>
          </cell>
          <cell r="B10228" t="str">
            <v>Redução a esquerda lisa, de aço galvanizado a fogo,  ref. DP-732, com tampa fab. DISPAN ou similar, dimensões 400x100mm x 200x100mm</v>
          </cell>
          <cell r="C10228" t="str">
            <v>ud</v>
          </cell>
          <cell r="D10228">
            <v>0</v>
          </cell>
          <cell r="E10228">
            <v>73.75</v>
          </cell>
          <cell r="F10228">
            <v>73.75</v>
          </cell>
        </row>
        <row r="10229">
          <cell r="A10229" t="str">
            <v>424778</v>
          </cell>
          <cell r="B10229" t="str">
            <v>Redução a esquerda lisa, de aço galvanizado a fogo,  ref. DP-732, com tampa fab. DISPAN ou similar, dimensões 400x100mm x 300x100mm</v>
          </cell>
          <cell r="C10229" t="str">
            <v>ud</v>
          </cell>
          <cell r="D10229">
            <v>0</v>
          </cell>
          <cell r="E10229">
            <v>73.75</v>
          </cell>
          <cell r="F10229">
            <v>73.75</v>
          </cell>
        </row>
        <row r="10230">
          <cell r="A10230" t="str">
            <v>424779</v>
          </cell>
          <cell r="B10230" t="str">
            <v>Redução a esquerda lisa, de aço galvanizado a fogo,  ref. DP-732, com tampa fab. DISPAN ou similar, dimensões 500x100mm x 200x100mm</v>
          </cell>
          <cell r="C10230" t="str">
            <v>ud</v>
          </cell>
          <cell r="D10230">
            <v>0</v>
          </cell>
          <cell r="E10230">
            <v>89.05</v>
          </cell>
          <cell r="F10230">
            <v>89.05</v>
          </cell>
        </row>
        <row r="10231">
          <cell r="A10231" t="str">
            <v>424780</v>
          </cell>
          <cell r="B10231" t="str">
            <v>Redução a esquerda lisa, de aço galvanizado a fogo,  ref. DP-732, com tampa fab. DISPAN ou similar, dimensões 500x100mm x 300x100mm</v>
          </cell>
          <cell r="C10231" t="str">
            <v>ud</v>
          </cell>
          <cell r="D10231">
            <v>0</v>
          </cell>
          <cell r="E10231">
            <v>89.05</v>
          </cell>
          <cell r="F10231">
            <v>89.05</v>
          </cell>
        </row>
        <row r="10232">
          <cell r="A10232" t="str">
            <v>424781</v>
          </cell>
          <cell r="B10232" t="str">
            <v>Redução a esquerda lisa, de aço galvanizado a fogo,  ref. DP-732, com tampa fab. DISPAN ou similar, dimensões 500x100mm x 400x100mm</v>
          </cell>
          <cell r="C10232" t="str">
            <v>ud</v>
          </cell>
          <cell r="D10232">
            <v>0</v>
          </cell>
          <cell r="E10232">
            <v>89.05</v>
          </cell>
          <cell r="F10232">
            <v>89.05</v>
          </cell>
        </row>
        <row r="10233">
          <cell r="A10233" t="str">
            <v>424782</v>
          </cell>
          <cell r="B10233" t="str">
            <v>Saída vertical para eletroduto, de aço galvanizado a fogo, fab. DISPAN ou similar, dimensão 3/4"</v>
          </cell>
          <cell r="C10233" t="str">
            <v>ud</v>
          </cell>
          <cell r="D10233">
            <v>0</v>
          </cell>
          <cell r="E10233">
            <v>1.58</v>
          </cell>
          <cell r="F10233">
            <v>1.58</v>
          </cell>
        </row>
        <row r="10234">
          <cell r="A10234" t="str">
            <v>424783</v>
          </cell>
          <cell r="B10234" t="str">
            <v>Saída vertical para eletroduto, de aço galvanizado a fogo, fab. DISPAN ou similar, dimensão 1"</v>
          </cell>
          <cell r="C10234" t="str">
            <v>ud</v>
          </cell>
          <cell r="D10234">
            <v>0</v>
          </cell>
          <cell r="E10234">
            <v>1.58</v>
          </cell>
          <cell r="F10234">
            <v>1.58</v>
          </cell>
        </row>
        <row r="10235">
          <cell r="A10235" t="str">
            <v>424784</v>
          </cell>
          <cell r="B10235" t="str">
            <v>Saída vertical para eletroduto, de aço galvanizado a fogo, fab. DISPAN ou similar, dimensão 1.1/4"</v>
          </cell>
          <cell r="C10235" t="str">
            <v>ud</v>
          </cell>
          <cell r="D10235">
            <v>0</v>
          </cell>
          <cell r="E10235">
            <v>2.63</v>
          </cell>
          <cell r="F10235">
            <v>2.63</v>
          </cell>
        </row>
        <row r="10236">
          <cell r="A10236" t="str">
            <v>424785</v>
          </cell>
          <cell r="B10236" t="str">
            <v>Saída vertical para eletroduto, de aço galvanizado a fogo, fab. DISPAN ou similar, dimensão 1.1/2"</v>
          </cell>
          <cell r="C10236" t="str">
            <v>ud</v>
          </cell>
          <cell r="D10236">
            <v>0</v>
          </cell>
          <cell r="E10236">
            <v>2.63</v>
          </cell>
          <cell r="F10236">
            <v>2.63</v>
          </cell>
        </row>
        <row r="10237">
          <cell r="A10237" t="str">
            <v>424786</v>
          </cell>
          <cell r="B10237" t="str">
            <v>Saída vertical para eletroduto, de aço galvanizado a fogo, fab. DISPAN ou similar, dimensão 2"</v>
          </cell>
          <cell r="C10237" t="str">
            <v>ud</v>
          </cell>
          <cell r="D10237">
            <v>0</v>
          </cell>
          <cell r="E10237">
            <v>2.63</v>
          </cell>
          <cell r="F10237">
            <v>2.63</v>
          </cell>
        </row>
        <row r="10238">
          <cell r="A10238" t="str">
            <v>424787</v>
          </cell>
          <cell r="B10238" t="str">
            <v>Saída vertical para eletroduto, de aço galvanizado a fogo, fab. DISPAN ou similar, dimensão 2.1/2"</v>
          </cell>
          <cell r="C10238" t="str">
            <v>ud</v>
          </cell>
          <cell r="D10238">
            <v>0</v>
          </cell>
          <cell r="E10238">
            <v>2.81</v>
          </cell>
          <cell r="F10238">
            <v>2.81</v>
          </cell>
        </row>
        <row r="10239">
          <cell r="A10239" t="str">
            <v>424788</v>
          </cell>
          <cell r="B10239" t="str">
            <v>Saída vertical para eletroduto, de aço galvanizado a fogo, fab. DISPAN ou similar, dimensão 3"</v>
          </cell>
          <cell r="C10239" t="str">
            <v>ud</v>
          </cell>
          <cell r="D10239">
            <v>0</v>
          </cell>
          <cell r="E10239">
            <v>4.0999999999999996</v>
          </cell>
          <cell r="F10239">
            <v>4.0999999999999996</v>
          </cell>
        </row>
        <row r="10240">
          <cell r="A10240" t="str">
            <v>424789</v>
          </cell>
          <cell r="B10240" t="str">
            <v>Saída vertical para eletroduto, de aço galvanizado a fogo, fab. DISPAN ou similar, dimensão 4"</v>
          </cell>
          <cell r="C10240" t="str">
            <v>ud</v>
          </cell>
          <cell r="D10240">
            <v>0</v>
          </cell>
          <cell r="E10240">
            <v>6.37</v>
          </cell>
          <cell r="F10240">
            <v>6.37</v>
          </cell>
        </row>
        <row r="10241">
          <cell r="A10241" t="str">
            <v>424790</v>
          </cell>
          <cell r="B10241" t="str">
            <v>Tê reto 90°, liso, de aço galvanizado a fogo, ref. DP-722, com tampa, fab.DISPAN ou similar, dimensão 50x100mm</v>
          </cell>
          <cell r="C10241" t="str">
            <v>ud</v>
          </cell>
          <cell r="D10241">
            <v>0</v>
          </cell>
          <cell r="E10241">
            <v>22.14</v>
          </cell>
          <cell r="F10241">
            <v>22.14</v>
          </cell>
        </row>
        <row r="10242">
          <cell r="A10242" t="str">
            <v>424791</v>
          </cell>
          <cell r="B10242" t="str">
            <v>Tê reto 90°, liso, de aço galvanizado a fogo, ref. DP-722, com tampa, fab.DISPAN ou similar, dimensão 50x150mm</v>
          </cell>
          <cell r="C10242" t="str">
            <v>ud</v>
          </cell>
          <cell r="D10242">
            <v>0</v>
          </cell>
          <cell r="E10242">
            <v>25.52</v>
          </cell>
          <cell r="F10242">
            <v>25.52</v>
          </cell>
        </row>
        <row r="10243">
          <cell r="A10243" t="str">
            <v>424792</v>
          </cell>
          <cell r="B10243" t="str">
            <v>Tê reto 90°, liso, de aço galvanizado a fogo, ref. DP-722, com tampa, fab.DISPAN ou similar, dimensão 50x200mm</v>
          </cell>
          <cell r="C10243" t="str">
            <v>ud</v>
          </cell>
          <cell r="D10243">
            <v>0</v>
          </cell>
          <cell r="E10243">
            <v>31.65</v>
          </cell>
          <cell r="F10243">
            <v>31.65</v>
          </cell>
        </row>
        <row r="10244">
          <cell r="A10244" t="str">
            <v>424793</v>
          </cell>
          <cell r="B10244" t="str">
            <v>Tê reto 90°, liso, de aço galvanizado a fogo, ref. DP-722, com tampa, fab.DISPAN ou similar, dimensão 50x300mm</v>
          </cell>
          <cell r="C10244" t="str">
            <v>ud</v>
          </cell>
          <cell r="D10244">
            <v>0</v>
          </cell>
          <cell r="E10244">
            <v>58.46</v>
          </cell>
          <cell r="F10244">
            <v>58.46</v>
          </cell>
        </row>
        <row r="10245">
          <cell r="A10245" t="str">
            <v>424794</v>
          </cell>
          <cell r="B10245" t="str">
            <v>Tê reto 90°, liso, de aço galvanizado a fogo, ref. DP-722, com tampa, fab.DISPAN ou similar, dimensão 75x150mm</v>
          </cell>
          <cell r="C10245" t="str">
            <v>ud</v>
          </cell>
          <cell r="D10245">
            <v>0</v>
          </cell>
          <cell r="E10245">
            <v>32.270000000000003</v>
          </cell>
          <cell r="F10245">
            <v>32.270000000000003</v>
          </cell>
        </row>
        <row r="10246">
          <cell r="A10246" t="str">
            <v>424795</v>
          </cell>
          <cell r="B10246" t="str">
            <v>Tê reto 90°, liso, de aço galvanizado a fogo, ref. DP-722, com tampa, fab.DISPAN ou similar, dimensão 75x200mm</v>
          </cell>
          <cell r="C10246" t="str">
            <v>ud</v>
          </cell>
          <cell r="D10246">
            <v>0</v>
          </cell>
          <cell r="E10246">
            <v>34.119999999999997</v>
          </cell>
          <cell r="F10246">
            <v>34.119999999999997</v>
          </cell>
        </row>
        <row r="10247">
          <cell r="A10247" t="str">
            <v>424796</v>
          </cell>
          <cell r="B10247" t="str">
            <v>Tê reto 90°, liso, de aço galvanizado a fogo, ref. DP-722, com tampa, fab.DISPAN ou similar, dimensão 75x300mm</v>
          </cell>
          <cell r="C10247" t="str">
            <v>ud</v>
          </cell>
          <cell r="D10247">
            <v>0</v>
          </cell>
          <cell r="E10247">
            <v>62.56</v>
          </cell>
          <cell r="F10247">
            <v>62.56</v>
          </cell>
        </row>
        <row r="10248">
          <cell r="A10248" t="str">
            <v>424797</v>
          </cell>
          <cell r="B10248" t="str">
            <v>Tê reto 90°, liso, de aço galvanizado a fogo, ref. DP-722, com tampa, fab.DISPAN ou similar, dimensão 100x400mm</v>
          </cell>
          <cell r="C10248" t="str">
            <v>ud</v>
          </cell>
          <cell r="D10248">
            <v>0</v>
          </cell>
          <cell r="E10248">
            <v>83.82</v>
          </cell>
          <cell r="F10248">
            <v>83.82</v>
          </cell>
        </row>
        <row r="10249">
          <cell r="A10249" t="str">
            <v>424798</v>
          </cell>
          <cell r="B10249" t="str">
            <v>Tê reto 90°, liso, de aço galvanizado a fogo, ref. DP-722, com tampa, fab.DISPAN ou similar, dimensão 100x500mm</v>
          </cell>
          <cell r="C10249" t="str">
            <v>ud</v>
          </cell>
          <cell r="D10249">
            <v>0</v>
          </cell>
          <cell r="E10249">
            <v>111.83</v>
          </cell>
          <cell r="F10249">
            <v>111.83</v>
          </cell>
        </row>
        <row r="10250">
          <cell r="A10250" t="str">
            <v>424799</v>
          </cell>
          <cell r="B10250" t="str">
            <v>Tê horizontal 90°, liso, em aço galvanizado a fogo, ref. DP-716, com tampa, fab. DISPAN ou similar, dimensão 50x100mm</v>
          </cell>
          <cell r="C10250" t="str">
            <v>ud</v>
          </cell>
          <cell r="D10250">
            <v>0</v>
          </cell>
          <cell r="E10250">
            <v>21.17</v>
          </cell>
          <cell r="F10250">
            <v>21.17</v>
          </cell>
        </row>
        <row r="10251">
          <cell r="A10251" t="str">
            <v>4248</v>
          </cell>
          <cell r="B10251" t="str">
            <v>CONEXÕES PARA ELETROCALHAS E LEITOS</v>
          </cell>
          <cell r="C10251">
            <v>0</v>
          </cell>
          <cell r="D10251">
            <v>0</v>
          </cell>
          <cell r="E10251">
            <v>0</v>
          </cell>
          <cell r="F10251">
            <v>0</v>
          </cell>
        </row>
        <row r="10252">
          <cell r="A10252" t="str">
            <v>424801</v>
          </cell>
          <cell r="B10252" t="str">
            <v>Tê horizontal 90°, liso, em aço galvanizado a fogo, ref. DP-716, com tampa, fab. DISPAN ou similar, dimensão 50x150mm</v>
          </cell>
          <cell r="C10252" t="str">
            <v>ud</v>
          </cell>
          <cell r="D10252">
            <v>0</v>
          </cell>
          <cell r="E10252">
            <v>56.28</v>
          </cell>
          <cell r="F10252">
            <v>56.28</v>
          </cell>
        </row>
        <row r="10253">
          <cell r="A10253" t="str">
            <v>424802</v>
          </cell>
          <cell r="B10253" t="str">
            <v>Tê horizontal 90°, liso, em aço galvanizado a fogo, ref. DP-716, com tampa, fab. DISPAN ou similar, dimensão 50x200mm</v>
          </cell>
          <cell r="C10253" t="str">
            <v>ud</v>
          </cell>
          <cell r="D10253">
            <v>0</v>
          </cell>
          <cell r="E10253">
            <v>75.81</v>
          </cell>
          <cell r="F10253">
            <v>75.81</v>
          </cell>
        </row>
        <row r="10254">
          <cell r="A10254" t="str">
            <v>424803</v>
          </cell>
          <cell r="B10254" t="str">
            <v>Tê horizontal 90°, liso, em aço galvanizado a fogo, ref. DP-716, com tampa, fab. DISPAN ou similar, dimensão 50x300mm</v>
          </cell>
          <cell r="C10254" t="str">
            <v>ud</v>
          </cell>
          <cell r="D10254">
            <v>0</v>
          </cell>
          <cell r="E10254">
            <v>124.09</v>
          </cell>
          <cell r="F10254">
            <v>124.09</v>
          </cell>
        </row>
        <row r="10255">
          <cell r="A10255" t="str">
            <v>424804</v>
          </cell>
          <cell r="B10255" t="str">
            <v>Tê horizontal 90°, liso, em aço galvanizado a fogo, ref. DP-716, com tampa, fab. DISPAN ou similar, dimensão 75x150mm</v>
          </cell>
          <cell r="C10255" t="str">
            <v>ud</v>
          </cell>
          <cell r="D10255">
            <v>0</v>
          </cell>
          <cell r="E10255">
            <v>65.099999999999994</v>
          </cell>
          <cell r="F10255">
            <v>65.099999999999994</v>
          </cell>
        </row>
        <row r="10256">
          <cell r="A10256" t="str">
            <v>424805</v>
          </cell>
          <cell r="B10256" t="str">
            <v>Tê horizontal 90°, liso, em aço galvanizado a fogo, ref. DP-716, com tampa, fab. DISPAN ou similar, dimensão 75x200mm</v>
          </cell>
          <cell r="C10256" t="str">
            <v>ud</v>
          </cell>
          <cell r="D10256">
            <v>0</v>
          </cell>
          <cell r="E10256">
            <v>80.680000000000007</v>
          </cell>
          <cell r="F10256">
            <v>80.680000000000007</v>
          </cell>
        </row>
        <row r="10257">
          <cell r="A10257" t="str">
            <v>424806</v>
          </cell>
          <cell r="B10257" t="str">
            <v>Tê horizontal 90°, liso, em aço galvanizado a fogo, ref. DP-716, com tampa, fab. DISPAN ou similar, dimensão 75x300mm</v>
          </cell>
          <cell r="C10257" t="str">
            <v>ud</v>
          </cell>
          <cell r="D10257">
            <v>0</v>
          </cell>
          <cell r="E10257">
            <v>130.44</v>
          </cell>
          <cell r="F10257">
            <v>130.44</v>
          </cell>
        </row>
        <row r="10258">
          <cell r="A10258" t="str">
            <v>424807</v>
          </cell>
          <cell r="B10258" t="str">
            <v>Tê horizontal 90°, liso, em aço galvanizado a fogo, ref. DP-716, com tampa, fab. DISPAN ou similar, dimensão 100x400mm</v>
          </cell>
          <cell r="C10258" t="str">
            <v>ud</v>
          </cell>
          <cell r="D10258">
            <v>0</v>
          </cell>
          <cell r="E10258">
            <v>185.89</v>
          </cell>
          <cell r="F10258">
            <v>185.89</v>
          </cell>
        </row>
        <row r="10259">
          <cell r="A10259" t="str">
            <v>424808</v>
          </cell>
          <cell r="B10259" t="str">
            <v>Tê horizontal 90°, liso, em aço galvanizado a fogo, ref. DP-716, com tampa, fab. DISPAN ou similar, dimensão 100x500mm</v>
          </cell>
          <cell r="C10259" t="str">
            <v>ud</v>
          </cell>
          <cell r="D10259">
            <v>0</v>
          </cell>
          <cell r="E10259">
            <v>261.51</v>
          </cell>
          <cell r="F10259">
            <v>261.51</v>
          </cell>
        </row>
        <row r="10260">
          <cell r="A10260" t="str">
            <v>424809</v>
          </cell>
          <cell r="B10260" t="str">
            <v>Tê vertical de descida 90°, liso, em aço galvanizado a fogo, ref. DP-717, com tampa, fab. DISPAN ou similar, dimensão 50x100mm</v>
          </cell>
          <cell r="C10260" t="str">
            <v>ud</v>
          </cell>
          <cell r="D10260">
            <v>0</v>
          </cell>
          <cell r="E10260">
            <v>53.77</v>
          </cell>
          <cell r="F10260">
            <v>53.77</v>
          </cell>
        </row>
        <row r="10261">
          <cell r="A10261" t="str">
            <v>424810</v>
          </cell>
          <cell r="B10261" t="str">
            <v>Tê vertical de descida 90°, liso, em aço galvanizado a fogo, ref. DP-717, com tampa, fab. DISPAN ou similar, dimensão 50x150mm</v>
          </cell>
          <cell r="C10261" t="str">
            <v>ud</v>
          </cell>
          <cell r="D10261">
            <v>0</v>
          </cell>
          <cell r="E10261">
            <v>63.21</v>
          </cell>
          <cell r="F10261">
            <v>63.21</v>
          </cell>
        </row>
        <row r="10262">
          <cell r="A10262" t="str">
            <v>424811</v>
          </cell>
          <cell r="B10262" t="str">
            <v>Tê vertical de descida 90°, liso, em aço galvanizado a fogo, ref. DP-717, com tampa, fab. DISPAN ou similar, dimensão 50x200mm</v>
          </cell>
          <cell r="C10262" t="str">
            <v>ud</v>
          </cell>
          <cell r="D10262">
            <v>0</v>
          </cell>
          <cell r="E10262">
            <v>72.66</v>
          </cell>
          <cell r="F10262">
            <v>72.66</v>
          </cell>
        </row>
        <row r="10263">
          <cell r="A10263" t="str">
            <v>424812</v>
          </cell>
          <cell r="B10263" t="str">
            <v>Tê vertical de descida 90°, liso, em aço galvanizado a fogo, ref. DP-717, com tampa, fab. DISPAN ou similar, dimensão 50x300mm</v>
          </cell>
          <cell r="C10263" t="str">
            <v>ud</v>
          </cell>
          <cell r="D10263">
            <v>0</v>
          </cell>
          <cell r="E10263">
            <v>108.45</v>
          </cell>
          <cell r="F10263">
            <v>108.45</v>
          </cell>
        </row>
        <row r="10264">
          <cell r="A10264" t="str">
            <v>424813</v>
          </cell>
          <cell r="B10264" t="str">
            <v>Tê vertical de descida 90°, liso, em aço galvanizado a fogo, ref. DP-717, com tampa, fab. DISPAN ou similar, dimensão 75x150mm</v>
          </cell>
          <cell r="C10264" t="str">
            <v>ud</v>
          </cell>
          <cell r="D10264">
            <v>0</v>
          </cell>
          <cell r="E10264">
            <v>65.95</v>
          </cell>
          <cell r="F10264">
            <v>65.95</v>
          </cell>
        </row>
        <row r="10265">
          <cell r="A10265" t="str">
            <v>424814</v>
          </cell>
          <cell r="B10265" t="str">
            <v>Tê vertical de descida 90°, liso, em aço galvanizado a fogo, ref. DP-717, com tampa, fab. DISPAN ou similar, dimensão 75x200mm</v>
          </cell>
          <cell r="C10265" t="str">
            <v>ud</v>
          </cell>
          <cell r="D10265">
            <v>0</v>
          </cell>
          <cell r="E10265">
            <v>75.92</v>
          </cell>
          <cell r="F10265">
            <v>75.92</v>
          </cell>
        </row>
        <row r="10266">
          <cell r="A10266" t="str">
            <v>424815</v>
          </cell>
          <cell r="B10266" t="str">
            <v>Tê vertical de descida 90°, liso, em aço galvanizado a fogo, ref. DP-717, com tampa, fab. DISPAN ou similar, dimensão 75x300mm</v>
          </cell>
          <cell r="C10266" t="str">
            <v>ud</v>
          </cell>
          <cell r="D10266">
            <v>0</v>
          </cell>
          <cell r="E10266">
            <v>111.76</v>
          </cell>
          <cell r="F10266">
            <v>111.76</v>
          </cell>
        </row>
        <row r="10267">
          <cell r="A10267" t="str">
            <v>424816</v>
          </cell>
          <cell r="B10267" t="str">
            <v>Tê vertical de descida 90°, liso, em aço galvanizado a fogo, ref. DP-717, com tampa, fab. DISPAN ou similar, dimensão 100x400mm</v>
          </cell>
          <cell r="C10267" t="str">
            <v>ud</v>
          </cell>
          <cell r="D10267">
            <v>0</v>
          </cell>
          <cell r="E10267">
            <v>143.43</v>
          </cell>
          <cell r="F10267">
            <v>143.43</v>
          </cell>
        </row>
        <row r="10268">
          <cell r="A10268" t="str">
            <v>424817</v>
          </cell>
          <cell r="B10268" t="str">
            <v>Tê vertical de descida 90°, liso, em aço galvanizado a fogo, ref. DP-717, com tampa, fab. DISPAN ou similar, dimensão 100x500mm</v>
          </cell>
          <cell r="C10268" t="str">
            <v>ud</v>
          </cell>
          <cell r="D10268">
            <v>0</v>
          </cell>
          <cell r="E10268">
            <v>164.92</v>
          </cell>
          <cell r="F10268">
            <v>164.92</v>
          </cell>
        </row>
        <row r="10269">
          <cell r="A10269" t="str">
            <v>424818</v>
          </cell>
          <cell r="B10269" t="str">
            <v>Tê vertical de descida lateral 90°, liso, em aço galvanizado a fogo, ref. DP-719, com tampa, fab. DISPAN ou similar, dimensão 50x100mm</v>
          </cell>
          <cell r="C10269" t="str">
            <v>ud</v>
          </cell>
          <cell r="D10269">
            <v>0</v>
          </cell>
          <cell r="E10269">
            <v>43.94</v>
          </cell>
          <cell r="F10269">
            <v>43.94</v>
          </cell>
        </row>
        <row r="10270">
          <cell r="A10270" t="str">
            <v>424819</v>
          </cell>
          <cell r="B10270" t="str">
            <v>Tê vertical de descida lateral 90°, liso, em aço galvanizado a fogo, ref. DP-719, com tampa, fab. DISPAN ou similar, dimensão 50x150mm</v>
          </cell>
          <cell r="C10270" t="str">
            <v>ud</v>
          </cell>
          <cell r="D10270">
            <v>0</v>
          </cell>
          <cell r="E10270">
            <v>55.85</v>
          </cell>
          <cell r="F10270">
            <v>55.85</v>
          </cell>
        </row>
        <row r="10271">
          <cell r="A10271" t="str">
            <v>424820</v>
          </cell>
          <cell r="B10271" t="str">
            <v>Tê vertical de descida lateral 90°, liso, em aço galvanizado a fogo, ref. DP-719, com tampa, fab. DISPAN ou similar, dimensão 50x200mm</v>
          </cell>
          <cell r="C10271" t="str">
            <v>ud</v>
          </cell>
          <cell r="D10271">
            <v>0</v>
          </cell>
          <cell r="E10271">
            <v>77.52</v>
          </cell>
          <cell r="F10271">
            <v>77.52</v>
          </cell>
        </row>
        <row r="10272">
          <cell r="A10272" t="str">
            <v>424821</v>
          </cell>
          <cell r="B10272" t="str">
            <v>Tê vertical de descida lateral 90°, liso, em aço galvanizado a fogo, ref. DP-719, com tampa, fab. DISPAN ou similar, dimensão 50x300mm</v>
          </cell>
          <cell r="C10272" t="str">
            <v>ud</v>
          </cell>
          <cell r="D10272">
            <v>0</v>
          </cell>
          <cell r="E10272">
            <v>135.76</v>
          </cell>
          <cell r="F10272">
            <v>135.76</v>
          </cell>
        </row>
        <row r="10273">
          <cell r="A10273" t="str">
            <v>424822</v>
          </cell>
          <cell r="B10273" t="str">
            <v>Tê vertical de descida lateral 90°, liso, em aço galvanizado a fogo, ref. DP-719, com tampa, fab. DISPAN ou similar, dimensão 75x100mm</v>
          </cell>
          <cell r="C10273" t="str">
            <v>ud</v>
          </cell>
          <cell r="D10273">
            <v>0</v>
          </cell>
          <cell r="E10273">
            <v>51.6</v>
          </cell>
          <cell r="F10273">
            <v>51.6</v>
          </cell>
        </row>
        <row r="10274">
          <cell r="A10274" t="str">
            <v>424823</v>
          </cell>
          <cell r="B10274" t="str">
            <v>Tê vertical de descida lateral 90°, liso, em aço galvanizado a fogo, ref. DP-719, com tampa, fab. DISPAN ou similar, dimensão 75x150mm</v>
          </cell>
          <cell r="C10274" t="str">
            <v>ud</v>
          </cell>
          <cell r="D10274">
            <v>0</v>
          </cell>
          <cell r="E10274">
            <v>66.14</v>
          </cell>
          <cell r="F10274">
            <v>66.14</v>
          </cell>
        </row>
        <row r="10275">
          <cell r="A10275" t="str">
            <v>424824</v>
          </cell>
          <cell r="B10275" t="str">
            <v>Tê vertical de descida lateral 90°, liso, em aço galvanizado a fogo, ref. DP-719, com tampa, fab. DISPAN ou similar, dimensão 75x200mm</v>
          </cell>
          <cell r="C10275" t="str">
            <v>ud</v>
          </cell>
          <cell r="D10275">
            <v>0</v>
          </cell>
          <cell r="E10275">
            <v>82.58</v>
          </cell>
          <cell r="F10275">
            <v>82.58</v>
          </cell>
        </row>
        <row r="10276">
          <cell r="A10276" t="str">
            <v>424825</v>
          </cell>
          <cell r="B10276" t="str">
            <v>Tê vertical de descida lateral 90°, liso, em aço galvanizado a fogo, ref. DP-719, com tampa, fab. DISPAN ou similar, dimensão 75x300mm</v>
          </cell>
          <cell r="C10276" t="str">
            <v>ud</v>
          </cell>
          <cell r="D10276">
            <v>0</v>
          </cell>
          <cell r="E10276">
            <v>142.69</v>
          </cell>
          <cell r="F10276">
            <v>142.69</v>
          </cell>
        </row>
        <row r="10277">
          <cell r="A10277" t="str">
            <v>424826</v>
          </cell>
          <cell r="B10277" t="str">
            <v>Tê vertical de descida lateral 90°, liso, em aço galvanizado a fogo, ref. DP-719, com tampa, fab. DISPAN ou similar, dimensão 100x100mm</v>
          </cell>
          <cell r="C10277" t="str">
            <v>ud</v>
          </cell>
          <cell r="D10277">
            <v>0</v>
          </cell>
          <cell r="E10277">
            <v>70.14</v>
          </cell>
          <cell r="F10277">
            <v>70.14</v>
          </cell>
        </row>
        <row r="10278">
          <cell r="A10278" t="str">
            <v>424827</v>
          </cell>
          <cell r="B10278" t="str">
            <v>Tê vertical de descida lateral 90°, liso, em aço galvanizado a fogo, ref. DP-719, com tampa, fab. DISPAN ou similar, dimensão 100x150mm</v>
          </cell>
          <cell r="C10278" t="str">
            <v>ud</v>
          </cell>
          <cell r="D10278">
            <v>0</v>
          </cell>
          <cell r="E10278">
            <v>114.42</v>
          </cell>
          <cell r="F10278">
            <v>114.42</v>
          </cell>
        </row>
        <row r="10279">
          <cell r="A10279" t="str">
            <v>424828</v>
          </cell>
          <cell r="B10279" t="str">
            <v>Tê vertical de descida lateral 90°, liso, em aço galvanizado a fogo, ref. DP-719, com tampa, fab. DISPAN ou similar, dimensão 100x200mm</v>
          </cell>
          <cell r="C10279" t="str">
            <v>ud</v>
          </cell>
          <cell r="D10279">
            <v>0</v>
          </cell>
          <cell r="E10279">
            <v>87.64</v>
          </cell>
          <cell r="F10279">
            <v>87.64</v>
          </cell>
        </row>
        <row r="10280">
          <cell r="A10280" t="str">
            <v>424829</v>
          </cell>
          <cell r="B10280" t="str">
            <v>Tê vertical de descida lateral 90°, liso, em aço galvanizado a fogo, ref. DP-719, com tampa, fab. DISPAN ou similar, dimensão 100x300mm</v>
          </cell>
          <cell r="C10280" t="str">
            <v>ud</v>
          </cell>
          <cell r="D10280">
            <v>0</v>
          </cell>
          <cell r="E10280">
            <v>149.65</v>
          </cell>
          <cell r="F10280">
            <v>149.65</v>
          </cell>
        </row>
        <row r="10281">
          <cell r="A10281" t="str">
            <v>424830</v>
          </cell>
          <cell r="B10281" t="str">
            <v>Tê vertical de descida lateral 90°, liso, em aço galvanizado a fogo, ref. DP-719, com tampa, fab. DISPAN ou similar, dimensão 100x400mm</v>
          </cell>
          <cell r="C10281" t="str">
            <v>ud</v>
          </cell>
          <cell r="D10281">
            <v>0</v>
          </cell>
          <cell r="E10281">
            <v>203.41</v>
          </cell>
          <cell r="F10281">
            <v>203.41</v>
          </cell>
        </row>
        <row r="10282">
          <cell r="A10282" t="str">
            <v>424831</v>
          </cell>
          <cell r="B10282" t="str">
            <v>Tê vertical de descida lateral 90°, liso, em aço galvanizado a fogo, ref. DP-719, com tampa, fab. DISPAN ou similar, dimensão 100x500mm</v>
          </cell>
          <cell r="C10282" t="str">
            <v>ud</v>
          </cell>
          <cell r="D10282">
            <v>0</v>
          </cell>
          <cell r="E10282">
            <v>265.77</v>
          </cell>
          <cell r="F10282">
            <v>265.77</v>
          </cell>
        </row>
        <row r="10283">
          <cell r="A10283" t="str">
            <v>424832</v>
          </cell>
          <cell r="B10283" t="str">
            <v>Curva de inversão 90°, liso, em aço galvanizado a fogo, ref. DP-721, com tampa, fab. DISPAN ou similar, dimensão 50x100mm (297186)</v>
          </cell>
          <cell r="C10283" t="str">
            <v>ud</v>
          </cell>
          <cell r="D10283">
            <v>0</v>
          </cell>
          <cell r="E10283">
            <v>38.08</v>
          </cell>
          <cell r="F10283">
            <v>38.08</v>
          </cell>
        </row>
        <row r="10284">
          <cell r="A10284" t="str">
            <v>424833</v>
          </cell>
          <cell r="B10284" t="str">
            <v>Curva de inversão 90°, liso, em aço galvanizado a fogo, ref. DP-721, com tampa, fab. DISPAN ou similar, dimensão 50x150mm</v>
          </cell>
          <cell r="C10284" t="str">
            <v>ud</v>
          </cell>
          <cell r="D10284">
            <v>0</v>
          </cell>
          <cell r="E10284">
            <v>50.41</v>
          </cell>
          <cell r="F10284">
            <v>50.41</v>
          </cell>
        </row>
        <row r="10285">
          <cell r="A10285" t="str">
            <v>424834</v>
          </cell>
          <cell r="B10285" t="str">
            <v>Curva de inversão 90°, liso, em aço galvanizado a fogo, ref. DP-721, com tampa, fab. DISPAN ou similar, dimensão 50x200mm</v>
          </cell>
          <cell r="C10285" t="str">
            <v>ud</v>
          </cell>
          <cell r="D10285">
            <v>0</v>
          </cell>
          <cell r="E10285">
            <v>59.05</v>
          </cell>
          <cell r="F10285">
            <v>59.05</v>
          </cell>
        </row>
        <row r="10286">
          <cell r="A10286" t="str">
            <v>424835</v>
          </cell>
          <cell r="B10286" t="str">
            <v>Curva de inversão 90°, liso, em aço galvanizado a fogo, ref. DP-721, com tampa, fab. DISPAN ou similar, dimensão 50x300mm</v>
          </cell>
          <cell r="C10286" t="str">
            <v>ud</v>
          </cell>
          <cell r="D10286">
            <v>0</v>
          </cell>
          <cell r="E10286">
            <v>86.16</v>
          </cell>
          <cell r="F10286">
            <v>86.16</v>
          </cell>
        </row>
        <row r="10287">
          <cell r="A10287" t="str">
            <v>424836</v>
          </cell>
          <cell r="B10287" t="str">
            <v>Curva de inversão 90°, liso, em aço galvanizado a fogo, ref. DP-721, com tampa, fab. DISPAN ou similar, dimensão 75x100mm</v>
          </cell>
          <cell r="C10287" t="str">
            <v>ud</v>
          </cell>
          <cell r="D10287">
            <v>0</v>
          </cell>
          <cell r="E10287">
            <v>52.3</v>
          </cell>
          <cell r="F10287">
            <v>52.3</v>
          </cell>
        </row>
        <row r="10288">
          <cell r="A10288" t="str">
            <v>424837</v>
          </cell>
          <cell r="B10288" t="str">
            <v>Curva de inversão 90°, liso, em aço galvanizado a fogo, ref. DP-721, com tampa, fab. DISPAN ou similar, dimensão 75x150mm</v>
          </cell>
          <cell r="C10288" t="str">
            <v>ud</v>
          </cell>
          <cell r="D10288">
            <v>0</v>
          </cell>
          <cell r="E10288">
            <v>61.49</v>
          </cell>
          <cell r="F10288">
            <v>61.49</v>
          </cell>
        </row>
        <row r="10289">
          <cell r="A10289" t="str">
            <v>424838</v>
          </cell>
          <cell r="B10289" t="str">
            <v>Curva de inversão 90°, liso, em aço galvanizado a fogo, ref. DP-721, com tampa, fab. DISPAN ou similar, dimensão 75x200mm</v>
          </cell>
          <cell r="C10289" t="str">
            <v>ud</v>
          </cell>
          <cell r="D10289">
            <v>0</v>
          </cell>
          <cell r="E10289">
            <v>50.85</v>
          </cell>
          <cell r="F10289">
            <v>50.85</v>
          </cell>
        </row>
        <row r="10290">
          <cell r="A10290" t="str">
            <v>424839</v>
          </cell>
          <cell r="B10290" t="str">
            <v>Curva de inversão 90°, liso, em aço galvanizado a fogo, ref. DP-721, com tampa, fab. DISPAN ou similar, dimensão 75x300mm</v>
          </cell>
          <cell r="C10290" t="str">
            <v>ud</v>
          </cell>
          <cell r="D10290">
            <v>0</v>
          </cell>
          <cell r="E10290">
            <v>104.71</v>
          </cell>
          <cell r="F10290">
            <v>104.71</v>
          </cell>
        </row>
        <row r="10291">
          <cell r="A10291" t="str">
            <v>424840</v>
          </cell>
          <cell r="B10291" t="str">
            <v>Curva de inversão 90°, liso, em aço galvanizado a fogo, ref. DP-721, com tampa, fab. DISPAN ou similar, dimensão 100x100mm</v>
          </cell>
          <cell r="C10291" t="str">
            <v>ud</v>
          </cell>
          <cell r="D10291">
            <v>0</v>
          </cell>
          <cell r="E10291">
            <v>66.760000000000005</v>
          </cell>
          <cell r="F10291">
            <v>66.760000000000005</v>
          </cell>
        </row>
        <row r="10292">
          <cell r="A10292" t="str">
            <v>424841</v>
          </cell>
          <cell r="B10292" t="str">
            <v>Curva de inversão 90°, liso, em aço galvanizado a fogo, ref. DP-721, com tampa, fab. DISPAN ou similar, dimensão 100x150mm</v>
          </cell>
          <cell r="C10292" t="str">
            <v>ud</v>
          </cell>
          <cell r="D10292">
            <v>0</v>
          </cell>
          <cell r="E10292">
            <v>74.02</v>
          </cell>
          <cell r="F10292">
            <v>74.02</v>
          </cell>
        </row>
        <row r="10293">
          <cell r="A10293" t="str">
            <v>424842</v>
          </cell>
          <cell r="B10293" t="str">
            <v>Curva de inversão 90°, liso, em aço galvanizado a fogo, ref. DP-721, com tampa, fab. DISPAN ou similar, dimensão 100x200mm</v>
          </cell>
          <cell r="C10293" t="str">
            <v>ud</v>
          </cell>
          <cell r="D10293">
            <v>0</v>
          </cell>
          <cell r="E10293">
            <v>88.29</v>
          </cell>
          <cell r="F10293">
            <v>88.29</v>
          </cell>
        </row>
        <row r="10294">
          <cell r="A10294" t="str">
            <v>424843</v>
          </cell>
          <cell r="B10294" t="str">
            <v>Curva de inversão 90°, liso, em aço galvanizado a fogo, ref. DP-721, com tampa, fab. DISPAN ou similar, dimensão 100x300mm</v>
          </cell>
          <cell r="C10294" t="str">
            <v>ud</v>
          </cell>
          <cell r="D10294">
            <v>0</v>
          </cell>
          <cell r="E10294">
            <v>125.01</v>
          </cell>
          <cell r="F10294">
            <v>125.01</v>
          </cell>
        </row>
        <row r="10295">
          <cell r="A10295" t="str">
            <v>424844</v>
          </cell>
          <cell r="B10295" t="str">
            <v>Curva de inversão 90°, liso, em aço galvanizado a fogo, ref. DP-721, com tampa, fab. DISPAN ou similar, dimensão 100x400mm</v>
          </cell>
          <cell r="C10295" t="str">
            <v>ud</v>
          </cell>
          <cell r="D10295">
            <v>0</v>
          </cell>
          <cell r="E10295">
            <v>148.79</v>
          </cell>
          <cell r="F10295">
            <v>148.79</v>
          </cell>
        </row>
        <row r="10296">
          <cell r="A10296" t="str">
            <v>424845</v>
          </cell>
          <cell r="B10296" t="str">
            <v>Curva de inversão 90°, liso, em aço galvanizado a fogo, ref. DP-721, com tampa, fab. DISPAN ou similar, dimensão 100x500mm</v>
          </cell>
          <cell r="C10296" t="str">
            <v>ud</v>
          </cell>
          <cell r="D10296">
            <v>0</v>
          </cell>
          <cell r="E10296">
            <v>172.57</v>
          </cell>
          <cell r="F10296">
            <v>172.57</v>
          </cell>
        </row>
        <row r="10297">
          <cell r="A10297" t="str">
            <v>424846</v>
          </cell>
          <cell r="B10297" t="str">
            <v>Tirante roscado, de aço inox, ø1/4", barra com 3,00m, fab. DISPAN ou similar</v>
          </cell>
          <cell r="C10297" t="str">
            <v>ud</v>
          </cell>
          <cell r="D10297">
            <v>0</v>
          </cell>
          <cell r="E10297">
            <v>36.659999999999997</v>
          </cell>
          <cell r="F10297">
            <v>36.659999999999997</v>
          </cell>
        </row>
        <row r="10298">
          <cell r="A10298" t="str">
            <v>424847</v>
          </cell>
          <cell r="B10298" t="str">
            <v>Tirante roscado, de aço inox, ø5/16", barra com 3,00m, fab. DISPAN ou similar</v>
          </cell>
          <cell r="C10298" t="str">
            <v>ud</v>
          </cell>
          <cell r="D10298">
            <v>0</v>
          </cell>
          <cell r="E10298">
            <v>59.08</v>
          </cell>
          <cell r="F10298">
            <v>59.08</v>
          </cell>
        </row>
        <row r="10299">
          <cell r="A10299" t="str">
            <v>424848</v>
          </cell>
          <cell r="B10299" t="str">
            <v>Tirante roscado, de aço inox, ø3/8", barra com 3,00m, fab. DISPAN ou similar</v>
          </cell>
          <cell r="C10299" t="str">
            <v>ud</v>
          </cell>
          <cell r="D10299">
            <v>0</v>
          </cell>
          <cell r="E10299">
            <v>86.8</v>
          </cell>
          <cell r="F10299">
            <v>86.8</v>
          </cell>
        </row>
        <row r="10300">
          <cell r="A10300" t="str">
            <v>424849</v>
          </cell>
          <cell r="B10300" t="str">
            <v>Terminal de fechamento, de aço galvanizado a fogo,  ref. DP-737, fab. DISPAN ou similar, dimensão 50x150mm</v>
          </cell>
          <cell r="C10300" t="str">
            <v>ud</v>
          </cell>
          <cell r="D10300">
            <v>0</v>
          </cell>
          <cell r="E10300">
            <v>5.8</v>
          </cell>
          <cell r="F10300">
            <v>5.8</v>
          </cell>
        </row>
        <row r="10301">
          <cell r="A10301" t="str">
            <v>424850</v>
          </cell>
          <cell r="B10301" t="str">
            <v>Terminal de fechamento, de aço galvanizado a fogo,  ref. DP-737, fab. DISPAN ou similar, dimensão 50x200mm</v>
          </cell>
          <cell r="C10301" t="str">
            <v>ud</v>
          </cell>
          <cell r="D10301">
            <v>0</v>
          </cell>
          <cell r="E10301">
            <v>6.95</v>
          </cell>
          <cell r="F10301">
            <v>6.95</v>
          </cell>
        </row>
        <row r="10302">
          <cell r="A10302" t="str">
            <v>424851</v>
          </cell>
          <cell r="B10302" t="str">
            <v>Terminal de fechamento, de aço galvanizado a fogo,  ref. DP-737, fab. DISPAN ou similar, dimensão 50x300mm</v>
          </cell>
          <cell r="C10302" t="str">
            <v>ud</v>
          </cell>
          <cell r="D10302">
            <v>0</v>
          </cell>
          <cell r="E10302">
            <v>11.84</v>
          </cell>
          <cell r="F10302">
            <v>11.84</v>
          </cell>
        </row>
        <row r="10303">
          <cell r="A10303" t="str">
            <v>424852</v>
          </cell>
          <cell r="B10303" t="str">
            <v>Terminal de fechamento, de aço galvanizado a fogo,  ref. DP-737, fab. DISPAN ou similar, dimensão 75x150mm</v>
          </cell>
          <cell r="C10303" t="str">
            <v>ud</v>
          </cell>
          <cell r="D10303">
            <v>0</v>
          </cell>
          <cell r="E10303">
            <v>6.96</v>
          </cell>
          <cell r="F10303">
            <v>6.96</v>
          </cell>
        </row>
        <row r="10304">
          <cell r="A10304" t="str">
            <v>424853</v>
          </cell>
          <cell r="B10304" t="str">
            <v>Terminal de fechamento, de aço galvanizado a fogo,  ref. DP-737, fab. DISPAN ou similar, dimensão 75x200mm</v>
          </cell>
          <cell r="C10304" t="str">
            <v>ud</v>
          </cell>
          <cell r="D10304">
            <v>0</v>
          </cell>
          <cell r="E10304">
            <v>8.11</v>
          </cell>
          <cell r="F10304">
            <v>8.11</v>
          </cell>
        </row>
        <row r="10305">
          <cell r="A10305" t="str">
            <v>424854</v>
          </cell>
          <cell r="B10305" t="str">
            <v>Terminal de fechamento, de aço galvanizado a fogo,  ref. DP-737, fab. DISPAN ou similar, dimensão 75x300mm</v>
          </cell>
          <cell r="C10305" t="str">
            <v>ud</v>
          </cell>
          <cell r="D10305">
            <v>0</v>
          </cell>
          <cell r="E10305">
            <v>13.32</v>
          </cell>
          <cell r="F10305">
            <v>13.32</v>
          </cell>
        </row>
        <row r="10306">
          <cell r="A10306" t="str">
            <v>424855</v>
          </cell>
          <cell r="B10306" t="str">
            <v>Terminal de fechamento, de aço galvanizado a fogo,  ref. DP-737, fab. DISPAN ou similar, dimensão 100x400mm</v>
          </cell>
          <cell r="C10306" t="str">
            <v>ud</v>
          </cell>
          <cell r="D10306">
            <v>0</v>
          </cell>
          <cell r="E10306">
            <v>16.760000000000002</v>
          </cell>
          <cell r="F10306">
            <v>16.760000000000002</v>
          </cell>
        </row>
        <row r="10307">
          <cell r="A10307" t="str">
            <v>424856</v>
          </cell>
          <cell r="B10307" t="str">
            <v>Terminal de fechamento, de aço galvanizado a fogo,  ref. DP-737, fab. DISPAN ou similar, dimensão 100x500mm</v>
          </cell>
          <cell r="C10307" t="str">
            <v>ud</v>
          </cell>
          <cell r="D10307">
            <v>0</v>
          </cell>
          <cell r="E10307">
            <v>18.48</v>
          </cell>
          <cell r="F10307">
            <v>18.48</v>
          </cell>
        </row>
        <row r="10308">
          <cell r="A10308" t="str">
            <v>424857</v>
          </cell>
          <cell r="B10308" t="str">
            <v>Tala para eletrocalha perfurada, em aço galvanizado a fogo, aba 50mm, ref. DP740, fab. DISPAN ou similar (297292)</v>
          </cell>
          <cell r="C10308" t="str">
            <v>ud</v>
          </cell>
          <cell r="D10308">
            <v>0</v>
          </cell>
          <cell r="E10308">
            <v>1.65</v>
          </cell>
          <cell r="F10308">
            <v>1.65</v>
          </cell>
        </row>
        <row r="10309">
          <cell r="A10309" t="str">
            <v>424858</v>
          </cell>
          <cell r="B10309" t="str">
            <v>Tala para eletrocalha perfurada, em aço galvanizado a fogo, aba 75mm, ref. DP740, fab. DISPAN ou similar</v>
          </cell>
          <cell r="C10309" t="str">
            <v>ud</v>
          </cell>
          <cell r="D10309">
            <v>0</v>
          </cell>
          <cell r="E10309">
            <v>2.0499999999999998</v>
          </cell>
          <cell r="F10309">
            <v>2.0499999999999998</v>
          </cell>
        </row>
        <row r="10310">
          <cell r="A10310" t="str">
            <v>424859</v>
          </cell>
          <cell r="B10310" t="str">
            <v>Tala para eletrocalha perfurada, em aço galvanizado a fogo, aba 100mm, ref. DP740, fab. DISPAN ou similar (297192)</v>
          </cell>
          <cell r="C10310" t="str">
            <v>ud</v>
          </cell>
          <cell r="D10310">
            <v>0</v>
          </cell>
          <cell r="E10310">
            <v>2.8</v>
          </cell>
          <cell r="F10310">
            <v>2.8</v>
          </cell>
        </row>
        <row r="10311">
          <cell r="A10311" t="str">
            <v>424860</v>
          </cell>
          <cell r="B10311" t="str">
            <v>Tala para eletrocalha lisa, em aço galvanizado a fogo, aba 50mm, ref. DP741, fab. DISPAN ou similar</v>
          </cell>
          <cell r="C10311" t="str">
            <v>ud</v>
          </cell>
          <cell r="D10311">
            <v>0</v>
          </cell>
          <cell r="E10311">
            <v>0.81</v>
          </cell>
          <cell r="F10311">
            <v>0.81</v>
          </cell>
        </row>
        <row r="10312">
          <cell r="A10312" t="str">
            <v>424861</v>
          </cell>
          <cell r="B10312" t="str">
            <v>Tala para eletrocalha lisa, em aço galvanizado a fogo, aba 75mm, ref. DP741, fab. DISPAN ou similar</v>
          </cell>
          <cell r="C10312" t="str">
            <v>ud</v>
          </cell>
          <cell r="D10312">
            <v>0</v>
          </cell>
          <cell r="E10312">
            <v>1.02</v>
          </cell>
          <cell r="F10312">
            <v>1.02</v>
          </cell>
        </row>
        <row r="10313">
          <cell r="A10313" t="str">
            <v>424862</v>
          </cell>
          <cell r="B10313" t="str">
            <v>Tala para eletrocalha lisa, em aço galvanizado a fogo, aba 100mm, ref. DP741, fab. DISPAN ou similar</v>
          </cell>
          <cell r="C10313" t="str">
            <v>ud</v>
          </cell>
          <cell r="D10313">
            <v>0</v>
          </cell>
          <cell r="E10313">
            <v>1.39</v>
          </cell>
          <cell r="F10313">
            <v>1.39</v>
          </cell>
        </row>
        <row r="10314">
          <cell r="A10314" t="str">
            <v>424863</v>
          </cell>
          <cell r="B10314" t="str">
            <v>Cantoneira "ZZ" para vergalhão, em aço galvanizado a fogo, ref. DP524, fab. DISPAN ou similar (295674)</v>
          </cell>
          <cell r="C10314" t="str">
            <v>ud</v>
          </cell>
          <cell r="D10314">
            <v>0</v>
          </cell>
          <cell r="E10314">
            <v>1.85</v>
          </cell>
          <cell r="F10314">
            <v>1.85</v>
          </cell>
        </row>
        <row r="10315">
          <cell r="A10315" t="str">
            <v>424864</v>
          </cell>
          <cell r="B10315" t="str">
            <v>Suporte para cabo de aço, em aço galvanizado a fogo, ref. DP525, fab. DISPAN ou similar</v>
          </cell>
          <cell r="C10315" t="str">
            <v>ud</v>
          </cell>
          <cell r="D10315">
            <v>0</v>
          </cell>
          <cell r="E10315">
            <v>2.36</v>
          </cell>
          <cell r="F10315">
            <v>2.36</v>
          </cell>
        </row>
        <row r="10316">
          <cell r="A10316" t="str">
            <v>424865</v>
          </cell>
          <cell r="B10316" t="str">
            <v>Cancho curto para luminária, em aço galvanizado a fogo, ref. DP526, fab. DISPAN ou similar</v>
          </cell>
          <cell r="C10316" t="str">
            <v>ud</v>
          </cell>
          <cell r="D10316">
            <v>0</v>
          </cell>
          <cell r="E10316">
            <v>2.0699999999999998</v>
          </cell>
          <cell r="F10316">
            <v>2.0699999999999998</v>
          </cell>
        </row>
        <row r="10317">
          <cell r="A10317" t="str">
            <v>424866</v>
          </cell>
          <cell r="B10317" t="str">
            <v>Cancho longo para luminária, em aço galvanizado a fogo, ref. DP527, fab. DISPAN ou similar</v>
          </cell>
          <cell r="C10317" t="str">
            <v>ud</v>
          </cell>
          <cell r="D10317">
            <v>0</v>
          </cell>
          <cell r="E10317">
            <v>2.56</v>
          </cell>
          <cell r="F10317">
            <v>2.56</v>
          </cell>
        </row>
        <row r="10318">
          <cell r="A10318" t="str">
            <v>424867</v>
          </cell>
          <cell r="B10318" t="str">
            <v>Cancho curto para perfilado 38mm, em aço galvanizado a fogo, ref. DP528, fab. DISPAN ou similar (173401)</v>
          </cell>
          <cell r="C10318" t="str">
            <v>ud</v>
          </cell>
          <cell r="D10318">
            <v>0</v>
          </cell>
          <cell r="E10318">
            <v>2.0699999999999998</v>
          </cell>
          <cell r="F10318">
            <v>2.0699999999999998</v>
          </cell>
        </row>
        <row r="10319">
          <cell r="A10319" t="str">
            <v>424868</v>
          </cell>
          <cell r="B10319" t="str">
            <v>Cancho longo para perfilado 38mm, em aço galvanizado a fogo, ref. DP529, fab. DISPAN ou similar</v>
          </cell>
          <cell r="C10319" t="str">
            <v>ud</v>
          </cell>
          <cell r="D10319">
            <v>0</v>
          </cell>
          <cell r="E10319">
            <v>2.56</v>
          </cell>
          <cell r="F10319">
            <v>2.56</v>
          </cell>
        </row>
        <row r="10320">
          <cell r="A10320" t="str">
            <v>424869</v>
          </cell>
          <cell r="B10320" t="str">
            <v>Base para fixação em painel, p/ perfilado 38x38mm, em aço galvanizado a fogo, ref. DP530, fab. DISPAN ou similar</v>
          </cell>
          <cell r="C10320" t="str">
            <v>ud</v>
          </cell>
          <cell r="D10320">
            <v>0</v>
          </cell>
          <cell r="E10320">
            <v>1.83</v>
          </cell>
          <cell r="F10320">
            <v>1.83</v>
          </cell>
        </row>
        <row r="10321">
          <cell r="A10321" t="str">
            <v>424870</v>
          </cell>
          <cell r="B10321" t="str">
            <v>Arruela adaptadora, p/ perfilado 38mm, em aço galvanizado a fogo, ref. DP535, fab. DISPAN ou similar</v>
          </cell>
          <cell r="C10321" t="str">
            <v>ud</v>
          </cell>
          <cell r="D10321">
            <v>0</v>
          </cell>
          <cell r="E10321">
            <v>0.62</v>
          </cell>
          <cell r="F10321">
            <v>0.62</v>
          </cell>
        </row>
        <row r="10322">
          <cell r="A10322" t="str">
            <v>424871</v>
          </cell>
          <cell r="B10322" t="str">
            <v>Base interna 4 furos, p/ perfilado 38x38mm, em aço galvanizado a fogo, ref. DP543, fab. DISPAN ou similar (285708)</v>
          </cell>
          <cell r="C10322" t="str">
            <v>ud</v>
          </cell>
          <cell r="D10322">
            <v>0</v>
          </cell>
          <cell r="E10322">
            <v>4.0199999999999996</v>
          </cell>
          <cell r="F10322">
            <v>4.0199999999999996</v>
          </cell>
        </row>
        <row r="10323">
          <cell r="A10323" t="str">
            <v>424872</v>
          </cell>
          <cell r="B10323" t="str">
            <v>Base externa 4 furos, p/ perfilado 38x38mm, em aço galvanizado a fogo, ref. DP544, fab. DISPAN ou similar (291749)</v>
          </cell>
          <cell r="C10323" t="str">
            <v>ud</v>
          </cell>
          <cell r="D10323">
            <v>0</v>
          </cell>
          <cell r="E10323">
            <v>4.41</v>
          </cell>
          <cell r="F10323">
            <v>4.41</v>
          </cell>
        </row>
        <row r="10324">
          <cell r="A10324" t="str">
            <v>424873</v>
          </cell>
          <cell r="B10324" t="str">
            <v>Caixa de derivação "C", p/ perfilado 38x38mm, em aço galvanizado a fogo, ref. DP549, fab. DISPAN ou similar</v>
          </cell>
          <cell r="C10324" t="str">
            <v>ud</v>
          </cell>
          <cell r="D10324">
            <v>0</v>
          </cell>
          <cell r="E10324">
            <v>10.39</v>
          </cell>
          <cell r="F10324">
            <v>10.39</v>
          </cell>
        </row>
        <row r="10325">
          <cell r="A10325" t="str">
            <v>424874</v>
          </cell>
          <cell r="B10325" t="str">
            <v>Caixa de derivação "L", p/ perfilado 38x38mm, em aço galvanizado a fogo, ref. DP550, fab. DISPAN ou similar</v>
          </cell>
          <cell r="C10325" t="str">
            <v>ud</v>
          </cell>
          <cell r="D10325">
            <v>0</v>
          </cell>
          <cell r="E10325">
            <v>10.39</v>
          </cell>
          <cell r="F10325">
            <v>10.39</v>
          </cell>
        </row>
        <row r="10326">
          <cell r="A10326" t="str">
            <v>424875</v>
          </cell>
          <cell r="B10326" t="str">
            <v>Caixa de derivação "T", p/ perfilado 38x38mm, em aço galvanizado a fogo, ref. DP551, fab. DISPAN ou similar</v>
          </cell>
          <cell r="C10326" t="str">
            <v>ud</v>
          </cell>
          <cell r="D10326">
            <v>0</v>
          </cell>
          <cell r="E10326">
            <v>11.65</v>
          </cell>
          <cell r="F10326">
            <v>11.65</v>
          </cell>
        </row>
        <row r="10327">
          <cell r="A10327" t="str">
            <v>424876</v>
          </cell>
          <cell r="B10327" t="str">
            <v>Caixa de derivação "X", p/ perfilado 38x38mm, em aço galvanizado a fogo, ref. DP552, fab. DISPAN ou similar</v>
          </cell>
          <cell r="C10327" t="str">
            <v>ud</v>
          </cell>
          <cell r="D10327">
            <v>0</v>
          </cell>
          <cell r="E10327">
            <v>12.91</v>
          </cell>
          <cell r="F10327">
            <v>12.91</v>
          </cell>
        </row>
        <row r="10328">
          <cell r="A10328" t="str">
            <v>424877</v>
          </cell>
          <cell r="B10328" t="str">
            <v>Caixa de derivação "I" com saída inferior, p/ perfilado 38x38mm, em aço galvanizado a fogo, ref. DP553, fab. DISPAN ou similar</v>
          </cell>
          <cell r="C10328" t="str">
            <v>ud</v>
          </cell>
          <cell r="D10328">
            <v>0</v>
          </cell>
          <cell r="E10328">
            <v>10.39</v>
          </cell>
          <cell r="F10328">
            <v>10.39</v>
          </cell>
        </row>
        <row r="10329">
          <cell r="A10329" t="str">
            <v>424878</v>
          </cell>
          <cell r="B10329" t="str">
            <v>Curva vertical interna 90°, p/ perfilado 38x38mm, em aço galvanizado a fogo, ref. DP602, fab. DISPAN ou similar</v>
          </cell>
          <cell r="C10329" t="str">
            <v>ud</v>
          </cell>
          <cell r="D10329">
            <v>0</v>
          </cell>
          <cell r="E10329">
            <v>8.24</v>
          </cell>
          <cell r="F10329">
            <v>8.24</v>
          </cell>
        </row>
        <row r="10330">
          <cell r="A10330" t="str">
            <v>424879</v>
          </cell>
          <cell r="B10330" t="str">
            <v>Curva vertical externa 90°, p/ perfilado 38x38mm, em aço galvanizado a fogo, ref. DP604, fab. DISPAN ou similar</v>
          </cell>
          <cell r="C10330" t="str">
            <v>ud</v>
          </cell>
          <cell r="D10330">
            <v>0</v>
          </cell>
          <cell r="E10330">
            <v>9.15</v>
          </cell>
          <cell r="F10330">
            <v>9.15</v>
          </cell>
        </row>
        <row r="10331">
          <cell r="A10331" t="str">
            <v>424880</v>
          </cell>
          <cell r="B10331" t="str">
            <v>Curva horizontal 90°, p/ perfilado 38x38mm, em aço galvanizado a fogo, ref. DP603, fab. DISPAN ou similar</v>
          </cell>
          <cell r="C10331" t="str">
            <v>ud</v>
          </cell>
          <cell r="D10331">
            <v>0</v>
          </cell>
          <cell r="E10331">
            <v>9.15</v>
          </cell>
          <cell r="F10331">
            <v>9.15</v>
          </cell>
        </row>
        <row r="10332">
          <cell r="A10332" t="str">
            <v>424881</v>
          </cell>
          <cell r="B10332" t="str">
            <v>Curva de inversão 90°, p/ perfilado 38x38mm, em aço galvanizado a fogo, ref. DP605, fab. DISPAN ou similar</v>
          </cell>
          <cell r="C10332" t="str">
            <v>ud</v>
          </cell>
          <cell r="D10332">
            <v>0</v>
          </cell>
          <cell r="E10332">
            <v>9.15</v>
          </cell>
          <cell r="F10332">
            <v>9.15</v>
          </cell>
        </row>
        <row r="10333">
          <cell r="A10333" t="str">
            <v>424882</v>
          </cell>
          <cell r="B10333" t="str">
            <v>Suporte de eletroduto para vergalhão, em aço galvanizado a fogo, ref. DP640-2, fab. DISPAN ou similar, para eletroduto bitola 3/4"</v>
          </cell>
          <cell r="C10333" t="str">
            <v>ud</v>
          </cell>
          <cell r="D10333">
            <v>0</v>
          </cell>
          <cell r="E10333">
            <v>3.66</v>
          </cell>
          <cell r="F10333">
            <v>3.66</v>
          </cell>
        </row>
        <row r="10334">
          <cell r="A10334" t="str">
            <v>424883</v>
          </cell>
          <cell r="B10334" t="str">
            <v>Suporte de eletroduto para vergalhão, em aço galvanizado a fogo, ref. DP640-3, fab. DISPAN ou similar, para eletroduto bitola 1"</v>
          </cell>
          <cell r="C10334" t="str">
            <v>ud</v>
          </cell>
          <cell r="D10334">
            <v>0</v>
          </cell>
          <cell r="E10334">
            <v>3.65</v>
          </cell>
          <cell r="F10334">
            <v>3.65</v>
          </cell>
        </row>
        <row r="10335">
          <cell r="A10335" t="str">
            <v>4250</v>
          </cell>
          <cell r="B10335" t="str">
            <v>CAIXA DE PASSAGEM PRÉ FABRICADA</v>
          </cell>
          <cell r="C10335">
            <v>0</v>
          </cell>
          <cell r="D10335">
            <v>0</v>
          </cell>
          <cell r="E10335">
            <v>0</v>
          </cell>
          <cell r="F10335">
            <v>0</v>
          </cell>
        </row>
        <row r="10336">
          <cell r="A10336" t="str">
            <v>425001</v>
          </cell>
          <cell r="B10336" t="str">
            <v>Caixa de passagem pré-fabricada em concreto para proteção do eletrodo de terra, dimensões 300 x 300 x 300mm (287137)</v>
          </cell>
          <cell r="C10336" t="str">
            <v>ud</v>
          </cell>
          <cell r="D10336">
            <v>0</v>
          </cell>
          <cell r="E10336">
            <v>83</v>
          </cell>
          <cell r="F10336">
            <v>83</v>
          </cell>
        </row>
        <row r="10337">
          <cell r="A10337" t="str">
            <v>425002</v>
          </cell>
          <cell r="B10337" t="str">
            <v>Caixa de passagem pré-fabricada em concreto com tampa de embutir, dimensões 400 x 400 x 400mm (286883)</v>
          </cell>
          <cell r="C10337" t="str">
            <v>ud</v>
          </cell>
          <cell r="D10337">
            <v>0</v>
          </cell>
          <cell r="E10337">
            <v>86</v>
          </cell>
          <cell r="F10337">
            <v>86</v>
          </cell>
        </row>
        <row r="10338">
          <cell r="A10338" t="str">
            <v>425003</v>
          </cell>
          <cell r="B10338" t="str">
            <v>Caixa de passagem pré-fabricada em concreto com tampa de embutir, dimensões 500 x 500 x 500mm (286803)</v>
          </cell>
          <cell r="C10338" t="str">
            <v>ud</v>
          </cell>
          <cell r="D10338">
            <v>0</v>
          </cell>
          <cell r="E10338">
            <v>99.75</v>
          </cell>
          <cell r="F10338">
            <v>99.75</v>
          </cell>
        </row>
        <row r="10339">
          <cell r="A10339" t="str">
            <v>44</v>
          </cell>
          <cell r="B10339" t="str">
            <v>OBRAS ELÉTRICAS - FORNECIMENTO DE EQUIPAMENTOS</v>
          </cell>
          <cell r="C10339">
            <v>0</v>
          </cell>
          <cell r="D10339">
            <v>0</v>
          </cell>
          <cell r="E10339">
            <v>0</v>
          </cell>
          <cell r="F10339">
            <v>0</v>
          </cell>
        </row>
        <row r="10340">
          <cell r="A10340" t="str">
            <v>4401</v>
          </cell>
          <cell r="B10340" t="str">
            <v>TRANSFORMADORES</v>
          </cell>
          <cell r="C10340">
            <v>0</v>
          </cell>
          <cell r="D10340">
            <v>0</v>
          </cell>
          <cell r="E10340">
            <v>0</v>
          </cell>
          <cell r="F10340">
            <v>0</v>
          </cell>
        </row>
        <row r="10341">
          <cell r="A10341" t="str">
            <v>440101</v>
          </cell>
          <cell r="B10341" t="str">
            <v>Transformador de força trifásico a óleo, instalação em poste de concreto, 30kVA, 13,8kV/220/127V, 60Hz, lig. primário triângulo e secundário estrela com neutro acessivel, i=3,5%, fab. ROMAGNOLE ou similar, conforme especificação  (287072)</v>
          </cell>
          <cell r="C10341" t="str">
            <v>ud</v>
          </cell>
          <cell r="D10341">
            <v>0</v>
          </cell>
          <cell r="E10341">
            <v>5985.78</v>
          </cell>
          <cell r="F10341">
            <v>5985.78</v>
          </cell>
        </row>
        <row r="10342">
          <cell r="A10342" t="str">
            <v>440102</v>
          </cell>
          <cell r="B10342" t="str">
            <v>Transformador de força trifásico a óleo, instalação em poste de concreto, 45kVA, 13,8kV/220/127V, 60Hz, lig. primário triângulo e secundário estrela com neutro acessivel, i=3,5%, fab. ROMAGNOLE ou similar, conforme especificação</v>
          </cell>
          <cell r="C10342" t="str">
            <v>ud</v>
          </cell>
          <cell r="D10342">
            <v>0</v>
          </cell>
          <cell r="E10342">
            <v>7720.03</v>
          </cell>
          <cell r="F10342">
            <v>7720.03</v>
          </cell>
        </row>
        <row r="10343">
          <cell r="A10343" t="str">
            <v>440103</v>
          </cell>
          <cell r="B10343" t="str">
            <v>Transformador de força trifásico a óleo, instalação em poste de concreto, 75kVA, 13,8kV/220/127V, 60Hz, lig. primário triângulo e secundário estrela com neutro acessivel, i=3,5%, fab. ROMAGNOLE ou similar, conforme especificação</v>
          </cell>
          <cell r="C10343" t="str">
            <v>ud</v>
          </cell>
          <cell r="D10343">
            <v>0</v>
          </cell>
          <cell r="E10343">
            <v>10697.32</v>
          </cell>
          <cell r="F10343">
            <v>10697.32</v>
          </cell>
        </row>
        <row r="10344">
          <cell r="A10344" t="str">
            <v>440104</v>
          </cell>
          <cell r="B10344" t="str">
            <v>Transformador de força trifásico a óleo, instalação em poste de concreto, 112,5kVA, 13,8kV/220/127V, 60Hz, lig. primário triângulo e secundário estrela com neutro acessivel, i=3,5%, fab. ROMAGNOLE ou similar, conforme especificação</v>
          </cell>
          <cell r="C10344" t="str">
            <v>ud</v>
          </cell>
          <cell r="D10344">
            <v>0</v>
          </cell>
          <cell r="E10344">
            <v>12826.98</v>
          </cell>
          <cell r="F10344">
            <v>12826.98</v>
          </cell>
        </row>
        <row r="10345">
          <cell r="A10345" t="str">
            <v>440105</v>
          </cell>
          <cell r="B10345" t="str">
            <v>Transformador de força trifásico a óleo, instalação em poste de concreto, 150kVA, 13,8kV/220/127V, 60Hz, lig. primário triângulo e secundário estrela com neutro acessivel, i=4,5%, fab. ROMAGNOLE ou similar, conforme especificação</v>
          </cell>
          <cell r="C10345" t="str">
            <v>ud</v>
          </cell>
          <cell r="D10345">
            <v>0</v>
          </cell>
          <cell r="E10345">
            <v>14057.77</v>
          </cell>
          <cell r="F10345">
            <v>14057.77</v>
          </cell>
        </row>
        <row r="10346">
          <cell r="A10346" t="str">
            <v>440106</v>
          </cell>
          <cell r="B10346" t="str">
            <v>Transformador de força trifásico a óleo, instalação em poste de concreto, 225kVA, 13,8kV/220/127V, 60Hz, lig. primário triângulo e secundário estrela com neutro acessivel, i=4,5%, fab. ROMAGNOLE ou similar, conforme especificação</v>
          </cell>
          <cell r="C10346" t="str">
            <v>ud</v>
          </cell>
          <cell r="D10346">
            <v>0</v>
          </cell>
          <cell r="E10346">
            <v>17901.64</v>
          </cell>
          <cell r="F10346">
            <v>17901.64</v>
          </cell>
          <cell r="G10346">
            <v>0</v>
          </cell>
        </row>
        <row r="10347">
          <cell r="A10347" t="str">
            <v>440107</v>
          </cell>
          <cell r="B10347" t="str">
            <v>Transformador de força trifásico a óleo, instalação em poste de concreto, 300kVA, 13,8kV/220/127V, 60Hz, lig. primário triângulo e secundário estrela com neutro acessivel, i=4,5%, fab. ROMAGNOLE ou similar, conforme especificação</v>
          </cell>
          <cell r="C10347" t="str">
            <v>ud</v>
          </cell>
          <cell r="D10347">
            <v>0</v>
          </cell>
          <cell r="E10347">
            <v>21232.02</v>
          </cell>
          <cell r="F10347">
            <v>21232.02</v>
          </cell>
          <cell r="G10347">
            <v>0</v>
          </cell>
        </row>
        <row r="10348">
          <cell r="A10348" t="str">
            <v>440108</v>
          </cell>
          <cell r="B10348" t="str">
            <v>Transformador de força trifásico a óleo, com flanges de entrada e saida nas lateriais, 500kVA, 13,8kV/220/127V, 60Hz, lig. primário triângulo e secundário estrela com neutro acessivel, i=4,5%, fab. ROMAGNOLE ou similar, conforme especificação</v>
          </cell>
          <cell r="C10348" t="str">
            <v>ud</v>
          </cell>
          <cell r="D10348">
            <v>0</v>
          </cell>
          <cell r="E10348">
            <v>30307.59</v>
          </cell>
          <cell r="F10348">
            <v>30307.59</v>
          </cell>
          <cell r="G10348">
            <v>0</v>
          </cell>
        </row>
        <row r="10349">
          <cell r="A10349" t="str">
            <v>440109</v>
          </cell>
          <cell r="B10349" t="str">
            <v>Transformador de força trifásico a óleo, instalação em poste de concreto, 30kVA, 13,8kV/380/220V, 60Hz, lig. primário triângulo e secundário estrela com neutro acessivel, i=3,5%, fab. ROMAGNOLE ou similar, conforme especificação</v>
          </cell>
          <cell r="C10349" t="str">
            <v>ud</v>
          </cell>
          <cell r="D10349">
            <v>0</v>
          </cell>
          <cell r="E10349">
            <v>5985.78</v>
          </cell>
          <cell r="F10349">
            <v>5985.78</v>
          </cell>
          <cell r="G10349">
            <v>0</v>
          </cell>
        </row>
        <row r="10350">
          <cell r="A10350" t="str">
            <v>440110</v>
          </cell>
          <cell r="B10350" t="str">
            <v>Transformador de força trifásico a óleo, instalação em poste de concreto, 45kVA, 13,8kV/380/220V, 60Hz, lig. primário triângulo e secundário estrela com neutro acessivel, i=3,5%, fab. ROMAGNOLE ou similar, conforme especificação</v>
          </cell>
          <cell r="C10350" t="str">
            <v>ud</v>
          </cell>
          <cell r="D10350">
            <v>0</v>
          </cell>
          <cell r="E10350">
            <v>7720.03</v>
          </cell>
          <cell r="F10350">
            <v>7720.03</v>
          </cell>
          <cell r="G10350">
            <v>0</v>
          </cell>
        </row>
        <row r="10351">
          <cell r="A10351" t="str">
            <v>440111</v>
          </cell>
          <cell r="B10351" t="str">
            <v>Transformador de força trifásico a óleo, instalação em poste de concreto, 75kVA, 13,8kV/380/220V, 60Hz, lig. primário triângulo e secundário estrela com neutro acessivel, i=3,5%, fab. ROMAGNOLE ou similar, conforme especificação</v>
          </cell>
          <cell r="C10351" t="str">
            <v>ud</v>
          </cell>
          <cell r="D10351">
            <v>0</v>
          </cell>
          <cell r="E10351">
            <v>10697.32</v>
          </cell>
          <cell r="F10351">
            <v>10697.32</v>
          </cell>
        </row>
        <row r="10352">
          <cell r="A10352" t="str">
            <v>440112</v>
          </cell>
          <cell r="B10352" t="str">
            <v>Transformador de força trifásico a óleo, instalação em poste de concreto, 112,5kVA, 13,8kV/380/220V, 60Hz, lig. primário triângulo e secundário estrela com neutro acessivel, i=3,5%, fab. ROMAGNOLE ou similar, conforme especificação</v>
          </cell>
          <cell r="C10352" t="str">
            <v>ud</v>
          </cell>
          <cell r="D10352">
            <v>0</v>
          </cell>
          <cell r="E10352">
            <v>12826.98</v>
          </cell>
          <cell r="F10352">
            <v>12826.98</v>
          </cell>
        </row>
        <row r="10353">
          <cell r="A10353" t="str">
            <v>440113</v>
          </cell>
          <cell r="B10353" t="str">
            <v>Transformador de força trifásico a óleo, instalação em poste de concreto, 150kVA, 13,8kV/380/220V, 60Hz, lig. primário triângulo e secundário estrela com neutro acessivel, i=4,5%, fab. ROMAGNOLE ou similar, conforme especificação</v>
          </cell>
          <cell r="C10353" t="str">
            <v>ud</v>
          </cell>
          <cell r="D10353">
            <v>0</v>
          </cell>
          <cell r="E10353">
            <v>14057.77</v>
          </cell>
          <cell r="F10353">
            <v>14057.77</v>
          </cell>
        </row>
        <row r="10354">
          <cell r="A10354" t="str">
            <v>440114</v>
          </cell>
          <cell r="B10354" t="str">
            <v>Transformador de força trifásico a óleo, instalação em poste de concreto, 225kVA, 13,8kV/380/220V, 60Hz, lig. primário triângulo e secundário estrela com neutro acessivel, i=4,5%, fab. ROMAGNOLE ou similar, conforme especificação</v>
          </cell>
          <cell r="C10354" t="str">
            <v>ud</v>
          </cell>
          <cell r="D10354">
            <v>0</v>
          </cell>
          <cell r="E10354">
            <v>17890.5</v>
          </cell>
          <cell r="F10354">
            <v>17890.5</v>
          </cell>
        </row>
        <row r="10355">
          <cell r="A10355" t="str">
            <v>440115</v>
          </cell>
          <cell r="B10355" t="str">
            <v>Transformador de força trifásico a óleo, instalação em poste de concreto, 300kVA, 13,8kV/380/220V, 60Hz, lig. primário triângulo e secundário estrela com neutro acessivel, i=4,5%, fab. ROMAGNOLE ou similar, conforme especificação</v>
          </cell>
          <cell r="C10355" t="str">
            <v>ud</v>
          </cell>
          <cell r="D10355">
            <v>0</v>
          </cell>
          <cell r="E10355">
            <v>21232.02</v>
          </cell>
          <cell r="F10355">
            <v>21232.02</v>
          </cell>
        </row>
        <row r="10356">
          <cell r="A10356" t="str">
            <v>440116</v>
          </cell>
          <cell r="B10356" t="str">
            <v>Transformador de força trifásico a óleo, com flanges de entrada e saida nas lateriais, 500kVA, 13,8kV/380/220V, 60Hz, lig. primário triângulo e secundário estrela com neutro acessivel, i=4,5%, fab. ROMAGNOLE ou similar, conforme especificação</v>
          </cell>
          <cell r="C10356" t="str">
            <v>ud</v>
          </cell>
          <cell r="D10356">
            <v>0</v>
          </cell>
          <cell r="E10356">
            <v>27207.77</v>
          </cell>
          <cell r="F10356">
            <v>27207.77</v>
          </cell>
        </row>
        <row r="10357">
          <cell r="A10357" t="str">
            <v>440117</v>
          </cell>
          <cell r="B10357" t="str">
            <v>Transformador de força trifásico a óleo, instalação em poste de concreto, 30kVA, 13,8kV/440/254V, 60Hz, lig. primário triângulo e secundário estrela com neutro acessivel, i=3,5%, fab. ROMAGNOLE ou similar, conforme especificação</v>
          </cell>
          <cell r="C10357" t="str">
            <v>ud</v>
          </cell>
          <cell r="D10357">
            <v>0</v>
          </cell>
          <cell r="E10357">
            <v>5985.78</v>
          </cell>
          <cell r="F10357">
            <v>5985.78</v>
          </cell>
        </row>
        <row r="10358">
          <cell r="A10358" t="str">
            <v>440118</v>
          </cell>
          <cell r="B10358" t="str">
            <v>Transformador de força trifásico a óleo, instalação em poste de concreto, 45kVA, 13,8kV/440/254V, 60Hz, lig. primário triângulo e secundário estrela com neutro acessivel, i=3,5%, fab. ROMAGNOLE ou similar, conforme especificação</v>
          </cell>
          <cell r="C10358" t="str">
            <v>ud</v>
          </cell>
          <cell r="D10358">
            <v>0</v>
          </cell>
          <cell r="E10358">
            <v>7720.03</v>
          </cell>
          <cell r="F10358">
            <v>7720.03</v>
          </cell>
        </row>
        <row r="10359">
          <cell r="A10359" t="str">
            <v>440119</v>
          </cell>
          <cell r="B10359" t="str">
            <v>Transformador de força trifásico a óleo, instalação em poste de concreto, 75kVA, 13,8kV/440/254V, 60Hz, lig. primário triângulo e secundário estrela com neutro acessivel, i=3,5%, fab. ROMAGNOLE ou similar, conforme especificação</v>
          </cell>
          <cell r="C10359" t="str">
            <v>ud</v>
          </cell>
          <cell r="D10359">
            <v>0</v>
          </cell>
          <cell r="E10359">
            <v>10697.32</v>
          </cell>
          <cell r="F10359">
            <v>10697.32</v>
          </cell>
        </row>
        <row r="10360">
          <cell r="A10360" t="str">
            <v>440120</v>
          </cell>
          <cell r="B10360" t="str">
            <v>Transformador de força trifásico a óleo, instalação em poste de concreto, 112,5kVA, 13,8kV/440/254V, 60Hz, lig. primário triângulo e secundário estrela com neutro acessivel, i=3,5%, fab. ROMAGNOLE ou similar, conforme especificação</v>
          </cell>
          <cell r="C10360" t="str">
            <v>ud</v>
          </cell>
          <cell r="D10360">
            <v>0</v>
          </cell>
          <cell r="E10360">
            <v>12826.98</v>
          </cell>
          <cell r="F10360">
            <v>12826.98</v>
          </cell>
        </row>
        <row r="10361">
          <cell r="A10361" t="str">
            <v>440121</v>
          </cell>
          <cell r="B10361" t="str">
            <v>Transformador de força trifásico a óleo, instalação em poste de concreto, 150kVA, 13,8kV/440/254V, 60Hz, lig. primário triângulo e secundário estrela com neutro acessivel, i=4,5%, fab. ROMAGNOLE ou similar, conforme especificação</v>
          </cell>
          <cell r="C10361" t="str">
            <v>ud</v>
          </cell>
          <cell r="D10361">
            <v>0</v>
          </cell>
          <cell r="E10361">
            <v>14057.77</v>
          </cell>
          <cell r="F10361">
            <v>14057.77</v>
          </cell>
        </row>
        <row r="10362">
          <cell r="A10362" t="str">
            <v>440122</v>
          </cell>
          <cell r="B10362" t="str">
            <v>Transformador de força trifásico a óleo, instalação em poste de concreto, 225kVA, 13,8kV/440/254V, 60Hz, lig. primário triângulo e secundário estrela com neutro acessivel, i=4,5%, fab. ROMAGNOLE ou similar, conforme especificação</v>
          </cell>
          <cell r="C10362" t="str">
            <v>ud</v>
          </cell>
          <cell r="D10362">
            <v>0</v>
          </cell>
          <cell r="E10362">
            <v>17901.64</v>
          </cell>
          <cell r="F10362">
            <v>17901.64</v>
          </cell>
        </row>
        <row r="10363">
          <cell r="A10363" t="str">
            <v>440123</v>
          </cell>
          <cell r="B10363" t="str">
            <v>Transformador de força trifásico a óleo, instalação em poste de concreto, 300kVA, 13,8kV/440/254V, 60Hz, lig. primário triângulo e secundário estrela com neutro acessivel, i=4,5%, fab. ROMAGNOLE ou similar, conforme especificação</v>
          </cell>
          <cell r="C10363" t="str">
            <v>ud</v>
          </cell>
          <cell r="D10363">
            <v>0</v>
          </cell>
          <cell r="E10363">
            <v>21232.02</v>
          </cell>
          <cell r="F10363">
            <v>21232.02</v>
          </cell>
        </row>
        <row r="10364">
          <cell r="A10364" t="str">
            <v>440124</v>
          </cell>
          <cell r="B10364" t="str">
            <v>Transformador de força trifásico a óleo, com flanges de entrada e saida nas lateriais, 500kVA, 13,8kV/440/254V, 60Hz, lig. primário triângulo e secundário estrela com neutro acessivel, i=4,5%, fab. ROMAGNOLE ou similar, conforme especificação</v>
          </cell>
          <cell r="C10364" t="str">
            <v>ud</v>
          </cell>
          <cell r="D10364">
            <v>0</v>
          </cell>
          <cell r="E10364">
            <v>27461.73</v>
          </cell>
          <cell r="F10364">
            <v>27461.73</v>
          </cell>
        </row>
        <row r="10365">
          <cell r="A10365" t="str">
            <v>440125</v>
          </cell>
          <cell r="B10365" t="str">
            <v>Transformador de força trifásico a óleo, instalação em poste de concreto, 30kVA, 34,5kV/220/127V, 60Hz, lig. primário estrela c/ neutro aterrado e secundário estrela com neutro acessivel, i=3,5%, fab. ROMAGNOLE ou similar, conforme especificação (287073)</v>
          </cell>
          <cell r="C10365" t="str">
            <v>ud</v>
          </cell>
          <cell r="D10365">
            <v>0</v>
          </cell>
          <cell r="E10365">
            <v>7012</v>
          </cell>
          <cell r="F10365">
            <v>7012</v>
          </cell>
        </row>
        <row r="10366">
          <cell r="A10366" t="str">
            <v>440126</v>
          </cell>
          <cell r="B10366" t="str">
            <v>Transformador de força trifásico a óleo, instalação em poste de concreto, 45kVA, 34,5kV/220/127V, 60Hz, lig. primário estrela c/ neutro aterrado e secundário estrela com neutro acessivel, i=3,5%, fab. SIEMENS ou similar, conforme especificação</v>
          </cell>
          <cell r="C10366" t="str">
            <v>ud</v>
          </cell>
          <cell r="D10366">
            <v>0</v>
          </cell>
          <cell r="E10366">
            <v>8190</v>
          </cell>
          <cell r="F10366">
            <v>8190</v>
          </cell>
        </row>
        <row r="10367">
          <cell r="A10367" t="str">
            <v>440127</v>
          </cell>
          <cell r="B10367" t="str">
            <v>Transformador de força trifásico a óleo, instalação em poste de concreto, 75kVA, 34,5kV/220/127V, 60Hz, lig. primário estrela c/ neutro aterrado e secundário estrela com neutro acessivel, i=3,5%, fab. ROMAGNOLE ou similar, conforme especificação</v>
          </cell>
          <cell r="C10367" t="str">
            <v>ud</v>
          </cell>
          <cell r="D10367">
            <v>0</v>
          </cell>
          <cell r="E10367">
            <v>12352</v>
          </cell>
          <cell r="F10367">
            <v>12352</v>
          </cell>
        </row>
        <row r="10368">
          <cell r="A10368" t="str">
            <v>440128</v>
          </cell>
          <cell r="B10368" t="str">
            <v>Transformador de força trifásico a óleo, instalação em poste de concreto, 112,5kVA, 34,5kV/220/127V, 60Hz, lig. primário estrela c/ neutro aterrado e secundário estrela com neutro acessivel, i=3,5%, fab. ROMAGNOLE ou similar, conforme especificação</v>
          </cell>
          <cell r="C10368" t="str">
            <v>ud</v>
          </cell>
          <cell r="D10368">
            <v>0</v>
          </cell>
          <cell r="E10368">
            <v>14725</v>
          </cell>
          <cell r="F10368">
            <v>14725</v>
          </cell>
        </row>
        <row r="10369">
          <cell r="A10369" t="str">
            <v>440129</v>
          </cell>
          <cell r="B10369" t="str">
            <v>Transformador de força trifásico a óleo, instalação em poste de concreto, 150kVA, 34,5kV/220/127V, 60Hz, lig. primário estrela c/ neutro aterrado e secundário estrela com neutro acessivel, i=3,5%, fab. ROMAGNOLE ou similar, conforme especificação</v>
          </cell>
          <cell r="C10369" t="str">
            <v>ud</v>
          </cell>
          <cell r="D10369">
            <v>0</v>
          </cell>
          <cell r="E10369">
            <v>16976.04</v>
          </cell>
          <cell r="F10369">
            <v>16976.04</v>
          </cell>
        </row>
        <row r="10370">
          <cell r="A10370" t="str">
            <v>440130</v>
          </cell>
          <cell r="B10370" t="str">
            <v>Transformador de força trifásico a óleo, instalação em poste de concreto, 225kVA, 34,5kV/220/127V, 60Hz, lig. primário estrela c/ neutro aterrado e secundário estrela com neutro acessivel, i=3,5%, fab. ROMAGNOLE ou similar, conforme especificação</v>
          </cell>
          <cell r="C10370" t="str">
            <v>ud</v>
          </cell>
          <cell r="D10370">
            <v>0</v>
          </cell>
          <cell r="E10370">
            <v>21617.41</v>
          </cell>
          <cell r="F10370">
            <v>21617.41</v>
          </cell>
        </row>
        <row r="10371">
          <cell r="A10371" t="str">
            <v>440131</v>
          </cell>
          <cell r="B10371" t="str">
            <v>Transformador de força trifásico a óleo, instalação em poste de concreto, 300kVA, 34,5kV/220/127V, 60Hz, lig. primário estrela c/ neutro aterrado e secundário estrela com neutro acessivel, i=3,5%, fab. ROMAGNOLE ou similar, conforme especificação (287822)</v>
          </cell>
          <cell r="C10371" t="str">
            <v>ud</v>
          </cell>
          <cell r="D10371">
            <v>0</v>
          </cell>
          <cell r="E10371">
            <v>25595</v>
          </cell>
          <cell r="F10371">
            <v>25595</v>
          </cell>
        </row>
        <row r="10372">
          <cell r="A10372" t="str">
            <v>440132</v>
          </cell>
          <cell r="B10372" t="str">
            <v>Transformador de força trifásico a óleo, instalação em poste de concreto, 30kVA, 34,5kV/380/220V, 60Hz, lig. primário estrela c/ neutro aterrado e secundário estrela com neutro acessivel, i=3,5%, fab. ROMAGNOLE ou similar, conforme especificação</v>
          </cell>
          <cell r="C10372" t="str">
            <v>ud</v>
          </cell>
          <cell r="D10372">
            <v>0</v>
          </cell>
          <cell r="E10372">
            <v>7012</v>
          </cell>
          <cell r="F10372">
            <v>7012</v>
          </cell>
        </row>
        <row r="10373">
          <cell r="A10373" t="str">
            <v>440133</v>
          </cell>
          <cell r="B10373" t="str">
            <v>Transformador de força trifásico a óleo, instalação em poste de concreto, 45kVA, 34,5kV/380/220V, 60Hz, lig. primário estrela c/ neutro aterrado e secundário estrela com neutro acessivel, i=3,5%, fab. ROMAGNOLE ou similar, conforme especificação</v>
          </cell>
          <cell r="C10373" t="str">
            <v>ud</v>
          </cell>
          <cell r="D10373">
            <v>0</v>
          </cell>
          <cell r="E10373">
            <v>8190</v>
          </cell>
          <cell r="F10373">
            <v>8190</v>
          </cell>
        </row>
        <row r="10374">
          <cell r="A10374" t="str">
            <v>440134</v>
          </cell>
          <cell r="B10374" t="str">
            <v>Transformador de força trifásico a óleo, instalação em poste de concreto, 75kVA, 34,5kV/380/220V, 60Hz, lig. primário estrela c/ neutro aterrado e secundário estrela com neutro acessivel, i=3,5%, fab. ROMAGNOLE ou similar, conforme especificação</v>
          </cell>
          <cell r="C10374" t="str">
            <v>ud</v>
          </cell>
          <cell r="D10374">
            <v>0</v>
          </cell>
          <cell r="E10374">
            <v>12352</v>
          </cell>
          <cell r="F10374">
            <v>12352</v>
          </cell>
        </row>
        <row r="10375">
          <cell r="A10375" t="str">
            <v>440135</v>
          </cell>
          <cell r="B10375" t="str">
            <v>Transformador de força trifásico a óleo, instalação em poste de concreto, 112,5kVA, 34,5kV/380/220V, 60Hz, lig. primário estrela c/ neutro aterrado e secundário estrela com neutro acessivel, i=3,5%, fab. ROMAGNOLE ou similar, conforme especificação</v>
          </cell>
          <cell r="C10375" t="str">
            <v>ud</v>
          </cell>
          <cell r="D10375">
            <v>0</v>
          </cell>
          <cell r="E10375">
            <v>14725</v>
          </cell>
          <cell r="F10375">
            <v>14725</v>
          </cell>
        </row>
        <row r="10376">
          <cell r="A10376" t="str">
            <v>440136</v>
          </cell>
          <cell r="B10376" t="str">
            <v>Transformador de força trifásico a óleo, instalação em poste de concreto, 150kVA, 34,5kV/380/220V, 60Hz, lig. primário estrela c/ neutro aterrado e secundário estrela com neutro acessivel, i=3,5%, fab. ROMAGNOLE ou similar, conforme especificação</v>
          </cell>
          <cell r="C10376" t="str">
            <v>ud</v>
          </cell>
          <cell r="D10376">
            <v>0</v>
          </cell>
          <cell r="E10376">
            <v>16676.04</v>
          </cell>
          <cell r="F10376">
            <v>16676.04</v>
          </cell>
        </row>
        <row r="10377">
          <cell r="A10377" t="str">
            <v>440137</v>
          </cell>
          <cell r="B10377" t="str">
            <v>Transformador de força trifásico a óleo, instalação em poste de concreto, 225 kVA, 34,5kV/380/220V, 60Hz, lig. primário estrela c/ neutro aterrado e secundário estrela com neutro acessivel, i=3,5%, fab. ROMAGNOLE ou similar, conforme especificação</v>
          </cell>
          <cell r="C10377" t="str">
            <v>ud</v>
          </cell>
          <cell r="D10377">
            <v>0</v>
          </cell>
          <cell r="E10377">
            <v>21617.41</v>
          </cell>
          <cell r="F10377">
            <v>21617.41</v>
          </cell>
        </row>
        <row r="10378">
          <cell r="A10378" t="str">
            <v>440138</v>
          </cell>
          <cell r="B10378" t="str">
            <v>Transformador de força trifásico a óleo, instalação em poste de concreto, 300 kVA, 34,5kV/380/220V, 60Hz, lig. primário estrela c/ neutro aterrado e secundário estrela com neutro acessivel, i=3,5%, fab. ROMAGNOLE ou similar, conforme especificação</v>
          </cell>
          <cell r="C10378" t="str">
            <v>ud</v>
          </cell>
          <cell r="D10378">
            <v>0</v>
          </cell>
          <cell r="E10378">
            <v>25595</v>
          </cell>
          <cell r="F10378">
            <v>25595</v>
          </cell>
        </row>
        <row r="10379">
          <cell r="A10379" t="str">
            <v>440139</v>
          </cell>
          <cell r="B10379" t="str">
            <v>Transformador de força trifásico a óleo, instalação em poste de concreto, 30 kVA, 34,5kV/440/254V, 60Hz, lig. primário estrela c/ neutro aterrado e secundário estrela com neutro acessivel, i=3,5%, fab. SIEMENS ou similar, conforme especificação</v>
          </cell>
          <cell r="C10379" t="str">
            <v>ud</v>
          </cell>
          <cell r="D10379">
            <v>0</v>
          </cell>
          <cell r="E10379">
            <v>7012</v>
          </cell>
          <cell r="F10379">
            <v>7012</v>
          </cell>
        </row>
        <row r="10380">
          <cell r="A10380" t="str">
            <v>440140</v>
          </cell>
          <cell r="B10380" t="str">
            <v>Transformador de força trifásico a óleo, instalação em poste de concreto, 45 kVA, 34,5kV/440/254V, 60Hz, lig. primário estrela c/ neutro aterrado e secundário estrela com neutro acessivel, i=3,5%, fab. SIEMENS ou similar, conforme especificação</v>
          </cell>
          <cell r="C10380" t="str">
            <v>ud</v>
          </cell>
          <cell r="D10380">
            <v>0</v>
          </cell>
          <cell r="E10380">
            <v>8190</v>
          </cell>
          <cell r="F10380">
            <v>8190</v>
          </cell>
        </row>
        <row r="10381">
          <cell r="A10381" t="str">
            <v>440141</v>
          </cell>
          <cell r="B10381" t="str">
            <v>Transformador de força trifásico a óleo, instalação em poste de concreto, 75 kVA, 34,5kV/440/254V, 60Hz, lig. primário estrela c/ neutro aterrado e secundário estrela com neutro acessivel, i=3,5%, fab. SIEMENS ou similar, conforme especificação</v>
          </cell>
          <cell r="C10381" t="str">
            <v>ud</v>
          </cell>
          <cell r="D10381">
            <v>0</v>
          </cell>
          <cell r="E10381">
            <v>12352</v>
          </cell>
          <cell r="F10381">
            <v>12352</v>
          </cell>
        </row>
        <row r="10382">
          <cell r="A10382" t="str">
            <v>440142</v>
          </cell>
          <cell r="B10382" t="str">
            <v>Transformador de força trifásico a óleo, instalação em poste de concreto, 112,5 kVA, 34,5kV/440/254V, 60Hz, lig. primário estrela c/ neutro aterrado e secundário estrela com neutro acessivel, i=3,5%, fab. SIEMENS ou similar, conforme especificação</v>
          </cell>
          <cell r="C10382" t="str">
            <v>ud</v>
          </cell>
          <cell r="D10382">
            <v>0</v>
          </cell>
          <cell r="E10382">
            <v>14725</v>
          </cell>
          <cell r="F10382">
            <v>14725</v>
          </cell>
        </row>
        <row r="10383">
          <cell r="A10383" t="str">
            <v>440143</v>
          </cell>
          <cell r="B10383" t="str">
            <v>Transformador de força trifásico a óleo, instalação em poste de concreto, 150 kVA, 34,5kV/440/254V, 60Hz, lig. primário estrela c/ neutro aterrado e secundário estrela com neutro acessivel, i=3,5%, fab. SIEMENS ou similar, conforme especificação</v>
          </cell>
          <cell r="C10383" t="str">
            <v>ud</v>
          </cell>
          <cell r="D10383">
            <v>0</v>
          </cell>
          <cell r="E10383">
            <v>16976.04</v>
          </cell>
          <cell r="F10383">
            <v>16976.04</v>
          </cell>
        </row>
        <row r="10384">
          <cell r="A10384" t="str">
            <v>440144</v>
          </cell>
          <cell r="B10384" t="str">
            <v>Transformador de força trifásico a óleo, instalação em poste de concreto, 225 kVA, 34,5kV/440/254V, 60Hz, lig. primário estrela c/ neutro aterrado e secundário estrela com neutro acessivel, i=4,5%, fab. SIEMENS ou similar, conforme especificação</v>
          </cell>
          <cell r="C10384" t="str">
            <v>ud</v>
          </cell>
          <cell r="D10384">
            <v>0</v>
          </cell>
          <cell r="E10384">
            <v>21617.41</v>
          </cell>
          <cell r="F10384">
            <v>21617.41</v>
          </cell>
        </row>
        <row r="10385">
          <cell r="A10385" t="str">
            <v>440145</v>
          </cell>
          <cell r="B10385" t="str">
            <v>Transformador de força trifásico a óleo, instalação em poste de concreto, 300 kVA, 34,5kV/440/254V, 60Hz, lig. primário estrela c/ neutro aterrado e secundário estrela com neutro acessivel, i=4,5%, fab. SIEMENS ou similar, conforme especificação</v>
          </cell>
          <cell r="C10385" t="str">
            <v>ud</v>
          </cell>
          <cell r="D10385">
            <v>0</v>
          </cell>
          <cell r="E10385">
            <v>25595</v>
          </cell>
          <cell r="F10385">
            <v>25595</v>
          </cell>
        </row>
        <row r="10386">
          <cell r="A10386" t="str">
            <v>440146</v>
          </cell>
          <cell r="B10386" t="str">
            <v>Transformador de força trifásico a seco, em epoxi, com sensor temperatura, 1000kVA, 13,8kV/440/254V, 60Hz, lig. primário triângulo e secundário estrela com neutro acessivel, i=5,75%, fab. SIEMENS ou similar, conforme especificação</v>
          </cell>
          <cell r="C10386" t="str">
            <v>ud</v>
          </cell>
          <cell r="D10386">
            <v>0</v>
          </cell>
          <cell r="E10386">
            <v>54497.96</v>
          </cell>
          <cell r="F10386">
            <v>54497.96</v>
          </cell>
        </row>
        <row r="10387">
          <cell r="A10387" t="str">
            <v>440147</v>
          </cell>
          <cell r="B10387" t="str">
            <v>Transformador de força trifásico a seco, em epoxi a vácuo, com sensor temperatura, 1500kVA, 13,8kV/440/254V, 60Hz, lig. primário triângulo e secundário estrela com neutro acessivel, i=5,75%, fab. SIEMENS ou similar, conforme especificação</v>
          </cell>
          <cell r="C10387" t="str">
            <v>ud</v>
          </cell>
          <cell r="D10387">
            <v>0</v>
          </cell>
          <cell r="E10387">
            <v>68514.53</v>
          </cell>
          <cell r="F10387">
            <v>68514.53</v>
          </cell>
        </row>
        <row r="10388">
          <cell r="A10388" t="str">
            <v>4402</v>
          </cell>
          <cell r="B10388" t="str">
            <v>TORRE AUTO-PORTANTE</v>
          </cell>
          <cell r="C10388">
            <v>0</v>
          </cell>
          <cell r="D10388">
            <v>0</v>
          </cell>
          <cell r="E10388">
            <v>0</v>
          </cell>
          <cell r="F10388">
            <v>0</v>
          </cell>
        </row>
        <row r="10389">
          <cell r="A10389" t="str">
            <v>440201</v>
          </cell>
          <cell r="B10389" t="str">
            <v>Torre autoportante modelo ASS2-15, p/antenas de rádio, secção transv. triangular tub., treliça Z, mód. de 3 ou 6m, galv. a fogo, veloc. do vento de 45m/s, sistema de pára-raios, sinalizador noturno, pintura, projeto,  ART, montagem, fundação e demais cara</v>
          </cell>
          <cell r="C10389" t="str">
            <v>ud</v>
          </cell>
          <cell r="D10389">
            <v>0</v>
          </cell>
          <cell r="E10389">
            <v>29315.55</v>
          </cell>
          <cell r="F10389">
            <v>29315.55</v>
          </cell>
        </row>
        <row r="10390">
          <cell r="A10390" t="str">
            <v>440202</v>
          </cell>
          <cell r="B10390" t="str">
            <v>Torre auto-portante modelo ASS2-18, p/antenas de rádio, secção transv. triangular tub., treliça Z, mód. de 3 ou 6m, galv. a fogo, veloc. do vento de 45m/s, sistema de pára-raios, sinalizador noturno, pintura, projeto,  ART, montagem, fundação e demais car</v>
          </cell>
          <cell r="C10390" t="str">
            <v>ud</v>
          </cell>
          <cell r="D10390">
            <v>0</v>
          </cell>
          <cell r="E10390">
            <v>35361.15</v>
          </cell>
          <cell r="F10390">
            <v>35361.15</v>
          </cell>
        </row>
        <row r="10391">
          <cell r="A10391" t="str">
            <v>440203</v>
          </cell>
          <cell r="B10391" t="str">
            <v>Torre auto-portante modelo ASS2-24, p/antenas de rádio, secção transv. triangular tub., treliça Z, mód. de 3 ou 6m, galv. a fogo, veloc. do vento de 45m/s, sistema de pára-raios, sinalizador noturno, pintura, projeto,  ART, montagem, fundação e demais car</v>
          </cell>
          <cell r="C10391" t="str">
            <v>ud</v>
          </cell>
          <cell r="D10391">
            <v>0</v>
          </cell>
          <cell r="E10391">
            <v>46421.1</v>
          </cell>
          <cell r="F10391">
            <v>46421.1</v>
          </cell>
        </row>
        <row r="10392">
          <cell r="A10392" t="str">
            <v>440204</v>
          </cell>
          <cell r="B10392" t="str">
            <v>Torre auto-portante modelo ASS2-30, p/antenas de rádio, secção transv. triangular tub., treliça Z, mód. de 3 ou 6m, galv. a fogo, veloc. do vento de 45m/s, sistema de pára-raios, sinalizador noturno, pintura, projeto,  ART, montagem, fundação e demais car</v>
          </cell>
          <cell r="C10392" t="str">
            <v>ud</v>
          </cell>
          <cell r="D10392">
            <v>0</v>
          </cell>
          <cell r="E10392">
            <v>63939.15</v>
          </cell>
          <cell r="F10392">
            <v>63939.15</v>
          </cell>
        </row>
        <row r="10393">
          <cell r="A10393" t="str">
            <v>440205</v>
          </cell>
          <cell r="B10393" t="str">
            <v>Torre auto-portante modelo ASS2-33, p/antenas de rádio, secção transv. triangular tub., treliça Z, mód. de 3 ou 6m, galv. a fogo, veloc. do vento de 45m/s, sistema de pára-raios, sinalizador noturno, pintura, projeto,  ART, montagem, fundação e demais car</v>
          </cell>
          <cell r="C10393" t="str">
            <v>ud</v>
          </cell>
          <cell r="D10393">
            <v>0</v>
          </cell>
          <cell r="E10393">
            <v>69238.95</v>
          </cell>
          <cell r="F10393">
            <v>69238.95</v>
          </cell>
        </row>
        <row r="10394">
          <cell r="A10394" t="str">
            <v>440206</v>
          </cell>
          <cell r="B10394" t="str">
            <v>Torre auto-portante modelo ASS3-36, p/antenas de rádio, secção transv. triangular tub., treliça Z, mód. de 3 ou 6m, galv. a fogo, veloc. do vento de 45m/s, sistema de pára-raios, sinalizador noturno, pintura, projeto,  ART, montagem, fundação e demais car</v>
          </cell>
          <cell r="C10394" t="str">
            <v>ud</v>
          </cell>
          <cell r="D10394">
            <v>0</v>
          </cell>
          <cell r="E10394">
            <v>91647.6</v>
          </cell>
          <cell r="F10394">
            <v>91647.6</v>
          </cell>
        </row>
        <row r="10395">
          <cell r="A10395" t="str">
            <v>440207</v>
          </cell>
          <cell r="B10395" t="str">
            <v>Torre auto-portante modelo ASS3-40, p/antenas de rádio, secção transv. triangular tub., treliça Z, mód. de 3 ou 6m, galv. a fogo, veloc. do vento de 45m/s, sistema de pára-raios, sinalizador noturno, pintura, projeto,  ART, montagem, fundação e demais car</v>
          </cell>
          <cell r="C10395" t="str">
            <v>ud</v>
          </cell>
          <cell r="D10395">
            <v>0</v>
          </cell>
          <cell r="E10395">
            <v>109762.95</v>
          </cell>
          <cell r="F10395">
            <v>109762.95</v>
          </cell>
        </row>
        <row r="10396">
          <cell r="A10396" t="str">
            <v>440208</v>
          </cell>
          <cell r="B10396" t="str">
            <v>Torre auto-portante modelo ASS3-42, p/antenas de rádio, secção transv. triangular tub., treliça Z, mód. de 3 ou 6m, galv. a fogo, veloc. do vento de 45m/s, sistema de pára-raios, sinalizador noturno, pintura, projeto,  ART, montagem, fundação e demais car</v>
          </cell>
          <cell r="C10396" t="str">
            <v>ud</v>
          </cell>
          <cell r="D10396">
            <v>0</v>
          </cell>
          <cell r="E10396">
            <v>118410.6</v>
          </cell>
          <cell r="F10396">
            <v>118410.6</v>
          </cell>
        </row>
        <row r="10397">
          <cell r="A10397" t="str">
            <v>440209</v>
          </cell>
          <cell r="B10397" t="str">
            <v>Torre auto-portante modelo ASS3-50, p/antenas de rádio, secção transv. triangular tub., treliça Z, mód. de 3 ou 6m, galv. a fogo, veloc. do vento de 45m/s, sistema de pára-raios, sinalizador noturno, pintura, projeto,  ART, montagem, fundação e demais car</v>
          </cell>
          <cell r="C10397" t="str">
            <v>ud</v>
          </cell>
          <cell r="D10397">
            <v>0</v>
          </cell>
          <cell r="E10397">
            <v>194246.25</v>
          </cell>
          <cell r="F10397">
            <v>194246.25</v>
          </cell>
        </row>
        <row r="10398">
          <cell r="A10398" t="str">
            <v>46</v>
          </cell>
          <cell r="B10398" t="str">
            <v>AUTOMAÇÃO INDUSTRIAL</v>
          </cell>
          <cell r="C10398">
            <v>0</v>
          </cell>
          <cell r="D10398">
            <v>0</v>
          </cell>
          <cell r="E10398">
            <v>0</v>
          </cell>
          <cell r="F10398">
            <v>0</v>
          </cell>
        </row>
        <row r="10399">
          <cell r="A10399" t="str">
            <v>4601</v>
          </cell>
          <cell r="B10399" t="str">
            <v>DESENVOLVIMENTO DOS DIAGRAMAS LÓGICOS E DE CONTROLE</v>
          </cell>
          <cell r="C10399">
            <v>0</v>
          </cell>
          <cell r="D10399">
            <v>0</v>
          </cell>
          <cell r="E10399">
            <v>0</v>
          </cell>
          <cell r="F10399">
            <v>0</v>
          </cell>
        </row>
        <row r="10400">
          <cell r="A10400" t="str">
            <v>460101</v>
          </cell>
          <cell r="B10400" t="str">
            <v>Instrumento</v>
          </cell>
          <cell r="C10400" t="str">
            <v>ud</v>
          </cell>
          <cell r="D10400">
            <v>65.13</v>
          </cell>
          <cell r="E10400">
            <v>0</v>
          </cell>
          <cell r="F10400">
            <v>65.13</v>
          </cell>
        </row>
        <row r="10401">
          <cell r="A10401" t="str">
            <v>460102</v>
          </cell>
          <cell r="B10401" t="str">
            <v>Instrumento - 2 a 5 repetições</v>
          </cell>
          <cell r="C10401" t="str">
            <v>ud</v>
          </cell>
          <cell r="D10401">
            <v>48.85</v>
          </cell>
          <cell r="E10401">
            <v>0</v>
          </cell>
          <cell r="F10401">
            <v>48.85</v>
          </cell>
        </row>
        <row r="10402">
          <cell r="A10402" t="str">
            <v>460103</v>
          </cell>
          <cell r="B10402" t="str">
            <v>Instrumento - 6 a 10 repetições</v>
          </cell>
          <cell r="C10402" t="str">
            <v>ud</v>
          </cell>
          <cell r="D10402">
            <v>42.33</v>
          </cell>
          <cell r="E10402">
            <v>0</v>
          </cell>
          <cell r="F10402">
            <v>42.33</v>
          </cell>
        </row>
        <row r="10403">
          <cell r="A10403" t="str">
            <v>460104</v>
          </cell>
          <cell r="B10403" t="str">
            <v>Instrumento - acima de 10 repetições</v>
          </cell>
          <cell r="C10403" t="str">
            <v>ud</v>
          </cell>
          <cell r="D10403">
            <v>32.57</v>
          </cell>
          <cell r="E10403">
            <v>0</v>
          </cell>
          <cell r="F10403">
            <v>32.57</v>
          </cell>
        </row>
        <row r="10404">
          <cell r="A10404" t="str">
            <v>460105</v>
          </cell>
          <cell r="B10404" t="str">
            <v>Válvula de controle</v>
          </cell>
          <cell r="C10404" t="str">
            <v>ud</v>
          </cell>
          <cell r="D10404">
            <v>162.81</v>
          </cell>
          <cell r="E10404">
            <v>0</v>
          </cell>
          <cell r="F10404">
            <v>162.81</v>
          </cell>
        </row>
        <row r="10405">
          <cell r="A10405" t="str">
            <v>460106</v>
          </cell>
          <cell r="B10405" t="str">
            <v>Válvula de controle - 2 a 5 repetições</v>
          </cell>
          <cell r="C10405" t="str">
            <v>ud</v>
          </cell>
          <cell r="D10405">
            <v>122.11</v>
          </cell>
          <cell r="E10405">
            <v>0</v>
          </cell>
          <cell r="F10405">
            <v>122.11</v>
          </cell>
        </row>
        <row r="10406">
          <cell r="A10406" t="str">
            <v>460107</v>
          </cell>
          <cell r="B10406" t="str">
            <v>Válvula de controle - 6 a 10 repetições</v>
          </cell>
          <cell r="C10406" t="str">
            <v>ud</v>
          </cell>
          <cell r="D10406">
            <v>105.82</v>
          </cell>
          <cell r="E10406">
            <v>0</v>
          </cell>
          <cell r="F10406">
            <v>105.82</v>
          </cell>
        </row>
        <row r="10407">
          <cell r="A10407" t="str">
            <v>460108</v>
          </cell>
          <cell r="B10407" t="str">
            <v>Válvula de controle - acima de 10 repetições</v>
          </cell>
          <cell r="C10407" t="str">
            <v>ud</v>
          </cell>
          <cell r="D10407">
            <v>81.41</v>
          </cell>
          <cell r="E10407">
            <v>0</v>
          </cell>
          <cell r="F10407">
            <v>81.41</v>
          </cell>
        </row>
        <row r="10408">
          <cell r="A10408" t="str">
            <v>460109</v>
          </cell>
          <cell r="B10408" t="str">
            <v>Válvula de bloqueio</v>
          </cell>
          <cell r="C10408" t="str">
            <v>ud</v>
          </cell>
          <cell r="D10408">
            <v>97.68</v>
          </cell>
          <cell r="E10408">
            <v>0</v>
          </cell>
          <cell r="F10408">
            <v>97.68</v>
          </cell>
        </row>
        <row r="10409">
          <cell r="A10409" t="str">
            <v>460110</v>
          </cell>
          <cell r="B10409" t="str">
            <v>Válvula de bloqueio - 2 a 5 repetições</v>
          </cell>
          <cell r="C10409" t="str">
            <v>ud</v>
          </cell>
          <cell r="D10409">
            <v>73.260000000000005</v>
          </cell>
          <cell r="E10409">
            <v>0</v>
          </cell>
          <cell r="F10409">
            <v>73.260000000000005</v>
          </cell>
        </row>
        <row r="10410">
          <cell r="A10410" t="str">
            <v>460111</v>
          </cell>
          <cell r="B10410" t="str">
            <v>Válvula de bloqueio - 6 a 10 repetições</v>
          </cell>
          <cell r="C10410" t="str">
            <v>ud</v>
          </cell>
          <cell r="D10410">
            <v>63.49</v>
          </cell>
          <cell r="E10410">
            <v>0</v>
          </cell>
          <cell r="F10410">
            <v>63.49</v>
          </cell>
        </row>
        <row r="10411">
          <cell r="A10411" t="str">
            <v>460112</v>
          </cell>
          <cell r="B10411" t="str">
            <v>Válvula de bloqueio - acima de 10 repetições</v>
          </cell>
          <cell r="C10411" t="str">
            <v>ud</v>
          </cell>
          <cell r="D10411">
            <v>48.85</v>
          </cell>
          <cell r="E10411">
            <v>0</v>
          </cell>
          <cell r="F10411">
            <v>48.85</v>
          </cell>
        </row>
        <row r="10412">
          <cell r="A10412" t="str">
            <v>460113</v>
          </cell>
          <cell r="B10412" t="str">
            <v>Elevatória com uma motobomba com conversor de frequência</v>
          </cell>
          <cell r="C10412" t="str">
            <v>ud</v>
          </cell>
          <cell r="D10412">
            <v>293.05</v>
          </cell>
          <cell r="E10412">
            <v>0</v>
          </cell>
          <cell r="F10412">
            <v>293.05</v>
          </cell>
        </row>
        <row r="10413">
          <cell r="A10413" t="str">
            <v>460114</v>
          </cell>
          <cell r="B10413" t="str">
            <v>Elevatória com uma motobomba com conversor de frequência - 2 a 5 repetições</v>
          </cell>
          <cell r="C10413" t="str">
            <v>ud</v>
          </cell>
          <cell r="D10413">
            <v>219.79</v>
          </cell>
          <cell r="E10413">
            <v>0</v>
          </cell>
          <cell r="F10413">
            <v>219.79</v>
          </cell>
        </row>
        <row r="10414">
          <cell r="A10414" t="str">
            <v>460115</v>
          </cell>
          <cell r="B10414" t="str">
            <v>Elevatória com uma motobomba com conversor de frequência - 6 a 10 repetições</v>
          </cell>
          <cell r="C10414" t="str">
            <v>ud</v>
          </cell>
          <cell r="D10414">
            <v>190.49</v>
          </cell>
          <cell r="E10414">
            <v>0</v>
          </cell>
          <cell r="F10414">
            <v>190.49</v>
          </cell>
        </row>
        <row r="10415">
          <cell r="A10415" t="str">
            <v>460116</v>
          </cell>
          <cell r="B10415" t="str">
            <v>Elevatória com uma motobomba com conversor de frequência - acima de 10 repetições</v>
          </cell>
          <cell r="C10415" t="str">
            <v>ud</v>
          </cell>
          <cell r="D10415">
            <v>146.53</v>
          </cell>
          <cell r="E10415">
            <v>0</v>
          </cell>
          <cell r="F10415">
            <v>146.53</v>
          </cell>
        </row>
        <row r="10416">
          <cell r="A10416" t="str">
            <v>460117</v>
          </cell>
          <cell r="B10416" t="str">
            <v>Elevatória com duas motobombas com conversor de frequência</v>
          </cell>
          <cell r="C10416" t="str">
            <v>ud</v>
          </cell>
          <cell r="D10416">
            <v>586.09</v>
          </cell>
          <cell r="E10416">
            <v>0</v>
          </cell>
          <cell r="F10416">
            <v>586.09</v>
          </cell>
        </row>
        <row r="10417">
          <cell r="A10417" t="str">
            <v>460118</v>
          </cell>
          <cell r="B10417" t="str">
            <v>Elevatória com duas motobombas com conversor de frequência - 2 a 5 repetições</v>
          </cell>
          <cell r="C10417" t="str">
            <v>ud</v>
          </cell>
          <cell r="D10417">
            <v>439.57</v>
          </cell>
          <cell r="E10417">
            <v>0</v>
          </cell>
          <cell r="F10417">
            <v>439.57</v>
          </cell>
        </row>
        <row r="10418">
          <cell r="A10418" t="str">
            <v>460119</v>
          </cell>
          <cell r="B10418" t="str">
            <v>Elevatória com duas motobombas com conversor de frequência - 6 a 10 repetições</v>
          </cell>
          <cell r="C10418" t="str">
            <v>ud</v>
          </cell>
          <cell r="D10418">
            <v>380.96</v>
          </cell>
          <cell r="E10418">
            <v>0</v>
          </cell>
          <cell r="F10418">
            <v>380.96</v>
          </cell>
        </row>
        <row r="10419">
          <cell r="A10419" t="str">
            <v>460120</v>
          </cell>
          <cell r="B10419" t="str">
            <v>Elevatória com duas motobombas com conversor de frequência - acima de 10 repetições</v>
          </cell>
          <cell r="C10419" t="str">
            <v>ud</v>
          </cell>
          <cell r="D10419">
            <v>293.05</v>
          </cell>
          <cell r="E10419">
            <v>0</v>
          </cell>
          <cell r="F10419">
            <v>293.05</v>
          </cell>
        </row>
        <row r="10420">
          <cell r="A10420" t="str">
            <v>460121</v>
          </cell>
          <cell r="B10420" t="str">
            <v>Elevatória com três motobombas com conversor de frequência</v>
          </cell>
          <cell r="C10420" t="str">
            <v>ud</v>
          </cell>
          <cell r="D10420">
            <v>1041.96</v>
          </cell>
          <cell r="E10420">
            <v>0</v>
          </cell>
          <cell r="F10420">
            <v>1041.96</v>
          </cell>
        </row>
        <row r="10421">
          <cell r="A10421" t="str">
            <v>460122</v>
          </cell>
          <cell r="B10421" t="str">
            <v>Elevatória com três motobombas com conversor de frequência - 2 a 5 repetições</v>
          </cell>
          <cell r="C10421" t="str">
            <v>ud</v>
          </cell>
          <cell r="D10421">
            <v>781.47</v>
          </cell>
          <cell r="E10421">
            <v>0</v>
          </cell>
          <cell r="F10421">
            <v>781.47</v>
          </cell>
        </row>
        <row r="10422">
          <cell r="A10422" t="str">
            <v>460123</v>
          </cell>
          <cell r="B10422" t="str">
            <v>Elevatória com três motobombas com conversor de frequência - 6 a 10 repetições</v>
          </cell>
          <cell r="C10422" t="str">
            <v>ud</v>
          </cell>
          <cell r="D10422">
            <v>677.27</v>
          </cell>
          <cell r="E10422">
            <v>0</v>
          </cell>
          <cell r="F10422">
            <v>677.27</v>
          </cell>
        </row>
        <row r="10423">
          <cell r="A10423" t="str">
            <v>460124</v>
          </cell>
          <cell r="B10423" t="str">
            <v>Elevatória com três motobombas com conversor de frequência - acima de 10 repetições</v>
          </cell>
          <cell r="C10423" t="str">
            <v>ud</v>
          </cell>
          <cell r="D10423">
            <v>520.98</v>
          </cell>
          <cell r="E10423">
            <v>0</v>
          </cell>
          <cell r="F10423">
            <v>520.98</v>
          </cell>
        </row>
        <row r="10424">
          <cell r="A10424" t="str">
            <v>460125</v>
          </cell>
          <cell r="B10424" t="str">
            <v>Elevatória com quatro motobombas com conversor de frequência</v>
          </cell>
          <cell r="C10424" t="str">
            <v>ud</v>
          </cell>
          <cell r="D10424">
            <v>1400.12</v>
          </cell>
          <cell r="E10424">
            <v>0</v>
          </cell>
          <cell r="F10424">
            <v>1400.12</v>
          </cell>
        </row>
        <row r="10425">
          <cell r="A10425" t="str">
            <v>460126</v>
          </cell>
          <cell r="B10425" t="str">
            <v>Elevatória com quatro motobombas com conversor de frequência - 2 a 5 repetições</v>
          </cell>
          <cell r="C10425" t="str">
            <v>ud</v>
          </cell>
          <cell r="D10425">
            <v>1050.0899999999999</v>
          </cell>
          <cell r="E10425">
            <v>0</v>
          </cell>
          <cell r="F10425">
            <v>1050.0899999999999</v>
          </cell>
        </row>
        <row r="10426">
          <cell r="A10426" t="str">
            <v>460127</v>
          </cell>
          <cell r="B10426" t="str">
            <v>Elevatória com quatro motobombas com conversor de frequência - 6 a 10 repetições</v>
          </cell>
          <cell r="C10426" t="str">
            <v>ud</v>
          </cell>
          <cell r="D10426">
            <v>910.08</v>
          </cell>
          <cell r="E10426">
            <v>0</v>
          </cell>
          <cell r="F10426">
            <v>910.08</v>
          </cell>
        </row>
        <row r="10427">
          <cell r="A10427" t="str">
            <v>460128</v>
          </cell>
          <cell r="B10427" t="str">
            <v>Elevatória com quatro motobombas com conversor de frequência - acima de 10 repetições</v>
          </cell>
          <cell r="C10427" t="str">
            <v>ud</v>
          </cell>
          <cell r="D10427">
            <v>700.07</v>
          </cell>
          <cell r="E10427">
            <v>0</v>
          </cell>
          <cell r="F10427">
            <v>700.07</v>
          </cell>
        </row>
        <row r="10428">
          <cell r="A10428" t="str">
            <v>460129</v>
          </cell>
          <cell r="B10428" t="str">
            <v>Elevatória com uma motobomba com softstarter ou partida direta</v>
          </cell>
          <cell r="C10428" t="str">
            <v>ud</v>
          </cell>
          <cell r="D10428">
            <v>227.94</v>
          </cell>
          <cell r="E10428">
            <v>0</v>
          </cell>
          <cell r="F10428">
            <v>227.94</v>
          </cell>
        </row>
        <row r="10429">
          <cell r="A10429" t="str">
            <v>460130</v>
          </cell>
          <cell r="B10429" t="str">
            <v>Elevatória com uma motobomba com softstarter ou partida direta - 2 a 5 repetições</v>
          </cell>
          <cell r="C10429" t="str">
            <v>ud</v>
          </cell>
          <cell r="D10429">
            <v>170.95</v>
          </cell>
          <cell r="E10429">
            <v>0</v>
          </cell>
          <cell r="F10429">
            <v>170.95</v>
          </cell>
        </row>
        <row r="10430">
          <cell r="A10430" t="str">
            <v>460131</v>
          </cell>
          <cell r="B10430" t="str">
            <v>Elevatória com uma motobomba com softstarter ou partida direta - 6 a 10 repetições</v>
          </cell>
          <cell r="C10430" t="str">
            <v>ud</v>
          </cell>
          <cell r="D10430">
            <v>148.16</v>
          </cell>
          <cell r="E10430">
            <v>0</v>
          </cell>
          <cell r="F10430">
            <v>148.16</v>
          </cell>
        </row>
        <row r="10431">
          <cell r="A10431" t="str">
            <v>460132</v>
          </cell>
          <cell r="B10431" t="str">
            <v>Elevatória com uma motobomba com softstarter ou partida direta - acima de 10 repetições</v>
          </cell>
          <cell r="C10431" t="str">
            <v>ud</v>
          </cell>
          <cell r="D10431">
            <v>113.98</v>
          </cell>
          <cell r="E10431">
            <v>0</v>
          </cell>
          <cell r="F10431">
            <v>113.98</v>
          </cell>
        </row>
        <row r="10432">
          <cell r="A10432" t="str">
            <v>460133</v>
          </cell>
          <cell r="B10432" t="str">
            <v>Elevatória com duas motobombas com softstarter ou partida direta</v>
          </cell>
          <cell r="C10432" t="str">
            <v>ud</v>
          </cell>
          <cell r="D10432">
            <v>423.29</v>
          </cell>
          <cell r="E10432">
            <v>0</v>
          </cell>
          <cell r="F10432">
            <v>423.29</v>
          </cell>
        </row>
        <row r="10433">
          <cell r="A10433" t="str">
            <v>460134</v>
          </cell>
          <cell r="B10433" t="str">
            <v>Elevatória com duas motobombas com softstarter ou partida direta - 2 a 5 repetições</v>
          </cell>
          <cell r="C10433" t="str">
            <v>ud</v>
          </cell>
          <cell r="D10433">
            <v>317.47000000000003</v>
          </cell>
          <cell r="E10433">
            <v>0</v>
          </cell>
          <cell r="F10433">
            <v>317.47000000000003</v>
          </cell>
        </row>
        <row r="10434">
          <cell r="A10434" t="str">
            <v>460135</v>
          </cell>
          <cell r="B10434" t="str">
            <v>Elevatória com duas motobombas com softstarter ou partida direta - 6 a 10 repetições</v>
          </cell>
          <cell r="C10434" t="str">
            <v>ud</v>
          </cell>
          <cell r="D10434">
            <v>275.14</v>
          </cell>
          <cell r="E10434">
            <v>0</v>
          </cell>
          <cell r="F10434">
            <v>275.14</v>
          </cell>
        </row>
        <row r="10435">
          <cell r="A10435" t="str">
            <v>460136</v>
          </cell>
          <cell r="B10435" t="str">
            <v>Elevatória com duas motobombas com softstarter ou partida direta - acima de 10 repetições</v>
          </cell>
          <cell r="C10435" t="str">
            <v>ud</v>
          </cell>
          <cell r="D10435">
            <v>211.65</v>
          </cell>
          <cell r="E10435">
            <v>0</v>
          </cell>
          <cell r="F10435">
            <v>211.65</v>
          </cell>
        </row>
        <row r="10436">
          <cell r="A10436" t="str">
            <v>460137</v>
          </cell>
          <cell r="B10436" t="str">
            <v>Elevatória com três motobombas com softstarter ou partida direta</v>
          </cell>
          <cell r="C10436" t="str">
            <v>ud</v>
          </cell>
          <cell r="D10436">
            <v>846.59</v>
          </cell>
          <cell r="E10436">
            <v>0</v>
          </cell>
          <cell r="F10436">
            <v>846.59</v>
          </cell>
        </row>
        <row r="10437">
          <cell r="A10437" t="str">
            <v>460138</v>
          </cell>
          <cell r="B10437" t="str">
            <v>Elevatória com três motobombas com softstarter ou partida direta - 2 a 5 repetições</v>
          </cell>
          <cell r="C10437" t="str">
            <v>ud</v>
          </cell>
          <cell r="D10437">
            <v>634.94000000000005</v>
          </cell>
          <cell r="E10437">
            <v>0</v>
          </cell>
          <cell r="F10437">
            <v>634.94000000000005</v>
          </cell>
        </row>
        <row r="10438">
          <cell r="A10438" t="str">
            <v>460139</v>
          </cell>
          <cell r="B10438" t="str">
            <v>Elevatória com três motobombas com softstarter ou partida direta - 6 a 10 repetições</v>
          </cell>
          <cell r="C10438" t="str">
            <v>ud</v>
          </cell>
          <cell r="D10438">
            <v>550.28</v>
          </cell>
          <cell r="E10438">
            <v>0</v>
          </cell>
          <cell r="F10438">
            <v>550.28</v>
          </cell>
        </row>
        <row r="10439">
          <cell r="A10439" t="str">
            <v>460140</v>
          </cell>
          <cell r="B10439" t="str">
            <v>Elevatória com três motobombas com softstarter ou partida direta - acima de 10 repetições</v>
          </cell>
          <cell r="C10439" t="str">
            <v>ud</v>
          </cell>
          <cell r="D10439">
            <v>423.3</v>
          </cell>
          <cell r="E10439">
            <v>0</v>
          </cell>
          <cell r="F10439">
            <v>423.3</v>
          </cell>
        </row>
        <row r="10440">
          <cell r="A10440" t="str">
            <v>460141</v>
          </cell>
          <cell r="B10440" t="str">
            <v>Elevatória com quatro motobombas com softstarter ou partida direta</v>
          </cell>
          <cell r="C10440" t="str">
            <v>ud</v>
          </cell>
          <cell r="D10440">
            <v>1139.6400000000001</v>
          </cell>
          <cell r="E10440">
            <v>0</v>
          </cell>
          <cell r="F10440">
            <v>1139.6400000000001</v>
          </cell>
        </row>
        <row r="10441">
          <cell r="A10441" t="str">
            <v>460142</v>
          </cell>
          <cell r="B10441" t="str">
            <v>Elevatória com quatro motobombas com softstarter ou partida direta - 2 a 5 repetições</v>
          </cell>
          <cell r="C10441" t="str">
            <v>ud</v>
          </cell>
          <cell r="D10441">
            <v>854.73</v>
          </cell>
          <cell r="E10441">
            <v>0</v>
          </cell>
          <cell r="F10441">
            <v>854.73</v>
          </cell>
        </row>
        <row r="10442">
          <cell r="A10442" t="str">
            <v>460143</v>
          </cell>
          <cell r="B10442" t="str">
            <v>Elevatória com quatro motobombas com softstarter ou partida direta - 6 a 10 repetições</v>
          </cell>
          <cell r="C10442" t="str">
            <v>ud</v>
          </cell>
          <cell r="D10442">
            <v>740.76</v>
          </cell>
          <cell r="E10442">
            <v>0</v>
          </cell>
          <cell r="F10442">
            <v>740.76</v>
          </cell>
        </row>
        <row r="10443">
          <cell r="A10443" t="str">
            <v>460144</v>
          </cell>
          <cell r="B10443" t="str">
            <v>Elevatória com quatro motobombas com softstarter ou partida direta - acima de 10 repetições</v>
          </cell>
          <cell r="C10443" t="str">
            <v>ud</v>
          </cell>
          <cell r="D10443">
            <v>569.83000000000004</v>
          </cell>
          <cell r="E10443">
            <v>0</v>
          </cell>
          <cell r="F10443">
            <v>569.83000000000004</v>
          </cell>
        </row>
        <row r="10444">
          <cell r="A10444" t="str">
            <v>460145</v>
          </cell>
          <cell r="B10444" t="str">
            <v>Dosadora individual</v>
          </cell>
          <cell r="C10444" t="str">
            <v>ud</v>
          </cell>
          <cell r="D10444">
            <v>130.24</v>
          </cell>
          <cell r="E10444">
            <v>0</v>
          </cell>
          <cell r="F10444">
            <v>130.24</v>
          </cell>
        </row>
        <row r="10445">
          <cell r="A10445" t="str">
            <v>460146</v>
          </cell>
          <cell r="B10445" t="str">
            <v>Dosadora individual - 2 a 5 repetições</v>
          </cell>
          <cell r="C10445" t="str">
            <v>ud</v>
          </cell>
          <cell r="D10445">
            <v>97.69</v>
          </cell>
          <cell r="E10445">
            <v>0</v>
          </cell>
          <cell r="F10445">
            <v>97.69</v>
          </cell>
        </row>
        <row r="10446">
          <cell r="A10446" t="str">
            <v>460147</v>
          </cell>
          <cell r="B10446" t="str">
            <v>Dosadora individual - 6 a 10 repetições</v>
          </cell>
          <cell r="C10446" t="str">
            <v>ud</v>
          </cell>
          <cell r="D10446">
            <v>84.65</v>
          </cell>
          <cell r="E10446">
            <v>0</v>
          </cell>
          <cell r="F10446">
            <v>84.65</v>
          </cell>
        </row>
        <row r="10447">
          <cell r="A10447" t="str">
            <v>460148</v>
          </cell>
          <cell r="B10447" t="str">
            <v>Dosadora individual - acima de 10 repetições</v>
          </cell>
          <cell r="C10447" t="str">
            <v>ud</v>
          </cell>
          <cell r="D10447">
            <v>65.12</v>
          </cell>
          <cell r="E10447">
            <v>0</v>
          </cell>
          <cell r="F10447">
            <v>65.12</v>
          </cell>
        </row>
        <row r="10448">
          <cell r="A10448" t="str">
            <v>460149</v>
          </cell>
          <cell r="B10448" t="str">
            <v>Dosadoras (1+R)</v>
          </cell>
          <cell r="C10448" t="str">
            <v>ud</v>
          </cell>
          <cell r="D10448">
            <v>260.48</v>
          </cell>
          <cell r="E10448">
            <v>0</v>
          </cell>
          <cell r="F10448">
            <v>260.48</v>
          </cell>
        </row>
        <row r="10449">
          <cell r="A10449" t="str">
            <v>460150</v>
          </cell>
          <cell r="B10449" t="str">
            <v>Dosadoras (1+R) - 2 a 5 repetições</v>
          </cell>
          <cell r="C10449" t="str">
            <v>ud</v>
          </cell>
          <cell r="D10449">
            <v>195.36</v>
          </cell>
          <cell r="E10449">
            <v>0</v>
          </cell>
          <cell r="F10449">
            <v>195.36</v>
          </cell>
        </row>
        <row r="10450">
          <cell r="A10450" t="str">
            <v>460151</v>
          </cell>
          <cell r="B10450" t="str">
            <v>Dosadoras (1+R) - 6 a 10 repetições</v>
          </cell>
          <cell r="C10450" t="str">
            <v>ud</v>
          </cell>
          <cell r="D10450">
            <v>169.32</v>
          </cell>
          <cell r="E10450">
            <v>0</v>
          </cell>
          <cell r="F10450">
            <v>169.32</v>
          </cell>
        </row>
        <row r="10451">
          <cell r="A10451" t="str">
            <v>460152</v>
          </cell>
          <cell r="B10451" t="str">
            <v>Dosadoras (1+R) - acima de 10 repetições</v>
          </cell>
          <cell r="C10451" t="str">
            <v>ud</v>
          </cell>
          <cell r="D10451">
            <v>130.24</v>
          </cell>
          <cell r="E10451">
            <v>0</v>
          </cell>
          <cell r="F10451">
            <v>130.24</v>
          </cell>
        </row>
        <row r="10452">
          <cell r="A10452" t="str">
            <v>460153</v>
          </cell>
          <cell r="B10452" t="str">
            <v>Dosadoras (1+R) com controle em malha fechada</v>
          </cell>
          <cell r="C10452" t="str">
            <v>ud</v>
          </cell>
          <cell r="D10452">
            <v>325.61</v>
          </cell>
          <cell r="E10452">
            <v>0</v>
          </cell>
          <cell r="F10452">
            <v>325.61</v>
          </cell>
        </row>
        <row r="10453">
          <cell r="A10453" t="str">
            <v>460154</v>
          </cell>
          <cell r="B10453" t="str">
            <v>Dosadoras (1+R) com controle em malha fechada - 2 a 5 repetições</v>
          </cell>
          <cell r="C10453" t="str">
            <v>ud</v>
          </cell>
          <cell r="D10453">
            <v>244.21</v>
          </cell>
          <cell r="E10453">
            <v>0</v>
          </cell>
          <cell r="F10453">
            <v>244.21</v>
          </cell>
        </row>
        <row r="10454">
          <cell r="A10454" t="str">
            <v>460155</v>
          </cell>
          <cell r="B10454" t="str">
            <v>Dosadoras (1+R) com controle em malha fechada - 6 a 10 repetições</v>
          </cell>
          <cell r="C10454" t="str">
            <v>ud</v>
          </cell>
          <cell r="D10454">
            <v>211.65</v>
          </cell>
          <cell r="E10454">
            <v>0</v>
          </cell>
          <cell r="F10454">
            <v>211.65</v>
          </cell>
        </row>
        <row r="10455">
          <cell r="A10455" t="str">
            <v>460156</v>
          </cell>
          <cell r="B10455" t="str">
            <v>Dosadoras (1+R) com controle em malha fechada - acima de 10 repetições</v>
          </cell>
          <cell r="C10455" t="str">
            <v>ud</v>
          </cell>
          <cell r="D10455">
            <v>162.81</v>
          </cell>
          <cell r="E10455">
            <v>0</v>
          </cell>
          <cell r="F10455">
            <v>162.81</v>
          </cell>
        </row>
        <row r="10456">
          <cell r="A10456" t="str">
            <v>460157</v>
          </cell>
          <cell r="B10456" t="str">
            <v>Lavagem de um filtro com 5 válvulas/comportas (pneumático)</v>
          </cell>
          <cell r="C10456" t="str">
            <v>ud</v>
          </cell>
          <cell r="D10456">
            <v>683.79</v>
          </cell>
          <cell r="E10456">
            <v>0</v>
          </cell>
          <cell r="F10456">
            <v>683.79</v>
          </cell>
        </row>
        <row r="10457">
          <cell r="A10457" t="str">
            <v>460158</v>
          </cell>
          <cell r="B10457" t="str">
            <v>Lavagem de um filtro com 5 válvulas/comportas (pneumático) - 2 a 5 repetições</v>
          </cell>
          <cell r="C10457" t="str">
            <v>ud</v>
          </cell>
          <cell r="D10457">
            <v>512.84</v>
          </cell>
          <cell r="E10457">
            <v>0</v>
          </cell>
          <cell r="F10457">
            <v>512.84</v>
          </cell>
        </row>
        <row r="10458">
          <cell r="A10458" t="str">
            <v>460159</v>
          </cell>
          <cell r="B10458" t="str">
            <v>Lavagem de um filtro com 5 válvulas/comportas (pneumático) - 6 a 10 repetições</v>
          </cell>
          <cell r="C10458" t="str">
            <v>ud</v>
          </cell>
          <cell r="D10458">
            <v>444.46</v>
          </cell>
          <cell r="E10458">
            <v>0</v>
          </cell>
          <cell r="F10458">
            <v>444.46</v>
          </cell>
        </row>
        <row r="10459">
          <cell r="A10459" t="str">
            <v>460160</v>
          </cell>
          <cell r="B10459" t="str">
            <v>Lavagem de um filtro com 5 válvulas/comportas (pneumático) - acima de 10 repetições</v>
          </cell>
          <cell r="C10459" t="str">
            <v>ud</v>
          </cell>
          <cell r="D10459">
            <v>341.9</v>
          </cell>
          <cell r="E10459">
            <v>0</v>
          </cell>
          <cell r="F10459">
            <v>341.9</v>
          </cell>
        </row>
        <row r="10460">
          <cell r="A10460" t="str">
            <v>460161</v>
          </cell>
          <cell r="B10460" t="str">
            <v>Válvula de seleção</v>
          </cell>
          <cell r="C10460" t="str">
            <v>ud</v>
          </cell>
          <cell r="D10460">
            <v>32.57</v>
          </cell>
          <cell r="E10460">
            <v>0</v>
          </cell>
          <cell r="F10460">
            <v>32.57</v>
          </cell>
        </row>
        <row r="10461">
          <cell r="A10461" t="str">
            <v>460162</v>
          </cell>
          <cell r="B10461" t="str">
            <v>Válvula de seleção - 2 a 5 repetições</v>
          </cell>
          <cell r="C10461" t="str">
            <v>ud</v>
          </cell>
          <cell r="D10461">
            <v>24.43</v>
          </cell>
          <cell r="E10461">
            <v>0</v>
          </cell>
          <cell r="F10461">
            <v>24.43</v>
          </cell>
        </row>
        <row r="10462">
          <cell r="A10462" t="str">
            <v>460163</v>
          </cell>
          <cell r="B10462" t="str">
            <v>Válvula de seleção - 6 a 10 repetições</v>
          </cell>
          <cell r="C10462" t="str">
            <v>ud</v>
          </cell>
          <cell r="D10462">
            <v>21.17</v>
          </cell>
          <cell r="E10462">
            <v>0</v>
          </cell>
          <cell r="F10462">
            <v>21.17</v>
          </cell>
        </row>
        <row r="10463">
          <cell r="A10463" t="str">
            <v>460164</v>
          </cell>
          <cell r="B10463" t="str">
            <v>Válvula de seleção - acima de 10 repetições</v>
          </cell>
          <cell r="C10463" t="str">
            <v>ud</v>
          </cell>
          <cell r="D10463">
            <v>16.29</v>
          </cell>
          <cell r="E10463">
            <v>0</v>
          </cell>
          <cell r="F10463">
            <v>16.29</v>
          </cell>
        </row>
        <row r="10464">
          <cell r="A10464" t="str">
            <v>460165</v>
          </cell>
          <cell r="B10464" t="str">
            <v>Sistema de sequenciamento de coleta com 2 pontos de amostra</v>
          </cell>
          <cell r="C10464" t="str">
            <v>ud</v>
          </cell>
          <cell r="D10464">
            <v>260.48</v>
          </cell>
          <cell r="E10464">
            <v>0</v>
          </cell>
          <cell r="F10464">
            <v>260.48</v>
          </cell>
        </row>
        <row r="10465">
          <cell r="A10465" t="str">
            <v>460166</v>
          </cell>
          <cell r="B10465" t="str">
            <v>Sistema de sequenciamento de coleta com 2 pontos de amostra - 2 a 5 repetições</v>
          </cell>
          <cell r="C10465" t="str">
            <v>ud</v>
          </cell>
          <cell r="D10465">
            <v>195.36</v>
          </cell>
          <cell r="E10465">
            <v>0</v>
          </cell>
          <cell r="F10465">
            <v>195.36</v>
          </cell>
        </row>
        <row r="10466">
          <cell r="A10466" t="str">
            <v>460167</v>
          </cell>
          <cell r="B10466" t="str">
            <v>Sistema de sequenciamento de coleta com 2 pontos de amostra - 6 a 10 repetições</v>
          </cell>
          <cell r="C10466" t="str">
            <v>ud</v>
          </cell>
          <cell r="D10466">
            <v>169.32</v>
          </cell>
          <cell r="E10466">
            <v>0</v>
          </cell>
          <cell r="F10466">
            <v>169.32</v>
          </cell>
        </row>
        <row r="10467">
          <cell r="A10467" t="str">
            <v>460168</v>
          </cell>
          <cell r="B10467" t="str">
            <v>Sistema de sequenciamento de coleta com 2 pontos de amostra - acima de 10 repetições</v>
          </cell>
          <cell r="C10467" t="str">
            <v>ud</v>
          </cell>
          <cell r="D10467">
            <v>130.24</v>
          </cell>
          <cell r="E10467">
            <v>0</v>
          </cell>
          <cell r="F10467">
            <v>130.24</v>
          </cell>
        </row>
        <row r="10468">
          <cell r="A10468" t="str">
            <v>460169</v>
          </cell>
          <cell r="B10468" t="str">
            <v>Motobomba de coleta individual</v>
          </cell>
          <cell r="C10468" t="str">
            <v>ud</v>
          </cell>
          <cell r="D10468">
            <v>130.24</v>
          </cell>
          <cell r="E10468">
            <v>0</v>
          </cell>
          <cell r="F10468">
            <v>130.24</v>
          </cell>
        </row>
        <row r="10469">
          <cell r="A10469" t="str">
            <v>460170</v>
          </cell>
          <cell r="B10469" t="str">
            <v>Motobomba de coleta individual - 2 a 5 repetições</v>
          </cell>
          <cell r="C10469" t="str">
            <v>ud</v>
          </cell>
          <cell r="D10469">
            <v>97.69</v>
          </cell>
          <cell r="E10469">
            <v>0</v>
          </cell>
          <cell r="F10469">
            <v>97.69</v>
          </cell>
        </row>
        <row r="10470">
          <cell r="A10470" t="str">
            <v>460171</v>
          </cell>
          <cell r="B10470" t="str">
            <v>Motobomba de coleta individual - 6 a 10 repetições</v>
          </cell>
          <cell r="C10470" t="str">
            <v>ud</v>
          </cell>
          <cell r="D10470">
            <v>84.65</v>
          </cell>
          <cell r="E10470">
            <v>0</v>
          </cell>
          <cell r="F10470">
            <v>84.65</v>
          </cell>
        </row>
        <row r="10471">
          <cell r="A10471" t="str">
            <v>460172</v>
          </cell>
          <cell r="B10471" t="str">
            <v>Motobomba de coleta individual - acima de 10 repetições</v>
          </cell>
          <cell r="C10471" t="str">
            <v>ud</v>
          </cell>
          <cell r="D10471">
            <v>65.12</v>
          </cell>
          <cell r="E10471">
            <v>0</v>
          </cell>
          <cell r="F10471">
            <v>65.12</v>
          </cell>
        </row>
        <row r="10472">
          <cell r="A10472" t="str">
            <v>460173</v>
          </cell>
          <cell r="B10472" t="str">
            <v>Motobombas de coleta (1+R)</v>
          </cell>
          <cell r="C10472" t="str">
            <v>ud</v>
          </cell>
          <cell r="D10472">
            <v>227.94</v>
          </cell>
          <cell r="E10472">
            <v>0</v>
          </cell>
          <cell r="F10472">
            <v>227.94</v>
          </cell>
        </row>
        <row r="10473">
          <cell r="A10473" t="str">
            <v>460174</v>
          </cell>
          <cell r="B10473" t="str">
            <v>Motobombas de coleta (1+R) - 2 a 5 repetições</v>
          </cell>
          <cell r="C10473" t="str">
            <v>ud</v>
          </cell>
          <cell r="D10473">
            <v>170.95</v>
          </cell>
          <cell r="E10473">
            <v>0</v>
          </cell>
          <cell r="F10473">
            <v>170.95</v>
          </cell>
        </row>
        <row r="10474">
          <cell r="A10474" t="str">
            <v>460175</v>
          </cell>
          <cell r="B10474" t="str">
            <v>Motobombas de coleta (1+R) - 6 a 10 repetições</v>
          </cell>
          <cell r="C10474" t="str">
            <v>ud</v>
          </cell>
          <cell r="D10474">
            <v>148.16</v>
          </cell>
          <cell r="E10474">
            <v>0</v>
          </cell>
          <cell r="F10474">
            <v>148.16</v>
          </cell>
        </row>
        <row r="10475">
          <cell r="A10475" t="str">
            <v>460176</v>
          </cell>
          <cell r="B10475" t="str">
            <v>Motobombas de coleta (1+R) - acima de 10 repetições</v>
          </cell>
          <cell r="C10475" t="str">
            <v>ud</v>
          </cell>
          <cell r="D10475">
            <v>113.98</v>
          </cell>
          <cell r="E10475">
            <v>0</v>
          </cell>
          <cell r="F10475">
            <v>113.98</v>
          </cell>
        </row>
        <row r="10476">
          <cell r="A10476" t="str">
            <v>460177</v>
          </cell>
          <cell r="B10476" t="str">
            <v>Compressores (1+R)</v>
          </cell>
          <cell r="C10476" t="str">
            <v>ud</v>
          </cell>
          <cell r="D10476">
            <v>227.94</v>
          </cell>
          <cell r="E10476">
            <v>0</v>
          </cell>
          <cell r="F10476">
            <v>227.94</v>
          </cell>
        </row>
        <row r="10477">
          <cell r="A10477" t="str">
            <v>460178</v>
          </cell>
          <cell r="B10477" t="str">
            <v>Compressores (1+R) - 2 a 5 repetições</v>
          </cell>
          <cell r="C10477" t="str">
            <v>ud</v>
          </cell>
          <cell r="D10477">
            <v>170.95</v>
          </cell>
          <cell r="E10477">
            <v>0</v>
          </cell>
          <cell r="F10477">
            <v>170.95</v>
          </cell>
        </row>
        <row r="10478">
          <cell r="A10478" t="str">
            <v>460179</v>
          </cell>
          <cell r="B10478" t="str">
            <v>Compressores (1+R) - 6 a 10 repetições</v>
          </cell>
          <cell r="C10478" t="str">
            <v>ud</v>
          </cell>
          <cell r="D10478">
            <v>148.16</v>
          </cell>
          <cell r="E10478">
            <v>0</v>
          </cell>
          <cell r="F10478">
            <v>148.16</v>
          </cell>
        </row>
        <row r="10479">
          <cell r="A10479" t="str">
            <v>460180</v>
          </cell>
          <cell r="B10479" t="str">
            <v>Compressores (1+R) - acima de 10 repetições</v>
          </cell>
          <cell r="C10479" t="str">
            <v>ud</v>
          </cell>
          <cell r="D10479">
            <v>113.98</v>
          </cell>
          <cell r="E10479">
            <v>0</v>
          </cell>
          <cell r="F10479">
            <v>113.98</v>
          </cell>
        </row>
        <row r="10480">
          <cell r="A10480" t="str">
            <v>460181</v>
          </cell>
          <cell r="B10480" t="str">
            <v>Operações mínimas do CP</v>
          </cell>
          <cell r="C10480" t="str">
            <v>ud</v>
          </cell>
          <cell r="D10480">
            <v>130.24</v>
          </cell>
          <cell r="E10480">
            <v>0</v>
          </cell>
          <cell r="F10480">
            <v>130.24</v>
          </cell>
        </row>
        <row r="10481">
          <cell r="A10481" t="str">
            <v>460182</v>
          </cell>
          <cell r="B10481" t="str">
            <v>Operações mínimas do CP - 2 a 5 repetições</v>
          </cell>
          <cell r="C10481" t="str">
            <v>ud</v>
          </cell>
          <cell r="D10481">
            <v>97.69</v>
          </cell>
          <cell r="E10481">
            <v>0</v>
          </cell>
          <cell r="F10481">
            <v>97.69</v>
          </cell>
        </row>
        <row r="10482">
          <cell r="A10482" t="str">
            <v>460183</v>
          </cell>
          <cell r="B10482" t="str">
            <v>Operações mínimas do CP - 6 a 10 repetições</v>
          </cell>
          <cell r="C10482" t="str">
            <v>ud</v>
          </cell>
          <cell r="D10482">
            <v>84.65</v>
          </cell>
          <cell r="E10482">
            <v>0</v>
          </cell>
          <cell r="F10482">
            <v>84.65</v>
          </cell>
        </row>
        <row r="10483">
          <cell r="A10483" t="str">
            <v>460184</v>
          </cell>
          <cell r="B10483" t="str">
            <v>Operações mínimas do CP - acima de 10 repetições</v>
          </cell>
          <cell r="C10483" t="str">
            <v>ud</v>
          </cell>
          <cell r="D10483">
            <v>65.12</v>
          </cell>
          <cell r="E10483">
            <v>0</v>
          </cell>
          <cell r="F10483">
            <v>65.12</v>
          </cell>
        </row>
        <row r="10484">
          <cell r="A10484" t="str">
            <v>4602</v>
          </cell>
          <cell r="B10484" t="str">
            <v>DESENVOLVIMENTO DO PROGRAMA APLICATIVO DO CP</v>
          </cell>
          <cell r="C10484">
            <v>0</v>
          </cell>
          <cell r="D10484">
            <v>0</v>
          </cell>
          <cell r="E10484">
            <v>0</v>
          </cell>
          <cell r="F10484">
            <v>0</v>
          </cell>
        </row>
        <row r="10485">
          <cell r="A10485" t="str">
            <v>460225</v>
          </cell>
          <cell r="B10485" t="str">
            <v>Elevatória com quatro motobombas com conversor de frequência</v>
          </cell>
          <cell r="C10485" t="str">
            <v>ud</v>
          </cell>
          <cell r="D10485">
            <v>2592.58</v>
          </cell>
          <cell r="E10485">
            <v>0</v>
          </cell>
          <cell r="F10485">
            <v>2592.58</v>
          </cell>
        </row>
        <row r="10486">
          <cell r="A10486" t="str">
            <v>460226</v>
          </cell>
          <cell r="B10486" t="str">
            <v>Elevatória com quatro motobombas com conversor de frequência - 2 a 5 repetições</v>
          </cell>
          <cell r="C10486" t="str">
            <v>ud</v>
          </cell>
          <cell r="D10486">
            <v>1944.44</v>
          </cell>
          <cell r="E10486">
            <v>0</v>
          </cell>
          <cell r="F10486">
            <v>1944.44</v>
          </cell>
        </row>
        <row r="10487">
          <cell r="A10487" t="str">
            <v>460227</v>
          </cell>
          <cell r="B10487" t="str">
            <v>Elevatória com quatro motobombas com conversor de frequência - 6 a 10 repetições</v>
          </cell>
          <cell r="C10487" t="str">
            <v>ud</v>
          </cell>
          <cell r="D10487">
            <v>1685.18</v>
          </cell>
          <cell r="E10487">
            <v>0</v>
          </cell>
          <cell r="F10487">
            <v>1685.18</v>
          </cell>
        </row>
        <row r="10488">
          <cell r="A10488" t="str">
            <v>460228</v>
          </cell>
          <cell r="B10488" t="str">
            <v>Elevatória com quatro motobombas com conversor de frequência - acima de 10 repetições</v>
          </cell>
          <cell r="C10488" t="str">
            <v>ud</v>
          </cell>
          <cell r="D10488">
            <v>1296.29</v>
          </cell>
          <cell r="E10488">
            <v>0</v>
          </cell>
          <cell r="F10488">
            <v>1296.29</v>
          </cell>
        </row>
        <row r="10489">
          <cell r="A10489" t="str">
            <v>460229</v>
          </cell>
          <cell r="B10489" t="str">
            <v>Elevatória com uma motobomba com softstarter ou partida direta</v>
          </cell>
          <cell r="C10489" t="str">
            <v>ud</v>
          </cell>
          <cell r="D10489">
            <v>370.36</v>
          </cell>
          <cell r="E10489">
            <v>0</v>
          </cell>
          <cell r="F10489">
            <v>370.36</v>
          </cell>
        </row>
        <row r="10490">
          <cell r="A10490" t="str">
            <v>460230</v>
          </cell>
          <cell r="B10490" t="str">
            <v>Elevatória com uma motobomba com softstarter ou partida direta - 2 a 5 repetições</v>
          </cell>
          <cell r="C10490" t="str">
            <v>ud</v>
          </cell>
          <cell r="D10490">
            <v>277.77</v>
          </cell>
          <cell r="E10490">
            <v>0</v>
          </cell>
          <cell r="F10490">
            <v>277.77</v>
          </cell>
        </row>
        <row r="10491">
          <cell r="A10491" t="str">
            <v>460231</v>
          </cell>
          <cell r="B10491" t="str">
            <v>Elevatória com uma motobomba com softstarter ou partida direta - 6 a 10 repetições</v>
          </cell>
          <cell r="C10491" t="str">
            <v>ud</v>
          </cell>
          <cell r="D10491">
            <v>240.74</v>
          </cell>
          <cell r="E10491">
            <v>0</v>
          </cell>
          <cell r="F10491">
            <v>240.74</v>
          </cell>
        </row>
        <row r="10492">
          <cell r="A10492" t="str">
            <v>460232</v>
          </cell>
          <cell r="B10492" t="str">
            <v>Elevatória com uma motobomba com softstarter ou partida direta - acima de 10 repetições</v>
          </cell>
          <cell r="C10492" t="str">
            <v>ud</v>
          </cell>
          <cell r="D10492">
            <v>185.18</v>
          </cell>
          <cell r="E10492">
            <v>0</v>
          </cell>
          <cell r="F10492">
            <v>185.18</v>
          </cell>
        </row>
        <row r="10493">
          <cell r="A10493" t="str">
            <v>460233</v>
          </cell>
          <cell r="B10493" t="str">
            <v>Elevatória com duas motobombas com softstarter ou partida direta</v>
          </cell>
          <cell r="C10493" t="str">
            <v>ud</v>
          </cell>
          <cell r="D10493">
            <v>658.44</v>
          </cell>
          <cell r="E10493">
            <v>0</v>
          </cell>
          <cell r="F10493">
            <v>658.44</v>
          </cell>
        </row>
        <row r="10494">
          <cell r="A10494" t="str">
            <v>460234</v>
          </cell>
          <cell r="B10494" t="str">
            <v>Elevatória com duas motobombas com softstarter ou partida direta - 2 a 5 repetições</v>
          </cell>
          <cell r="C10494" t="str">
            <v>ud</v>
          </cell>
          <cell r="D10494">
            <v>493.83</v>
          </cell>
          <cell r="E10494">
            <v>0</v>
          </cell>
          <cell r="F10494">
            <v>493.83</v>
          </cell>
        </row>
        <row r="10495">
          <cell r="A10495" t="str">
            <v>460235</v>
          </cell>
          <cell r="B10495" t="str">
            <v>Elevatória com duas motobombas com softstarter ou partida direta - 6 a 10 repetições</v>
          </cell>
          <cell r="C10495" t="str">
            <v>ud</v>
          </cell>
          <cell r="D10495">
            <v>427.98</v>
          </cell>
          <cell r="E10495">
            <v>0</v>
          </cell>
          <cell r="F10495">
            <v>427.98</v>
          </cell>
        </row>
        <row r="10496">
          <cell r="A10496" t="str">
            <v>460236</v>
          </cell>
          <cell r="B10496" t="str">
            <v>Elevatória com duas motobombas com softstarter ou partida direta - acima de 10 repetições</v>
          </cell>
          <cell r="C10496" t="str">
            <v>ud</v>
          </cell>
          <cell r="D10496">
            <v>329.22</v>
          </cell>
          <cell r="E10496">
            <v>0</v>
          </cell>
          <cell r="F10496">
            <v>329.22</v>
          </cell>
        </row>
        <row r="10497">
          <cell r="A10497" t="str">
            <v>460237</v>
          </cell>
          <cell r="B10497" t="str">
            <v>Elevatória com três motobombas com softstarter ou partida direta</v>
          </cell>
          <cell r="C10497" t="str">
            <v>ud</v>
          </cell>
          <cell r="D10497">
            <v>1399.16</v>
          </cell>
          <cell r="E10497">
            <v>0</v>
          </cell>
          <cell r="F10497">
            <v>1399.16</v>
          </cell>
        </row>
        <row r="10498">
          <cell r="A10498" t="str">
            <v>460238</v>
          </cell>
          <cell r="B10498" t="str">
            <v>Elevatória com três motobombas com softstarter ou partida direta - 2 a 5 repetições</v>
          </cell>
          <cell r="C10498" t="str">
            <v>ud</v>
          </cell>
          <cell r="D10498">
            <v>1049.3699999999999</v>
          </cell>
          <cell r="E10498">
            <v>0</v>
          </cell>
          <cell r="F10498">
            <v>1049.3699999999999</v>
          </cell>
        </row>
        <row r="10499">
          <cell r="A10499" t="str">
            <v>460239</v>
          </cell>
          <cell r="B10499" t="str">
            <v>Elevatória com três motobombas com softstarter ou partida direta - 6 a 10 repetições</v>
          </cell>
          <cell r="C10499" t="str">
            <v>ud</v>
          </cell>
          <cell r="D10499">
            <v>909.46</v>
          </cell>
          <cell r="E10499">
            <v>0</v>
          </cell>
          <cell r="F10499">
            <v>909.46</v>
          </cell>
        </row>
        <row r="10500">
          <cell r="A10500" t="str">
            <v>460240</v>
          </cell>
          <cell r="B10500" t="str">
            <v>Elevatória com três motobombas com softstarter ou partida direta - acima de 10 repetições</v>
          </cell>
          <cell r="C10500" t="str">
            <v>ud</v>
          </cell>
          <cell r="D10500">
            <v>699.58</v>
          </cell>
          <cell r="E10500">
            <v>0</v>
          </cell>
          <cell r="F10500">
            <v>699.58</v>
          </cell>
        </row>
        <row r="10501">
          <cell r="A10501" t="str">
            <v>460241</v>
          </cell>
          <cell r="B10501" t="str">
            <v>Elevatória com quatro motobombas com softstarter ou partida direta</v>
          </cell>
          <cell r="C10501" t="str">
            <v>ud</v>
          </cell>
          <cell r="D10501">
            <v>1934.14</v>
          </cell>
          <cell r="E10501">
            <v>0</v>
          </cell>
          <cell r="F10501">
            <v>1934.14</v>
          </cell>
        </row>
        <row r="10502">
          <cell r="A10502" t="str">
            <v>460242</v>
          </cell>
          <cell r="B10502" t="str">
            <v>Elevatória com quatro motobombas com softstarter ou partida direta - 2 a 5 repetições</v>
          </cell>
          <cell r="C10502" t="str">
            <v>ud</v>
          </cell>
          <cell r="D10502">
            <v>1450.61</v>
          </cell>
          <cell r="E10502">
            <v>0</v>
          </cell>
          <cell r="F10502">
            <v>1450.61</v>
          </cell>
        </row>
        <row r="10503">
          <cell r="A10503" t="str">
            <v>460243</v>
          </cell>
          <cell r="B10503" t="str">
            <v>Elevatória com quatro motobombas com softstarter ou partida direta - 6 a 10 repetições</v>
          </cell>
          <cell r="C10503" t="str">
            <v>ud</v>
          </cell>
          <cell r="D10503">
            <v>1257.19</v>
          </cell>
          <cell r="E10503">
            <v>0</v>
          </cell>
          <cell r="F10503">
            <v>1257.19</v>
          </cell>
        </row>
        <row r="10504">
          <cell r="A10504" t="str">
            <v>460244</v>
          </cell>
          <cell r="B10504" t="str">
            <v>Elevatória com quatro motobombas com softstarter ou partida direta - acima de 10 repetições</v>
          </cell>
          <cell r="C10504" t="str">
            <v>ud</v>
          </cell>
          <cell r="D10504">
            <v>967.07</v>
          </cell>
          <cell r="E10504">
            <v>0</v>
          </cell>
          <cell r="F10504">
            <v>967.07</v>
          </cell>
        </row>
        <row r="10505">
          <cell r="A10505" t="str">
            <v>460245</v>
          </cell>
          <cell r="B10505" t="str">
            <v>Dosadora individual</v>
          </cell>
          <cell r="C10505" t="str">
            <v>ud</v>
          </cell>
          <cell r="D10505">
            <v>205.76</v>
          </cell>
          <cell r="E10505">
            <v>0</v>
          </cell>
          <cell r="F10505">
            <v>205.76</v>
          </cell>
        </row>
        <row r="10506">
          <cell r="A10506" t="str">
            <v>460246</v>
          </cell>
          <cell r="B10506" t="str">
            <v>Dosadora individual - 2 a 5 repetições</v>
          </cell>
          <cell r="C10506" t="str">
            <v>ud</v>
          </cell>
          <cell r="D10506">
            <v>154.32</v>
          </cell>
          <cell r="E10506">
            <v>0</v>
          </cell>
          <cell r="F10506">
            <v>154.32</v>
          </cell>
        </row>
        <row r="10507">
          <cell r="A10507" t="str">
            <v>460247</v>
          </cell>
          <cell r="B10507" t="str">
            <v>Dosadora individual - 6 a 10 repetições</v>
          </cell>
          <cell r="C10507" t="str">
            <v>ud</v>
          </cell>
          <cell r="D10507">
            <v>133.74</v>
          </cell>
          <cell r="E10507">
            <v>0</v>
          </cell>
          <cell r="F10507">
            <v>133.74</v>
          </cell>
        </row>
        <row r="10508">
          <cell r="A10508" t="str">
            <v>460248</v>
          </cell>
          <cell r="B10508" t="str">
            <v>Dosadora individual - acima de 10 repetições</v>
          </cell>
          <cell r="C10508" t="str">
            <v>ud</v>
          </cell>
          <cell r="D10508">
            <v>102.88</v>
          </cell>
          <cell r="E10508">
            <v>0</v>
          </cell>
          <cell r="F10508">
            <v>102.88</v>
          </cell>
        </row>
        <row r="10509">
          <cell r="A10509" t="str">
            <v>460249</v>
          </cell>
          <cell r="B10509" t="str">
            <v>Dosadoras (1+R)</v>
          </cell>
          <cell r="C10509" t="str">
            <v>ud</v>
          </cell>
          <cell r="D10509">
            <v>370.36</v>
          </cell>
          <cell r="E10509">
            <v>0</v>
          </cell>
          <cell r="F10509">
            <v>370.36</v>
          </cell>
        </row>
        <row r="10510">
          <cell r="A10510" t="str">
            <v>460250</v>
          </cell>
          <cell r="B10510" t="str">
            <v>Dosadoras (1+R) - 2 a 5 repetições</v>
          </cell>
          <cell r="C10510" t="str">
            <v>ud</v>
          </cell>
          <cell r="D10510">
            <v>277.77</v>
          </cell>
          <cell r="E10510">
            <v>0</v>
          </cell>
          <cell r="F10510">
            <v>277.77</v>
          </cell>
        </row>
        <row r="10511">
          <cell r="A10511" t="str">
            <v>460251</v>
          </cell>
          <cell r="B10511" t="str">
            <v>Dosadoras (1+R) - 6 a 10 repetições</v>
          </cell>
          <cell r="C10511" t="str">
            <v>ud</v>
          </cell>
          <cell r="D10511">
            <v>240.74</v>
          </cell>
          <cell r="E10511">
            <v>0</v>
          </cell>
          <cell r="F10511">
            <v>240.74</v>
          </cell>
        </row>
        <row r="10512">
          <cell r="A10512" t="str">
            <v>460252</v>
          </cell>
          <cell r="B10512" t="str">
            <v>Dosadoras (1+R) - acima de 10 repetições</v>
          </cell>
          <cell r="C10512" t="str">
            <v>ud</v>
          </cell>
          <cell r="D10512">
            <v>185.18</v>
          </cell>
          <cell r="E10512">
            <v>0</v>
          </cell>
          <cell r="F10512">
            <v>185.18</v>
          </cell>
        </row>
        <row r="10513">
          <cell r="A10513" t="str">
            <v>460253</v>
          </cell>
          <cell r="B10513" t="str">
            <v>Dosadoras (1+R) com controle em malha fechada</v>
          </cell>
          <cell r="C10513" t="str">
            <v>ud</v>
          </cell>
          <cell r="D10513">
            <v>534.98</v>
          </cell>
          <cell r="E10513">
            <v>0</v>
          </cell>
          <cell r="F10513">
            <v>534.98</v>
          </cell>
        </row>
        <row r="10514">
          <cell r="A10514" t="str">
            <v>460254</v>
          </cell>
          <cell r="B10514" t="str">
            <v>Dosadoras (1+R) com controle em malha fechada - 2 a 5 repetições</v>
          </cell>
          <cell r="C10514" t="str">
            <v>ud</v>
          </cell>
          <cell r="D10514">
            <v>401.24</v>
          </cell>
          <cell r="E10514">
            <v>0</v>
          </cell>
          <cell r="F10514">
            <v>401.24</v>
          </cell>
        </row>
        <row r="10515">
          <cell r="A10515" t="str">
            <v>460255</v>
          </cell>
          <cell r="B10515" t="str">
            <v>Dosadoras (1+R) com controle em malha fechada - 6 a 10 repetições</v>
          </cell>
          <cell r="C10515" t="str">
            <v>ud</v>
          </cell>
          <cell r="D10515">
            <v>347.74</v>
          </cell>
          <cell r="E10515">
            <v>0</v>
          </cell>
          <cell r="F10515">
            <v>347.74</v>
          </cell>
        </row>
        <row r="10516">
          <cell r="A10516" t="str">
            <v>460256</v>
          </cell>
          <cell r="B10516" t="str">
            <v>Dosadoras (1+R) com controle em malha fechada - acima de 10 repetições</v>
          </cell>
          <cell r="C10516" t="str">
            <v>ud</v>
          </cell>
          <cell r="D10516">
            <v>267.49</v>
          </cell>
          <cell r="E10516">
            <v>0</v>
          </cell>
          <cell r="F10516">
            <v>267.49</v>
          </cell>
        </row>
        <row r="10517">
          <cell r="A10517" t="str">
            <v>460257</v>
          </cell>
          <cell r="B10517" t="str">
            <v>Lavagem de um filtro com 5 válvulas/comportas (pneumático)</v>
          </cell>
          <cell r="C10517" t="str">
            <v>ud</v>
          </cell>
          <cell r="D10517">
            <v>1111.0999999999999</v>
          </cell>
          <cell r="E10517">
            <v>0</v>
          </cell>
          <cell r="F10517">
            <v>1111.0999999999999</v>
          </cell>
        </row>
        <row r="10518">
          <cell r="A10518" t="str">
            <v>460258</v>
          </cell>
          <cell r="B10518" t="str">
            <v>Lavagem de um filtro com 5 válvulas/comportas (pneumático) - 2 a 5 repetições</v>
          </cell>
          <cell r="C10518" t="str">
            <v>ud</v>
          </cell>
          <cell r="D10518">
            <v>833.33</v>
          </cell>
          <cell r="E10518">
            <v>0</v>
          </cell>
          <cell r="F10518">
            <v>833.33</v>
          </cell>
        </row>
        <row r="10519">
          <cell r="A10519" t="str">
            <v>460259</v>
          </cell>
          <cell r="B10519" t="str">
            <v>Lavagem de um filtro com 5 válvulas/comportas (pneumático) - 6 a 10 repetições</v>
          </cell>
          <cell r="C10519" t="str">
            <v>ud</v>
          </cell>
          <cell r="D10519">
            <v>722.22</v>
          </cell>
          <cell r="E10519">
            <v>0</v>
          </cell>
          <cell r="F10519">
            <v>722.22</v>
          </cell>
        </row>
        <row r="10520">
          <cell r="A10520" t="str">
            <v>460260</v>
          </cell>
          <cell r="B10520" t="str">
            <v>Lavagem de um filtro com 5 válvulas/comportas (pneumático) - acima de 10 repetições</v>
          </cell>
          <cell r="C10520" t="str">
            <v>ud</v>
          </cell>
          <cell r="D10520">
            <v>555.54999999999995</v>
          </cell>
          <cell r="E10520">
            <v>0</v>
          </cell>
          <cell r="F10520">
            <v>555.54999999999995</v>
          </cell>
        </row>
        <row r="10521">
          <cell r="A10521" t="str">
            <v>460261</v>
          </cell>
          <cell r="B10521" t="str">
            <v>Válvula de seleção</v>
          </cell>
          <cell r="C10521" t="str">
            <v>ud</v>
          </cell>
          <cell r="D10521">
            <v>41.16</v>
          </cell>
          <cell r="E10521">
            <v>0</v>
          </cell>
          <cell r="F10521">
            <v>41.16</v>
          </cell>
        </row>
        <row r="10522">
          <cell r="A10522" t="str">
            <v>460262</v>
          </cell>
          <cell r="B10522" t="str">
            <v>Válvula de seleção - 2 a 5 repetições</v>
          </cell>
          <cell r="C10522" t="str">
            <v>ud</v>
          </cell>
          <cell r="D10522">
            <v>30.87</v>
          </cell>
          <cell r="E10522">
            <v>0</v>
          </cell>
          <cell r="F10522">
            <v>30.87</v>
          </cell>
        </row>
        <row r="10523">
          <cell r="A10523" t="str">
            <v>460263</v>
          </cell>
          <cell r="B10523" t="str">
            <v>Válvula de seleção - 6 a 10 repetições</v>
          </cell>
          <cell r="C10523" t="str">
            <v>ud</v>
          </cell>
          <cell r="D10523">
            <v>26.75</v>
          </cell>
          <cell r="E10523">
            <v>0</v>
          </cell>
          <cell r="F10523">
            <v>26.75</v>
          </cell>
        </row>
        <row r="10524">
          <cell r="A10524" t="str">
            <v>460264</v>
          </cell>
          <cell r="B10524" t="str">
            <v>Válvula de seleção - acima de 10 repetições</v>
          </cell>
          <cell r="C10524" t="str">
            <v>ud</v>
          </cell>
          <cell r="D10524">
            <v>20.58</v>
          </cell>
          <cell r="E10524">
            <v>0</v>
          </cell>
          <cell r="F10524">
            <v>20.58</v>
          </cell>
        </row>
        <row r="10525">
          <cell r="A10525" t="str">
            <v>460265</v>
          </cell>
          <cell r="B10525" t="str">
            <v>Sistema de sequenciamento de coleta com 2 pontos de amostra</v>
          </cell>
          <cell r="C10525" t="str">
            <v>ud</v>
          </cell>
          <cell r="D10525">
            <v>370.36</v>
          </cell>
          <cell r="E10525">
            <v>0</v>
          </cell>
          <cell r="F10525">
            <v>370.36</v>
          </cell>
        </row>
        <row r="10526">
          <cell r="A10526" t="str">
            <v>460266</v>
          </cell>
          <cell r="B10526" t="str">
            <v>Sistema de sequenciamento de coleta com 2 pontos de amostra - 2 a 5 repetições</v>
          </cell>
          <cell r="C10526" t="str">
            <v>ud</v>
          </cell>
          <cell r="D10526">
            <v>277.77</v>
          </cell>
          <cell r="E10526">
            <v>0</v>
          </cell>
          <cell r="F10526">
            <v>277.77</v>
          </cell>
        </row>
        <row r="10527">
          <cell r="A10527" t="str">
            <v>460267</v>
          </cell>
          <cell r="B10527" t="str">
            <v>Sistema de sequenciamento de coleta com 2 pontos de amostra - 6 a 10 repetições</v>
          </cell>
          <cell r="C10527" t="str">
            <v>ud</v>
          </cell>
          <cell r="D10527">
            <v>240.74</v>
          </cell>
          <cell r="E10527">
            <v>0</v>
          </cell>
          <cell r="F10527">
            <v>240.74</v>
          </cell>
        </row>
        <row r="10528">
          <cell r="A10528" t="str">
            <v>460268</v>
          </cell>
          <cell r="B10528" t="str">
            <v>Sistema de sequenciamento de coleta com 2 pontos de amostra - acima de 10 repetições</v>
          </cell>
          <cell r="C10528" t="str">
            <v>ud</v>
          </cell>
          <cell r="D10528">
            <v>185.18</v>
          </cell>
          <cell r="E10528">
            <v>0</v>
          </cell>
          <cell r="F10528">
            <v>185.18</v>
          </cell>
        </row>
        <row r="10529">
          <cell r="A10529" t="str">
            <v>460269</v>
          </cell>
          <cell r="B10529" t="str">
            <v>Motobomba de coleta individual</v>
          </cell>
          <cell r="C10529" t="str">
            <v>ud</v>
          </cell>
          <cell r="D10529">
            <v>205.76</v>
          </cell>
          <cell r="E10529">
            <v>0</v>
          </cell>
          <cell r="F10529">
            <v>205.76</v>
          </cell>
        </row>
        <row r="10530">
          <cell r="A10530" t="str">
            <v>460270</v>
          </cell>
          <cell r="B10530" t="str">
            <v>Motobomba de coleta individual - 2 a 5 repetições</v>
          </cell>
          <cell r="C10530" t="str">
            <v>ud</v>
          </cell>
          <cell r="D10530">
            <v>154.32</v>
          </cell>
          <cell r="E10530">
            <v>0</v>
          </cell>
          <cell r="F10530">
            <v>154.32</v>
          </cell>
        </row>
        <row r="10531">
          <cell r="A10531" t="str">
            <v>460271</v>
          </cell>
          <cell r="B10531" t="str">
            <v>Motobomba de coleta individual - 6 a 10 repetições</v>
          </cell>
          <cell r="C10531" t="str">
            <v>ud</v>
          </cell>
          <cell r="D10531">
            <v>133.74</v>
          </cell>
          <cell r="E10531">
            <v>0</v>
          </cell>
          <cell r="F10531">
            <v>133.74</v>
          </cell>
        </row>
        <row r="10532">
          <cell r="A10532" t="str">
            <v>460272</v>
          </cell>
          <cell r="B10532" t="str">
            <v>Motobomba de coleta individual - acima de 10 repetições</v>
          </cell>
          <cell r="C10532" t="str">
            <v>ud</v>
          </cell>
          <cell r="D10532">
            <v>102.88</v>
          </cell>
          <cell r="E10532">
            <v>0</v>
          </cell>
          <cell r="F10532">
            <v>102.88</v>
          </cell>
        </row>
        <row r="10533">
          <cell r="A10533" t="str">
            <v>460273</v>
          </cell>
          <cell r="B10533" t="str">
            <v>Motobombas de coleta (1+R)</v>
          </cell>
          <cell r="C10533" t="str">
            <v>ud</v>
          </cell>
          <cell r="D10533">
            <v>329.22</v>
          </cell>
          <cell r="E10533">
            <v>0</v>
          </cell>
          <cell r="F10533">
            <v>329.22</v>
          </cell>
        </row>
        <row r="10534">
          <cell r="A10534" t="str">
            <v>460274</v>
          </cell>
          <cell r="B10534" t="str">
            <v>Motobombas de coleta (1+R) - 2 a 5 repetições</v>
          </cell>
          <cell r="C10534" t="str">
            <v>ud</v>
          </cell>
          <cell r="D10534">
            <v>246.92</v>
          </cell>
          <cell r="E10534">
            <v>0</v>
          </cell>
          <cell r="F10534">
            <v>246.92</v>
          </cell>
        </row>
        <row r="10535">
          <cell r="A10535" t="str">
            <v>460275</v>
          </cell>
          <cell r="B10535" t="str">
            <v>Motobombas de coleta (1+R) - 6 a 10 repetições</v>
          </cell>
          <cell r="C10535" t="str">
            <v>ud</v>
          </cell>
          <cell r="D10535">
            <v>213.99</v>
          </cell>
          <cell r="E10535">
            <v>0</v>
          </cell>
          <cell r="F10535">
            <v>213.99</v>
          </cell>
        </row>
        <row r="10536">
          <cell r="A10536" t="str">
            <v>460276</v>
          </cell>
          <cell r="B10536" t="str">
            <v>Motobombas de coleta (1+R) - acima de 10 repetições</v>
          </cell>
          <cell r="C10536" t="str">
            <v>ud</v>
          </cell>
          <cell r="D10536">
            <v>164.61</v>
          </cell>
          <cell r="E10536">
            <v>0</v>
          </cell>
          <cell r="F10536">
            <v>164.61</v>
          </cell>
        </row>
        <row r="10537">
          <cell r="A10537" t="str">
            <v>460277</v>
          </cell>
          <cell r="B10537" t="str">
            <v>Compressores (1+R)</v>
          </cell>
          <cell r="C10537" t="str">
            <v>ud</v>
          </cell>
          <cell r="D10537">
            <v>329.22</v>
          </cell>
          <cell r="E10537">
            <v>0</v>
          </cell>
          <cell r="F10537">
            <v>329.22</v>
          </cell>
        </row>
        <row r="10538">
          <cell r="A10538" t="str">
            <v>460278</v>
          </cell>
          <cell r="B10538" t="str">
            <v>Compressores (1+R) - 2 a 5 repetições</v>
          </cell>
          <cell r="C10538" t="str">
            <v>ud</v>
          </cell>
          <cell r="D10538">
            <v>246.92</v>
          </cell>
          <cell r="E10538">
            <v>0</v>
          </cell>
          <cell r="F10538">
            <v>246.92</v>
          </cell>
        </row>
        <row r="10539">
          <cell r="A10539" t="str">
            <v>460279</v>
          </cell>
          <cell r="B10539" t="str">
            <v>Compressores (1+R) - 6 a 10 repetições</v>
          </cell>
          <cell r="C10539" t="str">
            <v>ud</v>
          </cell>
          <cell r="D10539">
            <v>213.99</v>
          </cell>
          <cell r="E10539">
            <v>0</v>
          </cell>
          <cell r="F10539">
            <v>213.99</v>
          </cell>
        </row>
        <row r="10540">
          <cell r="A10540" t="str">
            <v>460280</v>
          </cell>
          <cell r="B10540" t="str">
            <v>Compressores (1+R) - acima de 10 repetições</v>
          </cell>
          <cell r="C10540" t="str">
            <v>ud</v>
          </cell>
          <cell r="D10540">
            <v>164.61</v>
          </cell>
          <cell r="E10540">
            <v>0</v>
          </cell>
          <cell r="F10540">
            <v>164.61</v>
          </cell>
        </row>
        <row r="10541">
          <cell r="A10541" t="str">
            <v>460281</v>
          </cell>
          <cell r="B10541" t="str">
            <v>Operações mínimas do CP</v>
          </cell>
          <cell r="C10541" t="str">
            <v>ud</v>
          </cell>
          <cell r="D10541">
            <v>246.92</v>
          </cell>
          <cell r="E10541">
            <v>0</v>
          </cell>
          <cell r="F10541">
            <v>246.92</v>
          </cell>
        </row>
        <row r="10542">
          <cell r="A10542" t="str">
            <v>460282</v>
          </cell>
          <cell r="B10542" t="str">
            <v>Operações mínimas do CP - 2 a 5 repetições</v>
          </cell>
          <cell r="C10542" t="str">
            <v>ud</v>
          </cell>
          <cell r="D10542">
            <v>185.19</v>
          </cell>
          <cell r="E10542">
            <v>0</v>
          </cell>
          <cell r="F10542">
            <v>185.19</v>
          </cell>
        </row>
        <row r="10543">
          <cell r="A10543" t="str">
            <v>460283</v>
          </cell>
          <cell r="B10543" t="str">
            <v>Operações mínimas do CP - 6 a 10 repetições</v>
          </cell>
          <cell r="C10543" t="str">
            <v>ud</v>
          </cell>
          <cell r="D10543">
            <v>160.49</v>
          </cell>
          <cell r="E10543">
            <v>0</v>
          </cell>
          <cell r="F10543">
            <v>160.49</v>
          </cell>
        </row>
        <row r="10544">
          <cell r="A10544" t="str">
            <v>460284</v>
          </cell>
          <cell r="B10544" t="str">
            <v>Operações mínimas do CP - acima de 10 repetições</v>
          </cell>
          <cell r="C10544" t="str">
            <v>ud</v>
          </cell>
          <cell r="D10544">
            <v>123.46</v>
          </cell>
          <cell r="E10544">
            <v>0</v>
          </cell>
          <cell r="F10544">
            <v>123.46</v>
          </cell>
        </row>
        <row r="10545">
          <cell r="A10545" t="str">
            <v>460201</v>
          </cell>
          <cell r="B10545" t="str">
            <v>Instrumento</v>
          </cell>
          <cell r="C10545" t="str">
            <v>ud</v>
          </cell>
          <cell r="D10545">
            <v>123.46</v>
          </cell>
          <cell r="E10545">
            <v>0</v>
          </cell>
          <cell r="F10545">
            <v>123.46</v>
          </cell>
        </row>
        <row r="10546">
          <cell r="A10546" t="str">
            <v>460202</v>
          </cell>
          <cell r="B10546" t="str">
            <v>Instrumento - 2 a 5 repetições</v>
          </cell>
          <cell r="C10546" t="str">
            <v>ud</v>
          </cell>
          <cell r="D10546">
            <v>92.6</v>
          </cell>
          <cell r="E10546">
            <v>0</v>
          </cell>
          <cell r="F10546">
            <v>92.6</v>
          </cell>
        </row>
        <row r="10547">
          <cell r="A10547" t="str">
            <v>460203</v>
          </cell>
          <cell r="B10547" t="str">
            <v>Instrumento - 6 a 10 repetições</v>
          </cell>
          <cell r="C10547" t="str">
            <v>ud</v>
          </cell>
          <cell r="D10547">
            <v>80.25</v>
          </cell>
          <cell r="E10547">
            <v>0</v>
          </cell>
          <cell r="F10547">
            <v>80.25</v>
          </cell>
        </row>
        <row r="10548">
          <cell r="A10548" t="str">
            <v>460204</v>
          </cell>
          <cell r="B10548" t="str">
            <v>Instrumento - acima de 10 repetições</v>
          </cell>
          <cell r="C10548" t="str">
            <v>ud</v>
          </cell>
          <cell r="D10548">
            <v>61.73</v>
          </cell>
          <cell r="E10548">
            <v>0</v>
          </cell>
          <cell r="F10548">
            <v>61.73</v>
          </cell>
        </row>
        <row r="10549">
          <cell r="A10549" t="str">
            <v>460205</v>
          </cell>
          <cell r="B10549" t="str">
            <v>Válvula de controle</v>
          </cell>
          <cell r="C10549" t="str">
            <v>ud</v>
          </cell>
          <cell r="D10549">
            <v>329.22</v>
          </cell>
          <cell r="E10549">
            <v>0</v>
          </cell>
          <cell r="F10549">
            <v>329.22</v>
          </cell>
        </row>
        <row r="10550">
          <cell r="A10550" t="str">
            <v>460206</v>
          </cell>
          <cell r="B10550" t="str">
            <v>Válvula de controle - 2 a 5 repetições</v>
          </cell>
          <cell r="C10550" t="str">
            <v>ud</v>
          </cell>
          <cell r="D10550">
            <v>246.92</v>
          </cell>
          <cell r="E10550">
            <v>0</v>
          </cell>
          <cell r="F10550">
            <v>246.92</v>
          </cell>
        </row>
        <row r="10551">
          <cell r="A10551" t="str">
            <v>460207</v>
          </cell>
          <cell r="B10551" t="str">
            <v>Válvula de controle - 6 a 10 repetições</v>
          </cell>
          <cell r="C10551" t="str">
            <v>ud</v>
          </cell>
          <cell r="D10551">
            <v>213.99</v>
          </cell>
          <cell r="E10551">
            <v>0</v>
          </cell>
          <cell r="F10551">
            <v>213.99</v>
          </cell>
        </row>
        <row r="10552">
          <cell r="A10552" t="str">
            <v>460208</v>
          </cell>
          <cell r="B10552" t="str">
            <v>Válvula de controle - acima de 10 repetições</v>
          </cell>
          <cell r="C10552" t="str">
            <v>ud</v>
          </cell>
          <cell r="D10552">
            <v>164.61</v>
          </cell>
          <cell r="E10552">
            <v>0</v>
          </cell>
          <cell r="F10552">
            <v>164.61</v>
          </cell>
        </row>
        <row r="10553">
          <cell r="A10553" t="str">
            <v>460209</v>
          </cell>
          <cell r="B10553" t="str">
            <v>Válvula de bloqueio</v>
          </cell>
          <cell r="C10553" t="str">
            <v>ud</v>
          </cell>
          <cell r="D10553">
            <v>123.46</v>
          </cell>
          <cell r="E10553">
            <v>0</v>
          </cell>
          <cell r="F10553">
            <v>123.46</v>
          </cell>
        </row>
        <row r="10554">
          <cell r="A10554" t="str">
            <v>460210</v>
          </cell>
          <cell r="B10554" t="str">
            <v>Válvula de bloqueio - 2 a 5 repetições</v>
          </cell>
          <cell r="C10554" t="str">
            <v>ud</v>
          </cell>
          <cell r="D10554">
            <v>92.6</v>
          </cell>
          <cell r="E10554">
            <v>0</v>
          </cell>
          <cell r="F10554">
            <v>92.6</v>
          </cell>
        </row>
        <row r="10555">
          <cell r="A10555" t="str">
            <v>460211</v>
          </cell>
          <cell r="B10555" t="str">
            <v>Válvula de bloqueio - 6 a 10 repetições</v>
          </cell>
          <cell r="C10555" t="str">
            <v>ud</v>
          </cell>
          <cell r="D10555">
            <v>80.25</v>
          </cell>
          <cell r="E10555">
            <v>0</v>
          </cell>
          <cell r="F10555">
            <v>80.25</v>
          </cell>
        </row>
        <row r="10556">
          <cell r="A10556" t="str">
            <v>460212</v>
          </cell>
          <cell r="B10556" t="str">
            <v>Válvula de bloqueio - acima de 10 repetições</v>
          </cell>
          <cell r="C10556" t="str">
            <v>ud</v>
          </cell>
          <cell r="D10556">
            <v>61.73</v>
          </cell>
          <cell r="E10556">
            <v>0</v>
          </cell>
          <cell r="F10556">
            <v>61.73</v>
          </cell>
        </row>
        <row r="10557">
          <cell r="A10557" t="str">
            <v>460213</v>
          </cell>
          <cell r="B10557" t="str">
            <v>Elevatória com uma motobomba com conversor de frequência</v>
          </cell>
          <cell r="C10557" t="str">
            <v>ud</v>
          </cell>
          <cell r="D10557">
            <v>534.98</v>
          </cell>
          <cell r="E10557">
            <v>0</v>
          </cell>
          <cell r="F10557">
            <v>534.98</v>
          </cell>
        </row>
        <row r="10558">
          <cell r="A10558" t="str">
            <v>460214</v>
          </cell>
          <cell r="B10558" t="str">
            <v>Elevatória com uma motobomba com conversor de frequência - 2 a 5 repetições</v>
          </cell>
          <cell r="C10558" t="str">
            <v>ud</v>
          </cell>
          <cell r="D10558">
            <v>401.24</v>
          </cell>
          <cell r="E10558">
            <v>0</v>
          </cell>
          <cell r="F10558">
            <v>401.24</v>
          </cell>
        </row>
        <row r="10559">
          <cell r="A10559" t="str">
            <v>460215</v>
          </cell>
          <cell r="B10559" t="str">
            <v>Elevatória com uma motobomba com conversor de frequência - 6 a 10 repetições</v>
          </cell>
          <cell r="C10559" t="str">
            <v>ud</v>
          </cell>
          <cell r="D10559">
            <v>347.74</v>
          </cell>
          <cell r="E10559">
            <v>0</v>
          </cell>
          <cell r="F10559">
            <v>347.74</v>
          </cell>
        </row>
        <row r="10560">
          <cell r="A10560" t="str">
            <v>460216</v>
          </cell>
          <cell r="B10560" t="str">
            <v>Elevatória com uma motobomba com conversor de frequência - acima de 10 repetições</v>
          </cell>
          <cell r="C10560" t="str">
            <v>ud</v>
          </cell>
          <cell r="D10560">
            <v>267.49</v>
          </cell>
          <cell r="E10560">
            <v>0</v>
          </cell>
          <cell r="F10560">
            <v>267.49</v>
          </cell>
        </row>
        <row r="10561">
          <cell r="A10561" t="str">
            <v>460217</v>
          </cell>
          <cell r="B10561" t="str">
            <v>Elevatória com duas motobombas com conversor de frequência</v>
          </cell>
          <cell r="C10561" t="str">
            <v>ud</v>
          </cell>
          <cell r="D10561">
            <v>1028.8</v>
          </cell>
          <cell r="E10561">
            <v>0</v>
          </cell>
          <cell r="F10561">
            <v>1028.8</v>
          </cell>
        </row>
        <row r="10562">
          <cell r="A10562" t="str">
            <v>460218</v>
          </cell>
          <cell r="B10562" t="str">
            <v>Elevatória com duas motobombas com conversor de frequência - 2 a 5 repetições</v>
          </cell>
          <cell r="C10562" t="str">
            <v>ud</v>
          </cell>
          <cell r="D10562">
            <v>771.6</v>
          </cell>
          <cell r="E10562">
            <v>0</v>
          </cell>
          <cell r="F10562">
            <v>771.6</v>
          </cell>
        </row>
        <row r="10563">
          <cell r="A10563" t="str">
            <v>460219</v>
          </cell>
          <cell r="B10563" t="str">
            <v>Elevatória com duas motobombas com conversor de frequência - 6 a 10 repetições</v>
          </cell>
          <cell r="C10563" t="str">
            <v>ud</v>
          </cell>
          <cell r="D10563">
            <v>668.72</v>
          </cell>
          <cell r="E10563">
            <v>0</v>
          </cell>
          <cell r="F10563">
            <v>668.72</v>
          </cell>
        </row>
        <row r="10564">
          <cell r="A10564" t="str">
            <v>460220</v>
          </cell>
          <cell r="B10564" t="str">
            <v>Elevatória com duas motobombas com conversor de frequência - acima de 10 repetições</v>
          </cell>
          <cell r="C10564" t="str">
            <v>ud</v>
          </cell>
          <cell r="D10564">
            <v>514.4</v>
          </cell>
          <cell r="E10564">
            <v>0</v>
          </cell>
          <cell r="F10564">
            <v>514.4</v>
          </cell>
        </row>
        <row r="10565">
          <cell r="A10565" t="str">
            <v>460221</v>
          </cell>
          <cell r="B10565" t="str">
            <v>Elevatória com três motobombas com conversor de frequência</v>
          </cell>
          <cell r="C10565" t="str">
            <v>ud</v>
          </cell>
          <cell r="D10565">
            <v>1893</v>
          </cell>
          <cell r="E10565">
            <v>0</v>
          </cell>
          <cell r="F10565">
            <v>1893</v>
          </cell>
        </row>
        <row r="10566">
          <cell r="A10566" t="str">
            <v>460222</v>
          </cell>
          <cell r="B10566" t="str">
            <v>Elevatória com três motobombas com conversor de frequência - 2 a 5 repetições</v>
          </cell>
          <cell r="C10566" t="str">
            <v>ud</v>
          </cell>
          <cell r="D10566">
            <v>1419.75</v>
          </cell>
          <cell r="E10566">
            <v>0</v>
          </cell>
          <cell r="F10566">
            <v>1419.75</v>
          </cell>
        </row>
        <row r="10567">
          <cell r="A10567" t="str">
            <v>460223</v>
          </cell>
          <cell r="B10567" t="str">
            <v>Elevatória com três motobombas com conversor de frequência - 6 a 10 repetições</v>
          </cell>
          <cell r="C10567" t="str">
            <v>ud</v>
          </cell>
          <cell r="D10567">
            <v>1230.45</v>
          </cell>
          <cell r="E10567">
            <v>0</v>
          </cell>
          <cell r="F10567">
            <v>1230.45</v>
          </cell>
        </row>
        <row r="10568">
          <cell r="A10568" t="str">
            <v>460224</v>
          </cell>
          <cell r="B10568" t="str">
            <v>Elevatória com três motobombas com conversor de frequência - acima de 10 repetições</v>
          </cell>
          <cell r="C10568" t="str">
            <v>ud</v>
          </cell>
          <cell r="D10568">
            <v>946.5</v>
          </cell>
          <cell r="E10568">
            <v>0</v>
          </cell>
          <cell r="F10568">
            <v>946.5</v>
          </cell>
        </row>
        <row r="10569">
          <cell r="A10569" t="str">
            <v>4603</v>
          </cell>
          <cell r="B10569" t="str">
            <v>DESENVOLVIMENTO DO PROGRAMA APLICATIVO DA IHM</v>
          </cell>
          <cell r="C10569">
            <v>0</v>
          </cell>
          <cell r="D10569">
            <v>0</v>
          </cell>
          <cell r="E10569">
            <v>0</v>
          </cell>
          <cell r="F10569">
            <v>0</v>
          </cell>
        </row>
        <row r="10570">
          <cell r="A10570" t="str">
            <v>460301</v>
          </cell>
          <cell r="B10570" t="str">
            <v>Instrumento</v>
          </cell>
          <cell r="C10570" t="str">
            <v>ud</v>
          </cell>
          <cell r="D10570">
            <v>61.74</v>
          </cell>
          <cell r="E10570">
            <v>0</v>
          </cell>
          <cell r="F10570">
            <v>61.74</v>
          </cell>
        </row>
        <row r="10571">
          <cell r="A10571" t="str">
            <v>460302</v>
          </cell>
          <cell r="B10571" t="str">
            <v>Instrumento - 2 a 5 repetições</v>
          </cell>
          <cell r="C10571" t="str">
            <v>ud</v>
          </cell>
          <cell r="D10571">
            <v>46.31</v>
          </cell>
          <cell r="E10571">
            <v>0</v>
          </cell>
          <cell r="F10571">
            <v>46.31</v>
          </cell>
        </row>
        <row r="10572">
          <cell r="A10572" t="str">
            <v>460303</v>
          </cell>
          <cell r="B10572" t="str">
            <v>Instrumento - 6 a 10 repetições</v>
          </cell>
          <cell r="C10572" t="str">
            <v>ud</v>
          </cell>
          <cell r="D10572">
            <v>40.130000000000003</v>
          </cell>
          <cell r="E10572">
            <v>0</v>
          </cell>
          <cell r="F10572">
            <v>40.130000000000003</v>
          </cell>
        </row>
        <row r="10573">
          <cell r="A10573" t="str">
            <v>460304</v>
          </cell>
          <cell r="B10573" t="str">
            <v>Instrumento - acima de 10 repetições</v>
          </cell>
          <cell r="C10573" t="str">
            <v>ud</v>
          </cell>
          <cell r="D10573">
            <v>30.88</v>
          </cell>
          <cell r="E10573">
            <v>0</v>
          </cell>
          <cell r="F10573">
            <v>30.88</v>
          </cell>
        </row>
        <row r="10574">
          <cell r="A10574" t="str">
            <v>460305</v>
          </cell>
          <cell r="B10574" t="str">
            <v>Válvula de controle</v>
          </cell>
          <cell r="C10574" t="str">
            <v>ud</v>
          </cell>
          <cell r="D10574">
            <v>164.6</v>
          </cell>
          <cell r="E10574">
            <v>0</v>
          </cell>
          <cell r="F10574">
            <v>164.6</v>
          </cell>
        </row>
        <row r="10575">
          <cell r="A10575" t="str">
            <v>460306</v>
          </cell>
          <cell r="B10575" t="str">
            <v>Válvula de controle - 2 a 5 repetições</v>
          </cell>
          <cell r="C10575" t="str">
            <v>ud</v>
          </cell>
          <cell r="D10575">
            <v>123.45</v>
          </cell>
          <cell r="E10575">
            <v>0</v>
          </cell>
          <cell r="F10575">
            <v>123.45</v>
          </cell>
        </row>
        <row r="10576">
          <cell r="A10576" t="str">
            <v>460307</v>
          </cell>
          <cell r="B10576" t="str">
            <v>Válvula de controle - 6 a 10 repetições</v>
          </cell>
          <cell r="C10576" t="str">
            <v>ud</v>
          </cell>
          <cell r="D10576">
            <v>106.99</v>
          </cell>
          <cell r="E10576">
            <v>0</v>
          </cell>
          <cell r="F10576">
            <v>106.99</v>
          </cell>
        </row>
        <row r="10577">
          <cell r="A10577" t="str">
            <v>460308</v>
          </cell>
          <cell r="B10577" t="str">
            <v>Válvula de controle - acima de 10 repetições</v>
          </cell>
          <cell r="C10577" t="str">
            <v>ud</v>
          </cell>
          <cell r="D10577">
            <v>82.3</v>
          </cell>
          <cell r="E10577">
            <v>0</v>
          </cell>
          <cell r="F10577">
            <v>82.3</v>
          </cell>
        </row>
        <row r="10578">
          <cell r="A10578" t="str">
            <v>460309</v>
          </cell>
          <cell r="B10578" t="str">
            <v>Válvula de bloqueio</v>
          </cell>
          <cell r="C10578" t="str">
            <v>ud</v>
          </cell>
          <cell r="D10578">
            <v>61.74</v>
          </cell>
          <cell r="E10578">
            <v>0</v>
          </cell>
          <cell r="F10578">
            <v>61.74</v>
          </cell>
        </row>
        <row r="10579">
          <cell r="A10579" t="str">
            <v>460310</v>
          </cell>
          <cell r="B10579" t="str">
            <v>Válvula de bloqueio - 2 a 5 repetições</v>
          </cell>
          <cell r="C10579" t="str">
            <v>ud</v>
          </cell>
          <cell r="D10579">
            <v>46.31</v>
          </cell>
          <cell r="E10579">
            <v>0</v>
          </cell>
          <cell r="F10579">
            <v>46.31</v>
          </cell>
        </row>
        <row r="10580">
          <cell r="A10580" t="str">
            <v>460311</v>
          </cell>
          <cell r="B10580" t="str">
            <v>Válvula de bloqueio - 6 a 10 repetições</v>
          </cell>
          <cell r="C10580" t="str">
            <v>ud</v>
          </cell>
          <cell r="D10580">
            <v>40.130000000000003</v>
          </cell>
          <cell r="E10580">
            <v>0</v>
          </cell>
          <cell r="F10580">
            <v>40.130000000000003</v>
          </cell>
        </row>
        <row r="10581">
          <cell r="A10581" t="str">
            <v>460312</v>
          </cell>
          <cell r="B10581" t="str">
            <v>Válvula de bloqueio - acima de 10 repetições</v>
          </cell>
          <cell r="C10581" t="str">
            <v>ud</v>
          </cell>
          <cell r="D10581">
            <v>30.88</v>
          </cell>
          <cell r="E10581">
            <v>0</v>
          </cell>
          <cell r="F10581">
            <v>30.88</v>
          </cell>
        </row>
        <row r="10582">
          <cell r="A10582" t="str">
            <v>460313</v>
          </cell>
          <cell r="B10582" t="str">
            <v>Elevatória com uma motobomba com conversor de frequência</v>
          </cell>
          <cell r="C10582" t="str">
            <v>ud</v>
          </cell>
          <cell r="D10582">
            <v>267.5</v>
          </cell>
          <cell r="E10582">
            <v>0</v>
          </cell>
          <cell r="F10582">
            <v>267.5</v>
          </cell>
        </row>
        <row r="10583">
          <cell r="A10583" t="str">
            <v>460314</v>
          </cell>
          <cell r="B10583" t="str">
            <v>Elevatória com uma motobomba com conversor de frequência - 2 a 5 repetições</v>
          </cell>
          <cell r="C10583" t="str">
            <v>ud</v>
          </cell>
          <cell r="D10583">
            <v>200.63</v>
          </cell>
          <cell r="E10583">
            <v>0</v>
          </cell>
          <cell r="F10583">
            <v>200.63</v>
          </cell>
        </row>
        <row r="10584">
          <cell r="A10584" t="str">
            <v>460315</v>
          </cell>
          <cell r="B10584" t="str">
            <v>Elevatória com uma motobomba com conversor de frequência - 6 a 10 repetições</v>
          </cell>
          <cell r="C10584" t="str">
            <v>ud</v>
          </cell>
          <cell r="D10584">
            <v>173.87</v>
          </cell>
          <cell r="E10584">
            <v>0</v>
          </cell>
          <cell r="F10584">
            <v>173.87</v>
          </cell>
        </row>
        <row r="10585">
          <cell r="A10585" t="str">
            <v>460316</v>
          </cell>
          <cell r="B10585" t="str">
            <v>Elevatória com uma motobomba com conversor de frequência - acima de 10 repetições</v>
          </cell>
          <cell r="C10585" t="str">
            <v>ud</v>
          </cell>
          <cell r="D10585">
            <v>133.76</v>
          </cell>
          <cell r="E10585">
            <v>0</v>
          </cell>
          <cell r="F10585">
            <v>133.76</v>
          </cell>
        </row>
        <row r="10586">
          <cell r="A10586" t="str">
            <v>460317</v>
          </cell>
          <cell r="B10586" t="str">
            <v>Elevatória com duas motobombas com conversor de frequência</v>
          </cell>
          <cell r="C10586" t="str">
            <v>ud</v>
          </cell>
          <cell r="D10586">
            <v>514.41999999999996</v>
          </cell>
          <cell r="E10586">
            <v>0</v>
          </cell>
          <cell r="F10586">
            <v>514.41999999999996</v>
          </cell>
        </row>
        <row r="10587">
          <cell r="A10587" t="str">
            <v>460318</v>
          </cell>
          <cell r="B10587" t="str">
            <v>Elevatória com duas motobombas com conversor de frequência - 2 a 5 repetições</v>
          </cell>
          <cell r="C10587" t="str">
            <v>ud</v>
          </cell>
          <cell r="D10587">
            <v>385.82</v>
          </cell>
          <cell r="E10587">
            <v>0</v>
          </cell>
          <cell r="F10587">
            <v>385.82</v>
          </cell>
        </row>
        <row r="10588">
          <cell r="A10588" t="str">
            <v>460319</v>
          </cell>
          <cell r="B10588" t="str">
            <v>Elevatória com duas motobombas com conversor de frequência - 6 a 10 repetições</v>
          </cell>
          <cell r="C10588" t="str">
            <v>ud</v>
          </cell>
          <cell r="D10588">
            <v>334.38</v>
          </cell>
          <cell r="E10588">
            <v>0</v>
          </cell>
          <cell r="F10588">
            <v>334.38</v>
          </cell>
        </row>
        <row r="10589">
          <cell r="A10589" t="str">
            <v>460320</v>
          </cell>
          <cell r="B10589" t="str">
            <v>Elevatória com duas motobombas com conversor de frequência - acima de 10 repetições</v>
          </cell>
          <cell r="C10589" t="str">
            <v>ud</v>
          </cell>
          <cell r="D10589">
            <v>257.22000000000003</v>
          </cell>
          <cell r="E10589">
            <v>0</v>
          </cell>
          <cell r="F10589">
            <v>257.22000000000003</v>
          </cell>
        </row>
        <row r="10590">
          <cell r="A10590" t="str">
            <v>460321</v>
          </cell>
          <cell r="B10590" t="str">
            <v>Elevatória com três motobombas com conversor de frequência</v>
          </cell>
          <cell r="C10590" t="str">
            <v>ud</v>
          </cell>
          <cell r="D10590">
            <v>946.5</v>
          </cell>
          <cell r="E10590">
            <v>0</v>
          </cell>
          <cell r="F10590">
            <v>946.5</v>
          </cell>
        </row>
        <row r="10591">
          <cell r="A10591" t="str">
            <v>460322</v>
          </cell>
          <cell r="B10591" t="str">
            <v>Elevatória com três motobombas com conversor de frequência - 2 a 5 repetições</v>
          </cell>
          <cell r="C10591" t="str">
            <v>ud</v>
          </cell>
          <cell r="D10591">
            <v>709.88</v>
          </cell>
          <cell r="E10591">
            <v>0</v>
          </cell>
          <cell r="F10591">
            <v>709.88</v>
          </cell>
        </row>
        <row r="10592">
          <cell r="A10592" t="str">
            <v>460323</v>
          </cell>
          <cell r="B10592" t="str">
            <v>Elevatória com três motobombas com conversor de frequência - 6 a 10 repetições</v>
          </cell>
          <cell r="C10592" t="str">
            <v>ud</v>
          </cell>
          <cell r="D10592">
            <v>615.22</v>
          </cell>
          <cell r="E10592">
            <v>0</v>
          </cell>
          <cell r="F10592">
            <v>615.22</v>
          </cell>
        </row>
        <row r="10593">
          <cell r="A10593" t="str">
            <v>460324</v>
          </cell>
          <cell r="B10593" t="str">
            <v>Elevatória com três motobombas com conversor de frequência - acima de 10 repetições</v>
          </cell>
          <cell r="C10593" t="str">
            <v>ud</v>
          </cell>
          <cell r="D10593">
            <v>473.25</v>
          </cell>
          <cell r="E10593">
            <v>0</v>
          </cell>
          <cell r="F10593">
            <v>473.25</v>
          </cell>
        </row>
        <row r="10594">
          <cell r="A10594" t="str">
            <v>460325</v>
          </cell>
          <cell r="B10594" t="str">
            <v>Elevatória com quatro motobombas com conversor de frequência</v>
          </cell>
          <cell r="C10594" t="str">
            <v>ud</v>
          </cell>
          <cell r="D10594">
            <v>1296.3</v>
          </cell>
          <cell r="E10594">
            <v>0</v>
          </cell>
          <cell r="F10594">
            <v>1296.3</v>
          </cell>
        </row>
        <row r="10595">
          <cell r="A10595" t="str">
            <v>460326</v>
          </cell>
          <cell r="B10595" t="str">
            <v>Elevatória com quatro motobombas com conversor de frequência - 2 a 5 repetições</v>
          </cell>
          <cell r="C10595" t="str">
            <v>ud</v>
          </cell>
          <cell r="D10595">
            <v>972.23</v>
          </cell>
          <cell r="E10595">
            <v>0</v>
          </cell>
          <cell r="F10595">
            <v>972.23</v>
          </cell>
        </row>
        <row r="10596">
          <cell r="A10596" t="str">
            <v>460327</v>
          </cell>
          <cell r="B10596" t="str">
            <v>Elevatória com quatro motobombas com conversor de frequência - 6 a 10 repetições</v>
          </cell>
          <cell r="C10596" t="str">
            <v>ud</v>
          </cell>
          <cell r="D10596">
            <v>842.59</v>
          </cell>
          <cell r="E10596">
            <v>0</v>
          </cell>
          <cell r="F10596">
            <v>842.59</v>
          </cell>
        </row>
        <row r="10597">
          <cell r="A10597" t="str">
            <v>460328</v>
          </cell>
          <cell r="B10597" t="str">
            <v>Elevatória com quatro motobombas com conversor de frequência - acima de 10 repetições</v>
          </cell>
          <cell r="C10597" t="str">
            <v>ud</v>
          </cell>
          <cell r="D10597">
            <v>648.16</v>
          </cell>
          <cell r="E10597">
            <v>0</v>
          </cell>
          <cell r="F10597">
            <v>648.16</v>
          </cell>
        </row>
        <row r="10598">
          <cell r="A10598" t="str">
            <v>460329</v>
          </cell>
          <cell r="B10598" t="str">
            <v>Elevatória com uma motobomba com softstarter ou partida direta</v>
          </cell>
          <cell r="C10598" t="str">
            <v>ud</v>
          </cell>
          <cell r="D10598">
            <v>185.2</v>
          </cell>
          <cell r="E10598">
            <v>0</v>
          </cell>
          <cell r="F10598">
            <v>185.2</v>
          </cell>
        </row>
        <row r="10599">
          <cell r="A10599" t="str">
            <v>460330</v>
          </cell>
          <cell r="B10599" t="str">
            <v>Elevatória com uma motobomba com softstarter ou partida direta - 2 a 5 repetições</v>
          </cell>
          <cell r="C10599" t="str">
            <v>ud</v>
          </cell>
          <cell r="D10599">
            <v>138.9</v>
          </cell>
          <cell r="E10599">
            <v>0</v>
          </cell>
          <cell r="F10599">
            <v>138.9</v>
          </cell>
        </row>
        <row r="10600">
          <cell r="A10600" t="str">
            <v>460331</v>
          </cell>
          <cell r="B10600" t="str">
            <v>Elevatória com uma motobomba com softstarter ou partida direta - 6 a 10 repetições</v>
          </cell>
          <cell r="C10600" t="str">
            <v>ud</v>
          </cell>
          <cell r="D10600">
            <v>120.38</v>
          </cell>
          <cell r="E10600">
            <v>0</v>
          </cell>
          <cell r="F10600">
            <v>120.38</v>
          </cell>
        </row>
        <row r="10601">
          <cell r="A10601" t="str">
            <v>460332</v>
          </cell>
          <cell r="B10601" t="str">
            <v>Elevatória com uma motobomba com softstarter ou partida direta - acima de 10 repetições</v>
          </cell>
          <cell r="C10601" t="str">
            <v>ud</v>
          </cell>
          <cell r="D10601">
            <v>92.61</v>
          </cell>
          <cell r="E10601">
            <v>0</v>
          </cell>
          <cell r="F10601">
            <v>92.61</v>
          </cell>
        </row>
        <row r="10602">
          <cell r="A10602" t="str">
            <v>460333</v>
          </cell>
          <cell r="B10602" t="str">
            <v>Elevatória com duas motobombas com softstarter ou partida direta</v>
          </cell>
          <cell r="C10602" t="str">
            <v>ud</v>
          </cell>
          <cell r="D10602">
            <v>329.22</v>
          </cell>
          <cell r="E10602">
            <v>0</v>
          </cell>
          <cell r="F10602">
            <v>329.22</v>
          </cell>
        </row>
        <row r="10603">
          <cell r="A10603" t="str">
            <v>460334</v>
          </cell>
          <cell r="B10603" t="str">
            <v>Elevatória com duas motobombas com softstarter ou partida direta - 2 a 5 repetições</v>
          </cell>
          <cell r="C10603" t="str">
            <v>ud</v>
          </cell>
          <cell r="D10603">
            <v>213.99</v>
          </cell>
          <cell r="E10603">
            <v>0</v>
          </cell>
          <cell r="F10603">
            <v>213.99</v>
          </cell>
        </row>
        <row r="10604">
          <cell r="A10604" t="str">
            <v>460335</v>
          </cell>
          <cell r="B10604" t="str">
            <v>Elevatória com duas motobombas com softstarter ou partida direta - 6 a 10 repetições</v>
          </cell>
          <cell r="C10604" t="str">
            <v>ud</v>
          </cell>
          <cell r="D10604">
            <v>213.99</v>
          </cell>
          <cell r="E10604">
            <v>0</v>
          </cell>
          <cell r="F10604">
            <v>213.99</v>
          </cell>
        </row>
        <row r="10605">
          <cell r="A10605" t="str">
            <v>460336</v>
          </cell>
          <cell r="B10605" t="str">
            <v>Elevatória com duas motobombas com softstarter ou partida direta - acima de 10 repetições</v>
          </cell>
          <cell r="C10605" t="str">
            <v>ud</v>
          </cell>
          <cell r="D10605">
            <v>164.61</v>
          </cell>
          <cell r="E10605">
            <v>0</v>
          </cell>
          <cell r="F10605">
            <v>164.61</v>
          </cell>
        </row>
        <row r="10606">
          <cell r="A10606" t="str">
            <v>460337</v>
          </cell>
          <cell r="B10606" t="str">
            <v>Elevatória com três motobombas com softstarter ou partida direta</v>
          </cell>
          <cell r="C10606" t="str">
            <v>ud</v>
          </cell>
          <cell r="D10606">
            <v>699.58</v>
          </cell>
          <cell r="E10606">
            <v>0</v>
          </cell>
          <cell r="F10606">
            <v>699.58</v>
          </cell>
        </row>
        <row r="10607">
          <cell r="A10607" t="str">
            <v>460338</v>
          </cell>
          <cell r="B10607" t="str">
            <v>Elevatória com três motobombas com softstarter ou partida direta - 2 a 5 repetições</v>
          </cell>
          <cell r="C10607" t="str">
            <v>ud</v>
          </cell>
          <cell r="D10607">
            <v>524.69000000000005</v>
          </cell>
          <cell r="E10607">
            <v>0</v>
          </cell>
          <cell r="F10607">
            <v>524.69000000000005</v>
          </cell>
        </row>
        <row r="10608">
          <cell r="A10608" t="str">
            <v>460339</v>
          </cell>
          <cell r="B10608" t="str">
            <v>Elevatória com três motobombas com softstarter ou partida direta - 6 a 10 repetições</v>
          </cell>
          <cell r="C10608" t="str">
            <v>ud</v>
          </cell>
          <cell r="D10608">
            <v>454.73</v>
          </cell>
          <cell r="E10608">
            <v>0</v>
          </cell>
          <cell r="F10608">
            <v>454.73</v>
          </cell>
        </row>
        <row r="10609">
          <cell r="A10609" t="str">
            <v>460340</v>
          </cell>
          <cell r="B10609" t="str">
            <v>Elevatória com três motobombas com softstarter ou partida direta - acima de 10 repetições</v>
          </cell>
          <cell r="C10609" t="str">
            <v>ud</v>
          </cell>
          <cell r="D10609">
            <v>349.79</v>
          </cell>
          <cell r="E10609">
            <v>0</v>
          </cell>
          <cell r="F10609">
            <v>349.79</v>
          </cell>
        </row>
        <row r="10610">
          <cell r="A10610" t="str">
            <v>460341</v>
          </cell>
          <cell r="B10610" t="str">
            <v>Elevatória com quatro motobombas com softstarter ou partida direta</v>
          </cell>
          <cell r="C10610" t="str">
            <v>ud</v>
          </cell>
          <cell r="D10610">
            <v>967.08</v>
          </cell>
          <cell r="E10610">
            <v>0</v>
          </cell>
          <cell r="F10610">
            <v>967.08</v>
          </cell>
        </row>
        <row r="10611">
          <cell r="A10611" t="str">
            <v>460342</v>
          </cell>
          <cell r="B10611" t="str">
            <v>Elevatória com quatro motobombas com softstarter ou partida direta - 2 a 5 repetições</v>
          </cell>
          <cell r="C10611" t="str">
            <v>ud</v>
          </cell>
          <cell r="D10611">
            <v>725.31</v>
          </cell>
          <cell r="E10611">
            <v>0</v>
          </cell>
          <cell r="F10611">
            <v>725.31</v>
          </cell>
        </row>
        <row r="10612">
          <cell r="A10612" t="str">
            <v>460343</v>
          </cell>
          <cell r="B10612" t="str">
            <v>Elevatória com quatro motobombas com softstarter ou partida direta - 6 a 10 repetições</v>
          </cell>
          <cell r="C10612" t="str">
            <v>ud</v>
          </cell>
          <cell r="D10612">
            <v>628.6</v>
          </cell>
          <cell r="E10612">
            <v>0</v>
          </cell>
          <cell r="F10612">
            <v>628.6</v>
          </cell>
        </row>
        <row r="10613">
          <cell r="A10613" t="str">
            <v>460344</v>
          </cell>
          <cell r="B10613" t="str">
            <v>Elevatória com quatro motobombas com softstarter ou partida direta - acima de 10 repetições</v>
          </cell>
          <cell r="C10613" t="str">
            <v>ud</v>
          </cell>
          <cell r="D10613">
            <v>483.55</v>
          </cell>
          <cell r="E10613">
            <v>0</v>
          </cell>
          <cell r="F10613">
            <v>483.55</v>
          </cell>
        </row>
        <row r="10614">
          <cell r="A10614" t="str">
            <v>460345</v>
          </cell>
          <cell r="B10614" t="str">
            <v>Dosadora individual</v>
          </cell>
          <cell r="C10614" t="str">
            <v>ud</v>
          </cell>
          <cell r="D10614">
            <v>102.9</v>
          </cell>
          <cell r="E10614">
            <v>0</v>
          </cell>
          <cell r="F10614">
            <v>102.9</v>
          </cell>
        </row>
        <row r="10615">
          <cell r="A10615" t="str">
            <v>460346</v>
          </cell>
          <cell r="B10615" t="str">
            <v>Dosadora individual - 2 a 5 repetições</v>
          </cell>
          <cell r="C10615" t="str">
            <v>ud</v>
          </cell>
          <cell r="D10615">
            <v>77.180000000000007</v>
          </cell>
          <cell r="E10615">
            <v>0</v>
          </cell>
          <cell r="F10615">
            <v>77.180000000000007</v>
          </cell>
        </row>
        <row r="10616">
          <cell r="A10616" t="str">
            <v>460347</v>
          </cell>
          <cell r="B10616" t="str">
            <v>Dosadora individual - 6 a 10 repetições</v>
          </cell>
          <cell r="C10616" t="str">
            <v>ud</v>
          </cell>
          <cell r="D10616">
            <v>66.89</v>
          </cell>
          <cell r="E10616">
            <v>0</v>
          </cell>
          <cell r="F10616">
            <v>66.89</v>
          </cell>
        </row>
        <row r="10617">
          <cell r="A10617" t="str">
            <v>460348</v>
          </cell>
          <cell r="B10617" t="str">
            <v>Dosadora individual - acima de 10 repetições</v>
          </cell>
          <cell r="C10617" t="str">
            <v>ud</v>
          </cell>
          <cell r="D10617">
            <v>51.46</v>
          </cell>
          <cell r="E10617">
            <v>0</v>
          </cell>
          <cell r="F10617">
            <v>51.46</v>
          </cell>
        </row>
        <row r="10618">
          <cell r="A10618" t="str">
            <v>460349</v>
          </cell>
          <cell r="B10618" t="str">
            <v>Dosadoras (1+R)</v>
          </cell>
          <cell r="C10618" t="str">
            <v>ud</v>
          </cell>
          <cell r="D10618">
            <v>185.2</v>
          </cell>
          <cell r="E10618">
            <v>0</v>
          </cell>
          <cell r="F10618">
            <v>185.2</v>
          </cell>
        </row>
        <row r="10619">
          <cell r="A10619" t="str">
            <v>460350</v>
          </cell>
          <cell r="B10619" t="str">
            <v>Dosadoras (1+R)  - 2 a 5 repetições</v>
          </cell>
          <cell r="C10619" t="str">
            <v>ud</v>
          </cell>
          <cell r="D10619">
            <v>138.9</v>
          </cell>
          <cell r="E10619">
            <v>0</v>
          </cell>
          <cell r="F10619">
            <v>138.9</v>
          </cell>
        </row>
        <row r="10620">
          <cell r="A10620" t="str">
            <v>460351</v>
          </cell>
          <cell r="B10620" t="str">
            <v>Dosadoras (1+R)  - 6 a 10 repetições</v>
          </cell>
          <cell r="C10620" t="str">
            <v>ud</v>
          </cell>
          <cell r="D10620">
            <v>120.38</v>
          </cell>
          <cell r="E10620">
            <v>0</v>
          </cell>
          <cell r="F10620">
            <v>120.38</v>
          </cell>
        </row>
        <row r="10621">
          <cell r="A10621" t="str">
            <v>460352</v>
          </cell>
          <cell r="B10621" t="str">
            <v>Dosadoras (1+R)  - acima de 10 repetições</v>
          </cell>
          <cell r="C10621" t="str">
            <v>ud</v>
          </cell>
          <cell r="D10621">
            <v>92.61</v>
          </cell>
          <cell r="E10621">
            <v>0</v>
          </cell>
          <cell r="F10621">
            <v>92.61</v>
          </cell>
        </row>
        <row r="10622">
          <cell r="A10622" t="str">
            <v>460353</v>
          </cell>
          <cell r="B10622" t="str">
            <v>Dosadoras (1+R) com controle em malha fechada</v>
          </cell>
          <cell r="C10622" t="str">
            <v>ud</v>
          </cell>
          <cell r="D10622">
            <v>267.5</v>
          </cell>
          <cell r="E10622">
            <v>0</v>
          </cell>
          <cell r="F10622">
            <v>267.5</v>
          </cell>
        </row>
        <row r="10623">
          <cell r="A10623" t="str">
            <v>460354</v>
          </cell>
          <cell r="B10623" t="str">
            <v>Dosadoras (1+R) com controle em malha fechada - 2 a 5 repetições</v>
          </cell>
          <cell r="C10623" t="str">
            <v>ud</v>
          </cell>
          <cell r="D10623">
            <v>200.63</v>
          </cell>
          <cell r="E10623">
            <v>0</v>
          </cell>
          <cell r="F10623">
            <v>200.63</v>
          </cell>
        </row>
        <row r="10624">
          <cell r="A10624" t="str">
            <v>460355</v>
          </cell>
          <cell r="B10624" t="str">
            <v>Dosadoras (1+R) com controle em malha fechada - 6 a 10 repetições</v>
          </cell>
          <cell r="C10624" t="str">
            <v>ud</v>
          </cell>
          <cell r="D10624">
            <v>173.87</v>
          </cell>
          <cell r="E10624">
            <v>0</v>
          </cell>
          <cell r="F10624">
            <v>173.87</v>
          </cell>
        </row>
        <row r="10625">
          <cell r="A10625" t="str">
            <v>460356</v>
          </cell>
          <cell r="B10625" t="str">
            <v>Dosadoras (1+R) com controle em malha fechada - acima de 10 repetições</v>
          </cell>
          <cell r="C10625" t="str">
            <v>ud</v>
          </cell>
          <cell r="D10625">
            <v>133.76</v>
          </cell>
          <cell r="E10625">
            <v>0</v>
          </cell>
          <cell r="F10625">
            <v>133.76</v>
          </cell>
        </row>
        <row r="10626">
          <cell r="A10626" t="str">
            <v>460357</v>
          </cell>
          <cell r="B10626" t="str">
            <v>Lavagem de um filtro com 5 válvulas/comportas (pneumático)</v>
          </cell>
          <cell r="C10626" t="str">
            <v>ud</v>
          </cell>
          <cell r="D10626">
            <v>555.55999999999995</v>
          </cell>
          <cell r="E10626">
            <v>0</v>
          </cell>
          <cell r="F10626">
            <v>555.55999999999995</v>
          </cell>
        </row>
        <row r="10627">
          <cell r="A10627" t="str">
            <v>460358</v>
          </cell>
          <cell r="B10627" t="str">
            <v>Lavagem de um filtro com 5 válvulas/comportas (pneumático) - 2 a 5 repetições</v>
          </cell>
          <cell r="C10627" t="str">
            <v>ud</v>
          </cell>
          <cell r="D10627">
            <v>416.67</v>
          </cell>
          <cell r="E10627">
            <v>0</v>
          </cell>
          <cell r="F10627">
            <v>416.67</v>
          </cell>
        </row>
        <row r="10628">
          <cell r="A10628" t="str">
            <v>460359</v>
          </cell>
          <cell r="B10628" t="str">
            <v>Lavagem de um filtro com 5 válvulas/comportas (pneumático) - 6 a 10 repetições</v>
          </cell>
          <cell r="C10628" t="str">
            <v>ud</v>
          </cell>
          <cell r="D10628">
            <v>361.11</v>
          </cell>
          <cell r="E10628">
            <v>0</v>
          </cell>
          <cell r="F10628">
            <v>361.11</v>
          </cell>
        </row>
        <row r="10629">
          <cell r="A10629" t="str">
            <v>460360</v>
          </cell>
          <cell r="B10629" t="str">
            <v>Lavagem de um filtro com 5 válvulas/comportas (pneumático) - acima de 10 repetições</v>
          </cell>
          <cell r="C10629" t="str">
            <v>ud</v>
          </cell>
          <cell r="D10629">
            <v>277.79000000000002</v>
          </cell>
          <cell r="E10629">
            <v>0</v>
          </cell>
          <cell r="F10629">
            <v>277.79000000000002</v>
          </cell>
        </row>
        <row r="10630">
          <cell r="A10630" t="str">
            <v>460361</v>
          </cell>
          <cell r="B10630" t="str">
            <v>Válvula de seleção</v>
          </cell>
          <cell r="C10630" t="str">
            <v>ud</v>
          </cell>
          <cell r="D10630">
            <v>20.58</v>
          </cell>
          <cell r="E10630">
            <v>0</v>
          </cell>
          <cell r="F10630">
            <v>20.58</v>
          </cell>
        </row>
        <row r="10631">
          <cell r="A10631" t="str">
            <v>460362</v>
          </cell>
          <cell r="B10631" t="str">
            <v>Válvula de seleção - 2 a 5 repetições</v>
          </cell>
          <cell r="C10631" t="str">
            <v>ud</v>
          </cell>
          <cell r="D10631">
            <v>15.44</v>
          </cell>
          <cell r="E10631">
            <v>0</v>
          </cell>
          <cell r="F10631">
            <v>15.44</v>
          </cell>
        </row>
        <row r="10632">
          <cell r="A10632" t="str">
            <v>460363</v>
          </cell>
          <cell r="B10632" t="str">
            <v>Válvula de seleção - 6 a 10 repetições</v>
          </cell>
          <cell r="C10632" t="str">
            <v>ud</v>
          </cell>
          <cell r="D10632">
            <v>13.38</v>
          </cell>
          <cell r="E10632">
            <v>0</v>
          </cell>
          <cell r="F10632">
            <v>13.38</v>
          </cell>
        </row>
        <row r="10633">
          <cell r="A10633" t="str">
            <v>460364</v>
          </cell>
          <cell r="B10633" t="str">
            <v>Válvula de seleção - acima de 10 repetições</v>
          </cell>
          <cell r="C10633" t="str">
            <v>ud</v>
          </cell>
          <cell r="D10633">
            <v>10.3</v>
          </cell>
          <cell r="E10633">
            <v>0</v>
          </cell>
          <cell r="F10633">
            <v>10.3</v>
          </cell>
        </row>
        <row r="10634">
          <cell r="A10634" t="str">
            <v>460365</v>
          </cell>
          <cell r="B10634" t="str">
            <v>Sistema de sequenciamento de coleta com 2 pontos de amostra</v>
          </cell>
          <cell r="C10634" t="str">
            <v>ud</v>
          </cell>
          <cell r="D10634">
            <v>185.2</v>
          </cell>
          <cell r="E10634">
            <v>0</v>
          </cell>
          <cell r="F10634">
            <v>185.2</v>
          </cell>
        </row>
        <row r="10635">
          <cell r="A10635" t="str">
            <v>460366</v>
          </cell>
          <cell r="B10635" t="str">
            <v>Sistema de sequenciamento de coleta com 2 pontos de amostra - 2 a 5 repetições</v>
          </cell>
          <cell r="C10635" t="str">
            <v>ud</v>
          </cell>
          <cell r="D10635">
            <v>138.9</v>
          </cell>
          <cell r="E10635">
            <v>0</v>
          </cell>
          <cell r="F10635">
            <v>138.9</v>
          </cell>
        </row>
        <row r="10636">
          <cell r="A10636" t="str">
            <v>460367</v>
          </cell>
          <cell r="B10636" t="str">
            <v>Sistema de sequenciamento de coleta com 2 pontos de amostra - 6 a 10 repetições</v>
          </cell>
          <cell r="C10636" t="str">
            <v>ud</v>
          </cell>
          <cell r="D10636">
            <v>120.38</v>
          </cell>
          <cell r="E10636">
            <v>0</v>
          </cell>
          <cell r="F10636">
            <v>120.38</v>
          </cell>
        </row>
        <row r="10637">
          <cell r="A10637" t="str">
            <v>460368</v>
          </cell>
          <cell r="B10637" t="str">
            <v>Sistema de sequenciamento de coleta com 2 pontos de amostra - acima de 10 repetições</v>
          </cell>
          <cell r="C10637" t="str">
            <v>ud</v>
          </cell>
          <cell r="D10637">
            <v>92.61</v>
          </cell>
          <cell r="E10637">
            <v>0</v>
          </cell>
          <cell r="F10637">
            <v>92.61</v>
          </cell>
        </row>
        <row r="10638">
          <cell r="A10638" t="str">
            <v>460369</v>
          </cell>
          <cell r="B10638" t="str">
            <v>Motobomba de coleta individual</v>
          </cell>
          <cell r="C10638" t="str">
            <v>ud</v>
          </cell>
          <cell r="D10638">
            <v>102.9</v>
          </cell>
          <cell r="E10638">
            <v>0</v>
          </cell>
          <cell r="F10638">
            <v>102.9</v>
          </cell>
        </row>
        <row r="10639">
          <cell r="A10639" t="str">
            <v>460370</v>
          </cell>
          <cell r="B10639" t="str">
            <v>Motobomba de coleta individual - 2 a 5 repetições</v>
          </cell>
          <cell r="C10639" t="str">
            <v>ud</v>
          </cell>
          <cell r="D10639">
            <v>77.180000000000007</v>
          </cell>
          <cell r="E10639">
            <v>0</v>
          </cell>
          <cell r="F10639">
            <v>77.180000000000007</v>
          </cell>
        </row>
        <row r="10640">
          <cell r="A10640" t="str">
            <v>460371</v>
          </cell>
          <cell r="B10640" t="str">
            <v>Motobomba de coleta individual - 6 a 10 repetições</v>
          </cell>
          <cell r="C10640" t="str">
            <v>ud</v>
          </cell>
          <cell r="D10640">
            <v>66.89</v>
          </cell>
          <cell r="E10640">
            <v>0</v>
          </cell>
          <cell r="F10640">
            <v>66.89</v>
          </cell>
        </row>
        <row r="10641">
          <cell r="A10641" t="str">
            <v>460372</v>
          </cell>
          <cell r="B10641" t="str">
            <v>Motobomba de coleta individual - acima de 10 repetições</v>
          </cell>
          <cell r="C10641" t="str">
            <v>ud</v>
          </cell>
          <cell r="D10641">
            <v>51.46</v>
          </cell>
          <cell r="E10641">
            <v>0</v>
          </cell>
          <cell r="F10641">
            <v>51.46</v>
          </cell>
        </row>
        <row r="10642">
          <cell r="A10642" t="str">
            <v>460373</v>
          </cell>
          <cell r="B10642" t="str">
            <v>Motobombas de coleta (1+R)</v>
          </cell>
          <cell r="C10642" t="str">
            <v>ud</v>
          </cell>
          <cell r="D10642">
            <v>164.6</v>
          </cell>
          <cell r="E10642">
            <v>0</v>
          </cell>
          <cell r="F10642">
            <v>164.6</v>
          </cell>
        </row>
        <row r="10643">
          <cell r="A10643" t="str">
            <v>460374</v>
          </cell>
          <cell r="B10643" t="str">
            <v>Motobombas de coleta (1+R) - 2 a 5 repetições</v>
          </cell>
          <cell r="C10643" t="str">
            <v>ud</v>
          </cell>
          <cell r="D10643">
            <v>123.45</v>
          </cell>
          <cell r="E10643">
            <v>0</v>
          </cell>
          <cell r="F10643">
            <v>123.45</v>
          </cell>
        </row>
        <row r="10644">
          <cell r="A10644" t="str">
            <v>460375</v>
          </cell>
          <cell r="B10644" t="str">
            <v>Motobombas de coleta (1+R) - 6 a 10 repetições</v>
          </cell>
          <cell r="C10644" t="str">
            <v>ud</v>
          </cell>
          <cell r="D10644">
            <v>106.99</v>
          </cell>
          <cell r="E10644">
            <v>0</v>
          </cell>
          <cell r="F10644">
            <v>106.99</v>
          </cell>
        </row>
        <row r="10645">
          <cell r="A10645" t="str">
            <v>460376</v>
          </cell>
          <cell r="B10645" t="str">
            <v>Motobombas de coleta (1+R) - acima de 10 repetições</v>
          </cell>
          <cell r="C10645" t="str">
            <v>ud</v>
          </cell>
          <cell r="D10645">
            <v>82.3</v>
          </cell>
          <cell r="E10645">
            <v>0</v>
          </cell>
          <cell r="F10645">
            <v>82.3</v>
          </cell>
        </row>
        <row r="10646">
          <cell r="A10646" t="str">
            <v>460377</v>
          </cell>
          <cell r="B10646" t="str">
            <v>Compressores (1+R)</v>
          </cell>
          <cell r="C10646" t="str">
            <v>ud</v>
          </cell>
          <cell r="D10646">
            <v>164.6</v>
          </cell>
          <cell r="E10646">
            <v>0</v>
          </cell>
          <cell r="F10646">
            <v>164.6</v>
          </cell>
        </row>
        <row r="10647">
          <cell r="A10647" t="str">
            <v>460378</v>
          </cell>
          <cell r="B10647" t="str">
            <v>Compressores (1+R) - 2 a 5 repetições</v>
          </cell>
          <cell r="C10647" t="str">
            <v>ud</v>
          </cell>
          <cell r="D10647">
            <v>123.45</v>
          </cell>
          <cell r="E10647">
            <v>0</v>
          </cell>
          <cell r="F10647">
            <v>123.45</v>
          </cell>
        </row>
        <row r="10648">
          <cell r="A10648" t="str">
            <v>460379</v>
          </cell>
          <cell r="B10648" t="str">
            <v>Compressores (1+R) - 6 a 10 repetições</v>
          </cell>
          <cell r="C10648" t="str">
            <v>ud</v>
          </cell>
          <cell r="D10648">
            <v>106.99</v>
          </cell>
          <cell r="E10648">
            <v>0</v>
          </cell>
          <cell r="F10648">
            <v>106.99</v>
          </cell>
        </row>
        <row r="10649">
          <cell r="A10649" t="str">
            <v>460380</v>
          </cell>
          <cell r="B10649" t="str">
            <v>Compressores (1+R) - acima de 10 repetições</v>
          </cell>
          <cell r="C10649" t="str">
            <v>ud</v>
          </cell>
          <cell r="D10649">
            <v>82.3</v>
          </cell>
          <cell r="E10649">
            <v>0</v>
          </cell>
          <cell r="F10649">
            <v>82.3</v>
          </cell>
        </row>
        <row r="10650">
          <cell r="A10650" t="str">
            <v>460381</v>
          </cell>
          <cell r="B10650" t="str">
            <v>Operações mínimas do CP</v>
          </cell>
          <cell r="C10650" t="str">
            <v>ud</v>
          </cell>
          <cell r="D10650">
            <v>123.46</v>
          </cell>
          <cell r="E10650">
            <v>0</v>
          </cell>
          <cell r="F10650">
            <v>123.46</v>
          </cell>
        </row>
        <row r="10651">
          <cell r="A10651" t="str">
            <v>460382</v>
          </cell>
          <cell r="B10651" t="str">
            <v>Operações mínimas do CP - 2 a 5 repetições</v>
          </cell>
          <cell r="C10651" t="str">
            <v>ud</v>
          </cell>
          <cell r="D10651">
            <v>92.6</v>
          </cell>
          <cell r="E10651">
            <v>0</v>
          </cell>
          <cell r="F10651">
            <v>92.6</v>
          </cell>
        </row>
        <row r="10652">
          <cell r="A10652" t="str">
            <v>460383</v>
          </cell>
          <cell r="B10652" t="str">
            <v>Operações mínimas do CP - 6 a 10 repetições</v>
          </cell>
          <cell r="C10652" t="str">
            <v>ud</v>
          </cell>
          <cell r="D10652">
            <v>80.25</v>
          </cell>
          <cell r="E10652">
            <v>0</v>
          </cell>
          <cell r="F10652">
            <v>80.25</v>
          </cell>
        </row>
        <row r="10653">
          <cell r="A10653" t="str">
            <v>460384</v>
          </cell>
          <cell r="B10653" t="str">
            <v>Operações mínimas do CP - acima de 10 repetições</v>
          </cell>
          <cell r="C10653" t="str">
            <v>ud</v>
          </cell>
          <cell r="D10653">
            <v>61.73</v>
          </cell>
          <cell r="E10653">
            <v>0</v>
          </cell>
          <cell r="F10653">
            <v>61.73</v>
          </cell>
        </row>
        <row r="10654">
          <cell r="A10654" t="str">
            <v>4604</v>
          </cell>
          <cell r="B10654" t="str">
            <v>DESENVOLVIMENTO DO PROGRAMA APLICATIVO PARA O SISTEMA DE SUPERVISÃO</v>
          </cell>
          <cell r="C10654">
            <v>0</v>
          </cell>
          <cell r="D10654">
            <v>0</v>
          </cell>
          <cell r="E10654">
            <v>0</v>
          </cell>
          <cell r="F10654">
            <v>0</v>
          </cell>
        </row>
        <row r="10655">
          <cell r="A10655" t="str">
            <v>460445</v>
          </cell>
          <cell r="B10655" t="str">
            <v>Dosadora individual</v>
          </cell>
          <cell r="C10655" t="str">
            <v>ud</v>
          </cell>
          <cell r="D10655">
            <v>205.76</v>
          </cell>
          <cell r="E10655">
            <v>0</v>
          </cell>
          <cell r="F10655">
            <v>205.76</v>
          </cell>
        </row>
        <row r="10656">
          <cell r="A10656" t="str">
            <v>460446</v>
          </cell>
          <cell r="B10656" t="str">
            <v>Dosadora individual - 2 a 5 repetições</v>
          </cell>
          <cell r="C10656" t="str">
            <v>ud</v>
          </cell>
          <cell r="D10656">
            <v>154.32</v>
          </cell>
          <cell r="E10656">
            <v>0</v>
          </cell>
          <cell r="F10656">
            <v>154.32</v>
          </cell>
        </row>
        <row r="10657">
          <cell r="A10657" t="str">
            <v>460447</v>
          </cell>
          <cell r="B10657" t="str">
            <v>Dosadora individual - 6 a 10 repetições</v>
          </cell>
          <cell r="C10657" t="str">
            <v>ud</v>
          </cell>
          <cell r="D10657">
            <v>133.74</v>
          </cell>
          <cell r="E10657">
            <v>0</v>
          </cell>
          <cell r="F10657">
            <v>133.74</v>
          </cell>
        </row>
        <row r="10658">
          <cell r="A10658" t="str">
            <v>460448</v>
          </cell>
          <cell r="B10658" t="str">
            <v>Dosadora individual - acima de 10 repetições</v>
          </cell>
          <cell r="C10658" t="str">
            <v>ud</v>
          </cell>
          <cell r="D10658">
            <v>102.88</v>
          </cell>
          <cell r="E10658">
            <v>0</v>
          </cell>
          <cell r="F10658">
            <v>102.88</v>
          </cell>
        </row>
        <row r="10659">
          <cell r="A10659" t="str">
            <v>460449</v>
          </cell>
          <cell r="B10659" t="str">
            <v>Dosadoras (1+R)</v>
          </cell>
          <cell r="C10659" t="str">
            <v>ud</v>
          </cell>
          <cell r="D10659">
            <v>370.36</v>
          </cell>
          <cell r="E10659">
            <v>0</v>
          </cell>
          <cell r="F10659">
            <v>370.36</v>
          </cell>
        </row>
        <row r="10660">
          <cell r="A10660" t="str">
            <v>460450</v>
          </cell>
          <cell r="B10660" t="str">
            <v>Dosadoras (1+R)  - 2 a 5 repetições</v>
          </cell>
          <cell r="C10660" t="str">
            <v>ud</v>
          </cell>
          <cell r="D10660">
            <v>277.77</v>
          </cell>
          <cell r="E10660">
            <v>0</v>
          </cell>
          <cell r="F10660">
            <v>277.77</v>
          </cell>
        </row>
        <row r="10661">
          <cell r="A10661" t="str">
            <v>460451</v>
          </cell>
          <cell r="B10661" t="str">
            <v>Dosadoras (1+R)  - 6 a 10 repetições</v>
          </cell>
          <cell r="C10661" t="str">
            <v>ud</v>
          </cell>
          <cell r="D10661">
            <v>240.74</v>
          </cell>
          <cell r="E10661">
            <v>0</v>
          </cell>
          <cell r="F10661">
            <v>240.74</v>
          </cell>
        </row>
        <row r="10662">
          <cell r="A10662" t="str">
            <v>460452</v>
          </cell>
          <cell r="B10662" t="str">
            <v>Dosadoras (1+R)  - acima de 10 repetições</v>
          </cell>
          <cell r="C10662" t="str">
            <v>ud</v>
          </cell>
          <cell r="D10662">
            <v>185.18</v>
          </cell>
          <cell r="E10662">
            <v>0</v>
          </cell>
          <cell r="F10662">
            <v>185.18</v>
          </cell>
        </row>
        <row r="10663">
          <cell r="A10663" t="str">
            <v>460453</v>
          </cell>
          <cell r="B10663" t="str">
            <v>Dosadoras (1+R) com controle em malha fechada</v>
          </cell>
          <cell r="C10663" t="str">
            <v>ud</v>
          </cell>
          <cell r="D10663">
            <v>534.98</v>
          </cell>
          <cell r="E10663">
            <v>0</v>
          </cell>
          <cell r="F10663">
            <v>534.98</v>
          </cell>
        </row>
        <row r="10664">
          <cell r="A10664" t="str">
            <v>460454</v>
          </cell>
          <cell r="B10664" t="str">
            <v>Dosadoras (1+R) com controle em malha fechada - 2 a 5 repetições</v>
          </cell>
          <cell r="C10664" t="str">
            <v>ud</v>
          </cell>
          <cell r="D10664">
            <v>401.24</v>
          </cell>
          <cell r="E10664">
            <v>0</v>
          </cell>
          <cell r="F10664">
            <v>401.24</v>
          </cell>
        </row>
        <row r="10665">
          <cell r="A10665" t="str">
            <v>460455</v>
          </cell>
          <cell r="B10665" t="str">
            <v>Dosadoras (1+R) com controle em malha fechada - 6 a 10 repetições</v>
          </cell>
          <cell r="C10665" t="str">
            <v>ud</v>
          </cell>
          <cell r="D10665">
            <v>347.74</v>
          </cell>
          <cell r="E10665">
            <v>0</v>
          </cell>
          <cell r="F10665">
            <v>347.74</v>
          </cell>
        </row>
        <row r="10666">
          <cell r="A10666" t="str">
            <v>460456</v>
          </cell>
          <cell r="B10666" t="str">
            <v>Dosadoras (1+R) com controle em malha fechada - acima de 10 repetições</v>
          </cell>
          <cell r="C10666" t="str">
            <v>ud</v>
          </cell>
          <cell r="D10666">
            <v>267.49</v>
          </cell>
          <cell r="E10666">
            <v>0</v>
          </cell>
          <cell r="F10666">
            <v>267.49</v>
          </cell>
        </row>
        <row r="10667">
          <cell r="A10667" t="str">
            <v>460457</v>
          </cell>
          <cell r="B10667" t="str">
            <v>Lavagem de um filtro com 5 válvulas/comportas (pneumático)</v>
          </cell>
          <cell r="C10667" t="str">
            <v>ud</v>
          </cell>
          <cell r="D10667">
            <v>1111.0999999999999</v>
          </cell>
          <cell r="E10667">
            <v>0</v>
          </cell>
          <cell r="F10667">
            <v>1111.0999999999999</v>
          </cell>
        </row>
        <row r="10668">
          <cell r="A10668" t="str">
            <v>460458</v>
          </cell>
          <cell r="B10668" t="str">
            <v>Lavagem de um filtro com 5 válvulas/comportas (pneumático) - 2 a 5 repetições</v>
          </cell>
          <cell r="C10668" t="str">
            <v>ud</v>
          </cell>
          <cell r="D10668">
            <v>833.33</v>
          </cell>
          <cell r="E10668">
            <v>0</v>
          </cell>
          <cell r="F10668">
            <v>833.33</v>
          </cell>
        </row>
        <row r="10669">
          <cell r="A10669" t="str">
            <v>460459</v>
          </cell>
          <cell r="B10669" t="str">
            <v>Lavagem de um filtro com 5 válvulas/comportas (pneumático) - 6 a 10 repetições</v>
          </cell>
          <cell r="C10669" t="str">
            <v>ud</v>
          </cell>
          <cell r="D10669">
            <v>722.22</v>
          </cell>
          <cell r="E10669">
            <v>0</v>
          </cell>
          <cell r="F10669">
            <v>722.22</v>
          </cell>
        </row>
        <row r="10670">
          <cell r="A10670" t="str">
            <v>460460</v>
          </cell>
          <cell r="B10670" t="str">
            <v>Lavagem de um filtro com 5 válvulas/comportas (pneumático) - acima de 10 repetições</v>
          </cell>
          <cell r="C10670" t="str">
            <v>ud</v>
          </cell>
          <cell r="D10670">
            <v>555.54999999999995</v>
          </cell>
          <cell r="E10670">
            <v>0</v>
          </cell>
          <cell r="F10670">
            <v>555.54999999999995</v>
          </cell>
        </row>
        <row r="10671">
          <cell r="A10671" t="str">
            <v>460461</v>
          </cell>
          <cell r="B10671" t="str">
            <v>Válvula de seleção</v>
          </cell>
          <cell r="C10671" t="str">
            <v>ud</v>
          </cell>
          <cell r="D10671">
            <v>41.16</v>
          </cell>
          <cell r="E10671">
            <v>0</v>
          </cell>
          <cell r="F10671">
            <v>41.16</v>
          </cell>
        </row>
        <row r="10672">
          <cell r="A10672" t="str">
            <v>460462</v>
          </cell>
          <cell r="B10672" t="str">
            <v>Válvula de seleção - 2 a 5 repetições</v>
          </cell>
          <cell r="C10672" t="str">
            <v>ud</v>
          </cell>
          <cell r="D10672">
            <v>30.87</v>
          </cell>
          <cell r="E10672">
            <v>0</v>
          </cell>
          <cell r="F10672">
            <v>30.87</v>
          </cell>
        </row>
        <row r="10673">
          <cell r="A10673" t="str">
            <v>460463</v>
          </cell>
          <cell r="B10673" t="str">
            <v>Válvula de seleção - 6 a 10 repetições</v>
          </cell>
          <cell r="C10673" t="str">
            <v>ud</v>
          </cell>
          <cell r="D10673">
            <v>26.75</v>
          </cell>
          <cell r="E10673">
            <v>0</v>
          </cell>
          <cell r="F10673">
            <v>26.75</v>
          </cell>
        </row>
        <row r="10674">
          <cell r="A10674" t="str">
            <v>460464</v>
          </cell>
          <cell r="B10674" t="str">
            <v>Válvula de seleção - acima de 10 repetições</v>
          </cell>
          <cell r="C10674" t="str">
            <v>ud</v>
          </cell>
          <cell r="D10674">
            <v>20.58</v>
          </cell>
          <cell r="E10674">
            <v>0</v>
          </cell>
          <cell r="F10674">
            <v>20.58</v>
          </cell>
        </row>
        <row r="10675">
          <cell r="A10675" t="str">
            <v>460465</v>
          </cell>
          <cell r="B10675" t="str">
            <v>Sistema de sequenciamento de coleta com 2 pontos de amostra</v>
          </cell>
          <cell r="C10675" t="str">
            <v>ud</v>
          </cell>
          <cell r="D10675">
            <v>370.36</v>
          </cell>
          <cell r="E10675">
            <v>0</v>
          </cell>
          <cell r="F10675">
            <v>370.36</v>
          </cell>
        </row>
        <row r="10676">
          <cell r="A10676" t="str">
            <v>460466</v>
          </cell>
          <cell r="B10676" t="str">
            <v>Sistema de sequenciamento de coleta com 2 pontos de amostra - 2 a 5 repetições</v>
          </cell>
          <cell r="C10676" t="str">
            <v>ud</v>
          </cell>
          <cell r="D10676">
            <v>277.77</v>
          </cell>
          <cell r="E10676">
            <v>0</v>
          </cell>
          <cell r="F10676">
            <v>277.77</v>
          </cell>
        </row>
        <row r="10677">
          <cell r="A10677" t="str">
            <v>460467</v>
          </cell>
          <cell r="B10677" t="str">
            <v>Sistema de sequenciamento de coleta com 2 pontos de amostra - 6 a 10 repetições</v>
          </cell>
          <cell r="C10677" t="str">
            <v>ud</v>
          </cell>
          <cell r="D10677">
            <v>240.74</v>
          </cell>
          <cell r="E10677">
            <v>0</v>
          </cell>
          <cell r="F10677">
            <v>240.74</v>
          </cell>
        </row>
        <row r="10678">
          <cell r="A10678" t="str">
            <v>460468</v>
          </cell>
          <cell r="B10678" t="str">
            <v>Sistema de sequenciamento de coleta com 2 pontos de amostra - acima de 10 repetições</v>
          </cell>
          <cell r="C10678" t="str">
            <v>ud</v>
          </cell>
          <cell r="D10678">
            <v>185.18</v>
          </cell>
          <cell r="E10678">
            <v>0</v>
          </cell>
          <cell r="F10678">
            <v>185.18</v>
          </cell>
        </row>
        <row r="10679">
          <cell r="A10679" t="str">
            <v>460469</v>
          </cell>
          <cell r="B10679" t="str">
            <v>Motobomba de coleta individual</v>
          </cell>
          <cell r="C10679" t="str">
            <v>ud</v>
          </cell>
          <cell r="D10679">
            <v>205.76</v>
          </cell>
          <cell r="E10679">
            <v>0</v>
          </cell>
          <cell r="F10679">
            <v>205.76</v>
          </cell>
        </row>
        <row r="10680">
          <cell r="A10680" t="str">
            <v>460470</v>
          </cell>
          <cell r="B10680" t="str">
            <v>Motobomba de coleta individual - 2 a 5 repetições</v>
          </cell>
          <cell r="C10680" t="str">
            <v>ud</v>
          </cell>
          <cell r="D10680">
            <v>154.32</v>
          </cell>
          <cell r="E10680">
            <v>0</v>
          </cell>
          <cell r="F10680">
            <v>154.32</v>
          </cell>
        </row>
        <row r="10681">
          <cell r="A10681" t="str">
            <v>460471</v>
          </cell>
          <cell r="B10681" t="str">
            <v>Motobomba de coleta individual - 6 a 10 repetições</v>
          </cell>
          <cell r="C10681" t="str">
            <v>ud</v>
          </cell>
          <cell r="D10681">
            <v>133.74</v>
          </cell>
          <cell r="E10681">
            <v>0</v>
          </cell>
          <cell r="F10681">
            <v>133.74</v>
          </cell>
        </row>
        <row r="10682">
          <cell r="A10682" t="str">
            <v>460472</v>
          </cell>
          <cell r="B10682" t="str">
            <v>Motobomba de coleta individual - acima de 10 repetições</v>
          </cell>
          <cell r="C10682" t="str">
            <v>ud</v>
          </cell>
          <cell r="D10682">
            <v>102.88</v>
          </cell>
          <cell r="E10682">
            <v>0</v>
          </cell>
          <cell r="F10682">
            <v>102.88</v>
          </cell>
        </row>
        <row r="10683">
          <cell r="A10683" t="str">
            <v>460473</v>
          </cell>
          <cell r="B10683" t="str">
            <v>Motobombas de coleta (1+R)</v>
          </cell>
          <cell r="C10683" t="str">
            <v>ud</v>
          </cell>
          <cell r="D10683">
            <v>329.22</v>
          </cell>
          <cell r="E10683">
            <v>0</v>
          </cell>
          <cell r="F10683">
            <v>329.22</v>
          </cell>
        </row>
        <row r="10684">
          <cell r="A10684" t="str">
            <v>460474</v>
          </cell>
          <cell r="B10684" t="str">
            <v>Motobombas de coleta (1+R) - 2 a 5 repetições</v>
          </cell>
          <cell r="C10684" t="str">
            <v>ud</v>
          </cell>
          <cell r="D10684">
            <v>246.92</v>
          </cell>
          <cell r="E10684">
            <v>0</v>
          </cell>
          <cell r="F10684">
            <v>246.92</v>
          </cell>
        </row>
        <row r="10685">
          <cell r="A10685" t="str">
            <v>460475</v>
          </cell>
          <cell r="B10685" t="str">
            <v>Motobombas de coleta (1+R) - 6 a 10 repetições</v>
          </cell>
          <cell r="C10685" t="str">
            <v>ud</v>
          </cell>
          <cell r="D10685">
            <v>213.99</v>
          </cell>
          <cell r="E10685">
            <v>0</v>
          </cell>
          <cell r="F10685">
            <v>213.99</v>
          </cell>
        </row>
        <row r="10686">
          <cell r="A10686" t="str">
            <v>460476</v>
          </cell>
          <cell r="B10686" t="str">
            <v>Motobombas de coleta (1+R) - acima de 10 repetições</v>
          </cell>
          <cell r="C10686" t="str">
            <v>ud</v>
          </cell>
          <cell r="D10686">
            <v>164.61</v>
          </cell>
          <cell r="E10686">
            <v>0</v>
          </cell>
          <cell r="F10686">
            <v>164.61</v>
          </cell>
        </row>
        <row r="10687">
          <cell r="A10687" t="str">
            <v>460477</v>
          </cell>
          <cell r="B10687" t="str">
            <v>Compressores (1+R)</v>
          </cell>
          <cell r="C10687" t="str">
            <v>ud</v>
          </cell>
          <cell r="D10687">
            <v>329.22</v>
          </cell>
          <cell r="E10687">
            <v>0</v>
          </cell>
          <cell r="F10687">
            <v>329.22</v>
          </cell>
        </row>
        <row r="10688">
          <cell r="A10688" t="str">
            <v>460478</v>
          </cell>
          <cell r="B10688" t="str">
            <v>Compressores (1+R) - 2 a 5 repetições</v>
          </cell>
          <cell r="C10688" t="str">
            <v>ud</v>
          </cell>
          <cell r="D10688">
            <v>246.92</v>
          </cell>
          <cell r="E10688">
            <v>0</v>
          </cell>
          <cell r="F10688">
            <v>246.92</v>
          </cell>
        </row>
        <row r="10689">
          <cell r="A10689" t="str">
            <v>460479</v>
          </cell>
          <cell r="B10689" t="str">
            <v>Compressores (1+R) - 6 a 10 repetições</v>
          </cell>
          <cell r="C10689" t="str">
            <v>ud</v>
          </cell>
          <cell r="D10689">
            <v>213.99</v>
          </cell>
          <cell r="E10689">
            <v>0</v>
          </cell>
          <cell r="F10689">
            <v>213.99</v>
          </cell>
        </row>
        <row r="10690">
          <cell r="A10690" t="str">
            <v>460480</v>
          </cell>
          <cell r="B10690" t="str">
            <v>Compressores (1+R) - acima de 10 repetições</v>
          </cell>
          <cell r="C10690" t="str">
            <v>ud</v>
          </cell>
          <cell r="D10690">
            <v>164.61</v>
          </cell>
          <cell r="E10690">
            <v>0</v>
          </cell>
          <cell r="F10690">
            <v>164.61</v>
          </cell>
        </row>
        <row r="10691">
          <cell r="A10691" t="str">
            <v>460481</v>
          </cell>
          <cell r="B10691" t="str">
            <v>Operações mínimas do CP</v>
          </cell>
          <cell r="C10691" t="str">
            <v>ud</v>
          </cell>
          <cell r="D10691">
            <v>246.92</v>
          </cell>
          <cell r="E10691">
            <v>0</v>
          </cell>
          <cell r="F10691">
            <v>246.92</v>
          </cell>
        </row>
        <row r="10692">
          <cell r="A10692" t="str">
            <v>460482</v>
          </cell>
          <cell r="B10692" t="str">
            <v>Operações mínimas do CP - 2 a 5 repetições</v>
          </cell>
          <cell r="C10692" t="str">
            <v>ud</v>
          </cell>
          <cell r="D10692">
            <v>185.19</v>
          </cell>
          <cell r="E10692">
            <v>0</v>
          </cell>
          <cell r="F10692">
            <v>185.19</v>
          </cell>
        </row>
        <row r="10693">
          <cell r="A10693" t="str">
            <v>460483</v>
          </cell>
          <cell r="B10693" t="str">
            <v>Operações mínimas do CP - 6 a 10 repetições</v>
          </cell>
          <cell r="C10693" t="str">
            <v>ud</v>
          </cell>
          <cell r="D10693">
            <v>160.49</v>
          </cell>
          <cell r="E10693">
            <v>0</v>
          </cell>
          <cell r="F10693">
            <v>160.49</v>
          </cell>
        </row>
        <row r="10694">
          <cell r="A10694" t="str">
            <v>460484</v>
          </cell>
          <cell r="B10694" t="str">
            <v>Operações mínimas do CP - 6 a 10 repetições</v>
          </cell>
          <cell r="C10694" t="str">
            <v>ud</v>
          </cell>
          <cell r="D10694">
            <v>123.46</v>
          </cell>
          <cell r="E10694">
            <v>0</v>
          </cell>
          <cell r="F10694">
            <v>123.46</v>
          </cell>
        </row>
        <row r="10695">
          <cell r="A10695" t="str">
            <v>460401</v>
          </cell>
          <cell r="B10695" t="str">
            <v>Instrumento</v>
          </cell>
          <cell r="C10695" t="str">
            <v>ud</v>
          </cell>
          <cell r="D10695">
            <v>123.46</v>
          </cell>
          <cell r="E10695">
            <v>0</v>
          </cell>
          <cell r="F10695">
            <v>123.46</v>
          </cell>
        </row>
        <row r="10696">
          <cell r="A10696" t="str">
            <v>460402</v>
          </cell>
          <cell r="B10696" t="str">
            <v>Instrumento - 2 a 5 repetições</v>
          </cell>
          <cell r="C10696" t="str">
            <v>ud</v>
          </cell>
          <cell r="D10696">
            <v>92.6</v>
          </cell>
          <cell r="E10696">
            <v>0</v>
          </cell>
          <cell r="F10696">
            <v>92.6</v>
          </cell>
        </row>
        <row r="10697">
          <cell r="A10697" t="str">
            <v>460403</v>
          </cell>
          <cell r="B10697" t="str">
            <v>Instrumento - 6 a 10 repetições</v>
          </cell>
          <cell r="C10697" t="str">
            <v>ud</v>
          </cell>
          <cell r="D10697">
            <v>80.25</v>
          </cell>
          <cell r="E10697">
            <v>0</v>
          </cell>
          <cell r="F10697">
            <v>80.25</v>
          </cell>
        </row>
        <row r="10698">
          <cell r="A10698" t="str">
            <v>460404</v>
          </cell>
          <cell r="B10698" t="str">
            <v>Instrumento - acima de 10 repetições</v>
          </cell>
          <cell r="C10698" t="str">
            <v>ud</v>
          </cell>
          <cell r="D10698">
            <v>61.73</v>
          </cell>
          <cell r="E10698">
            <v>0</v>
          </cell>
          <cell r="F10698">
            <v>61.73</v>
          </cell>
        </row>
        <row r="10699">
          <cell r="A10699" t="str">
            <v>460405</v>
          </cell>
          <cell r="B10699" t="str">
            <v>Válvula de controle</v>
          </cell>
          <cell r="C10699" t="str">
            <v>ud</v>
          </cell>
          <cell r="D10699">
            <v>329.22</v>
          </cell>
          <cell r="E10699">
            <v>0</v>
          </cell>
          <cell r="F10699">
            <v>329.22</v>
          </cell>
        </row>
        <row r="10700">
          <cell r="A10700" t="str">
            <v>460406</v>
          </cell>
          <cell r="B10700" t="str">
            <v>Válvula de controle - 2 a 5 repetições</v>
          </cell>
          <cell r="C10700" t="str">
            <v>ud</v>
          </cell>
          <cell r="D10700">
            <v>246.92</v>
          </cell>
          <cell r="E10700">
            <v>0</v>
          </cell>
          <cell r="F10700">
            <v>246.92</v>
          </cell>
        </row>
        <row r="10701">
          <cell r="A10701" t="str">
            <v>460407</v>
          </cell>
          <cell r="B10701" t="str">
            <v>Válvula de controle - 6 a 10 repetições</v>
          </cell>
          <cell r="C10701" t="str">
            <v>ud</v>
          </cell>
          <cell r="D10701">
            <v>213.99</v>
          </cell>
          <cell r="E10701">
            <v>0</v>
          </cell>
          <cell r="F10701">
            <v>213.99</v>
          </cell>
        </row>
        <row r="10702">
          <cell r="A10702" t="str">
            <v>460408</v>
          </cell>
          <cell r="B10702" t="str">
            <v>Válvula de controle - acima de 10 repetições</v>
          </cell>
          <cell r="C10702" t="str">
            <v>ud</v>
          </cell>
          <cell r="D10702">
            <v>164.61</v>
          </cell>
          <cell r="E10702">
            <v>0</v>
          </cell>
          <cell r="F10702">
            <v>164.61</v>
          </cell>
        </row>
        <row r="10703">
          <cell r="A10703" t="str">
            <v>460409</v>
          </cell>
          <cell r="B10703" t="str">
            <v>Válvula de bloqueio</v>
          </cell>
          <cell r="C10703" t="str">
            <v>ud</v>
          </cell>
          <cell r="D10703">
            <v>123.46</v>
          </cell>
          <cell r="E10703">
            <v>0</v>
          </cell>
          <cell r="F10703">
            <v>123.46</v>
          </cell>
        </row>
        <row r="10704">
          <cell r="A10704" t="str">
            <v>460410</v>
          </cell>
          <cell r="B10704" t="str">
            <v>Válvula de bloqueio - 2 a 5 repetições</v>
          </cell>
          <cell r="C10704" t="str">
            <v>ud</v>
          </cell>
          <cell r="D10704">
            <v>92.6</v>
          </cell>
          <cell r="E10704">
            <v>0</v>
          </cell>
          <cell r="F10704">
            <v>92.6</v>
          </cell>
        </row>
        <row r="10705">
          <cell r="A10705" t="str">
            <v>460411</v>
          </cell>
          <cell r="B10705" t="str">
            <v>Válvula de bloqueio - 6 a 10 repetições</v>
          </cell>
          <cell r="C10705" t="str">
            <v>ud</v>
          </cell>
          <cell r="D10705">
            <v>80.25</v>
          </cell>
          <cell r="E10705">
            <v>0</v>
          </cell>
          <cell r="F10705">
            <v>80.25</v>
          </cell>
        </row>
        <row r="10706">
          <cell r="A10706" t="str">
            <v>460412</v>
          </cell>
          <cell r="B10706" t="str">
            <v>Válvula de bloqueio - acima de 10 repetições</v>
          </cell>
          <cell r="C10706" t="str">
            <v>ud</v>
          </cell>
          <cell r="D10706">
            <v>61.73</v>
          </cell>
          <cell r="E10706">
            <v>0</v>
          </cell>
          <cell r="F10706">
            <v>61.73</v>
          </cell>
        </row>
        <row r="10707">
          <cell r="A10707" t="str">
            <v>460413</v>
          </cell>
          <cell r="B10707" t="str">
            <v>Elevatória com uma motobomba com conversor de frequência</v>
          </cell>
          <cell r="C10707" t="str">
            <v>ud</v>
          </cell>
          <cell r="D10707">
            <v>534.98</v>
          </cell>
          <cell r="E10707">
            <v>0</v>
          </cell>
          <cell r="F10707">
            <v>534.98</v>
          </cell>
        </row>
        <row r="10708">
          <cell r="A10708" t="str">
            <v>460414</v>
          </cell>
          <cell r="B10708" t="str">
            <v>Elevatória com uma motobomba com conversor de frequência - 2 a 5 repetições</v>
          </cell>
          <cell r="C10708" t="str">
            <v>ud</v>
          </cell>
          <cell r="D10708">
            <v>401.24</v>
          </cell>
          <cell r="E10708">
            <v>0</v>
          </cell>
          <cell r="F10708">
            <v>401.24</v>
          </cell>
        </row>
        <row r="10709">
          <cell r="A10709" t="str">
            <v>460415</v>
          </cell>
          <cell r="B10709" t="str">
            <v>Elevatória com uma motobomba com conversor de frequência - 6 a 10 repetições</v>
          </cell>
          <cell r="C10709" t="str">
            <v>ud</v>
          </cell>
          <cell r="D10709">
            <v>347.74</v>
          </cell>
          <cell r="E10709">
            <v>0</v>
          </cell>
          <cell r="F10709">
            <v>347.74</v>
          </cell>
        </row>
        <row r="10710">
          <cell r="A10710" t="str">
            <v>460416</v>
          </cell>
          <cell r="B10710" t="str">
            <v>Elevatória com uma motobomba com conversor de frequência - acima de 10 repetições</v>
          </cell>
          <cell r="C10710" t="str">
            <v>ud</v>
          </cell>
          <cell r="D10710">
            <v>267.49</v>
          </cell>
          <cell r="E10710">
            <v>0</v>
          </cell>
          <cell r="F10710">
            <v>267.49</v>
          </cell>
        </row>
        <row r="10711">
          <cell r="A10711" t="str">
            <v>460417</v>
          </cell>
          <cell r="B10711" t="str">
            <v>Elevatória com duas motobombas com conversor de frequência</v>
          </cell>
          <cell r="C10711" t="str">
            <v>ud</v>
          </cell>
          <cell r="D10711">
            <v>1028.8</v>
          </cell>
          <cell r="E10711">
            <v>0</v>
          </cell>
          <cell r="F10711">
            <v>1028.8</v>
          </cell>
        </row>
        <row r="10712">
          <cell r="A10712" t="str">
            <v>460418</v>
          </cell>
          <cell r="B10712" t="str">
            <v>Elevatória com duas motobombas com conversor de frequência - 2 a 5 repetições</v>
          </cell>
          <cell r="C10712" t="str">
            <v>ud</v>
          </cell>
          <cell r="D10712">
            <v>771.6</v>
          </cell>
          <cell r="E10712">
            <v>0</v>
          </cell>
          <cell r="F10712">
            <v>771.6</v>
          </cell>
        </row>
        <row r="10713">
          <cell r="A10713" t="str">
            <v>460419</v>
          </cell>
          <cell r="B10713" t="str">
            <v>Elevatória com duas motobombas com conversor de frequência - 6 a 10 repetições</v>
          </cell>
          <cell r="C10713" t="str">
            <v>ud</v>
          </cell>
          <cell r="D10713">
            <v>668.72</v>
          </cell>
          <cell r="E10713">
            <v>0</v>
          </cell>
          <cell r="F10713">
            <v>668.72</v>
          </cell>
        </row>
        <row r="10714">
          <cell r="A10714" t="str">
            <v>460420</v>
          </cell>
          <cell r="B10714" t="str">
            <v>Elevatória com duas motobombas com conversor de frequência - acima de 10 repetições</v>
          </cell>
          <cell r="C10714" t="str">
            <v>ud</v>
          </cell>
          <cell r="D10714">
            <v>514.4</v>
          </cell>
          <cell r="E10714">
            <v>0</v>
          </cell>
          <cell r="F10714">
            <v>514.4</v>
          </cell>
        </row>
        <row r="10715">
          <cell r="A10715" t="str">
            <v>460421</v>
          </cell>
          <cell r="B10715" t="str">
            <v>Elevatória com três motobombas com conversor de frequência</v>
          </cell>
          <cell r="C10715" t="str">
            <v>ud</v>
          </cell>
          <cell r="D10715">
            <v>1893</v>
          </cell>
          <cell r="E10715">
            <v>0</v>
          </cell>
          <cell r="F10715">
            <v>1893</v>
          </cell>
        </row>
        <row r="10716">
          <cell r="A10716" t="str">
            <v>460422</v>
          </cell>
          <cell r="B10716" t="str">
            <v>Elevatória com três motobombas com conversor de frequência - 2 a 5 repetições</v>
          </cell>
          <cell r="C10716" t="str">
            <v>ud</v>
          </cell>
          <cell r="D10716">
            <v>1419.75</v>
          </cell>
          <cell r="E10716">
            <v>0</v>
          </cell>
          <cell r="F10716">
            <v>1419.75</v>
          </cell>
        </row>
        <row r="10717">
          <cell r="A10717" t="str">
            <v>460423</v>
          </cell>
          <cell r="B10717" t="str">
            <v>Elevatória com três motobombas com conversor de frequência - 6 a 10 repetições</v>
          </cell>
          <cell r="C10717" t="str">
            <v>ud</v>
          </cell>
          <cell r="D10717">
            <v>1230.45</v>
          </cell>
          <cell r="E10717">
            <v>0</v>
          </cell>
          <cell r="F10717">
            <v>1230.45</v>
          </cell>
        </row>
        <row r="10718">
          <cell r="A10718" t="str">
            <v>460424</v>
          </cell>
          <cell r="B10718" t="str">
            <v>Elevatória com três motobombas com conversor de frequência - acima de 10 repetições</v>
          </cell>
          <cell r="C10718" t="str">
            <v>ud</v>
          </cell>
          <cell r="D10718">
            <v>946.5</v>
          </cell>
          <cell r="E10718">
            <v>0</v>
          </cell>
          <cell r="F10718">
            <v>946.5</v>
          </cell>
        </row>
        <row r="10719">
          <cell r="A10719" t="str">
            <v>460425</v>
          </cell>
          <cell r="B10719" t="str">
            <v>Elevatória com quatro motobombas com conversor de frequência</v>
          </cell>
          <cell r="C10719" t="str">
            <v>ud</v>
          </cell>
          <cell r="D10719">
            <v>2592.58</v>
          </cell>
          <cell r="E10719">
            <v>0</v>
          </cell>
          <cell r="F10719">
            <v>2592.58</v>
          </cell>
        </row>
        <row r="10720">
          <cell r="A10720" t="str">
            <v>460426</v>
          </cell>
          <cell r="B10720" t="str">
            <v>Elevatória com quatro motobombas com conversor de frequência - 2 a 5 repetições</v>
          </cell>
          <cell r="C10720" t="str">
            <v>ud</v>
          </cell>
          <cell r="D10720">
            <v>1944.44</v>
          </cell>
          <cell r="E10720">
            <v>0</v>
          </cell>
          <cell r="F10720">
            <v>1944.44</v>
          </cell>
        </row>
        <row r="10721">
          <cell r="A10721" t="str">
            <v>460427</v>
          </cell>
          <cell r="B10721" t="str">
            <v>Elevatória com quatro motobombas com conversor de frequência - 6 a 10 repetições</v>
          </cell>
          <cell r="C10721" t="str">
            <v>ud</v>
          </cell>
          <cell r="D10721">
            <v>1685.18</v>
          </cell>
          <cell r="E10721">
            <v>0</v>
          </cell>
          <cell r="F10721">
            <v>1685.18</v>
          </cell>
        </row>
        <row r="10722">
          <cell r="A10722" t="str">
            <v>460428</v>
          </cell>
          <cell r="B10722" t="str">
            <v>Elevatória com quatro motobombas com conversor de frequência - acima de 10 repetições</v>
          </cell>
          <cell r="C10722" t="str">
            <v>ud</v>
          </cell>
          <cell r="D10722">
            <v>1296.29</v>
          </cell>
          <cell r="E10722">
            <v>0</v>
          </cell>
          <cell r="F10722">
            <v>1296.29</v>
          </cell>
        </row>
        <row r="10723">
          <cell r="A10723" t="str">
            <v>460429</v>
          </cell>
          <cell r="B10723" t="str">
            <v>Elevatória com uma motobomba com softstarter ou partida direta</v>
          </cell>
          <cell r="C10723" t="str">
            <v>ud</v>
          </cell>
          <cell r="D10723">
            <v>370.36</v>
          </cell>
          <cell r="E10723">
            <v>0</v>
          </cell>
          <cell r="F10723">
            <v>370.36</v>
          </cell>
        </row>
        <row r="10724">
          <cell r="A10724" t="str">
            <v>460430</v>
          </cell>
          <cell r="B10724" t="str">
            <v>Elevatória com uma motobomba com softstarter ou partida direta - 2 a 5 repetições</v>
          </cell>
          <cell r="C10724" t="str">
            <v>ud</v>
          </cell>
          <cell r="D10724">
            <v>277.77</v>
          </cell>
          <cell r="E10724">
            <v>0</v>
          </cell>
          <cell r="F10724">
            <v>277.77</v>
          </cell>
        </row>
        <row r="10725">
          <cell r="A10725" t="str">
            <v>460431</v>
          </cell>
          <cell r="B10725" t="str">
            <v>Elevatória com uma motobomba com softstarter ou partida direta - 6 a 10 repetições</v>
          </cell>
          <cell r="C10725" t="str">
            <v>ud</v>
          </cell>
          <cell r="D10725">
            <v>240.74</v>
          </cell>
          <cell r="E10725">
            <v>0</v>
          </cell>
          <cell r="F10725">
            <v>240.74</v>
          </cell>
        </row>
        <row r="10726">
          <cell r="A10726" t="str">
            <v>460432</v>
          </cell>
          <cell r="B10726" t="str">
            <v>Elevatória com uma motobomba com softstarter ou partida direta - acima de 10 repetições</v>
          </cell>
          <cell r="C10726" t="str">
            <v>ud</v>
          </cell>
          <cell r="D10726">
            <v>185.18</v>
          </cell>
          <cell r="E10726">
            <v>0</v>
          </cell>
          <cell r="F10726">
            <v>185.18</v>
          </cell>
        </row>
        <row r="10727">
          <cell r="A10727" t="str">
            <v>460433</v>
          </cell>
          <cell r="B10727" t="str">
            <v>Elevatória com duas motobombas com softstarter ou partida direta</v>
          </cell>
          <cell r="C10727" t="str">
            <v>ud</v>
          </cell>
          <cell r="D10727">
            <v>658.44</v>
          </cell>
          <cell r="E10727">
            <v>0</v>
          </cell>
          <cell r="F10727">
            <v>658.44</v>
          </cell>
        </row>
        <row r="10728">
          <cell r="A10728" t="str">
            <v>460434</v>
          </cell>
          <cell r="B10728" t="str">
            <v>Elevatória com duas motobombas com softstarter ou partida direta - 2 a 5 repetições</v>
          </cell>
          <cell r="C10728" t="str">
            <v>ud</v>
          </cell>
          <cell r="D10728">
            <v>493.83</v>
          </cell>
          <cell r="E10728">
            <v>0</v>
          </cell>
          <cell r="F10728">
            <v>493.83</v>
          </cell>
        </row>
        <row r="10729">
          <cell r="A10729" t="str">
            <v>460435</v>
          </cell>
          <cell r="B10729" t="str">
            <v>Elevatória com duas motobombas com softstarter ou partida direta - 6 a 10 repetições</v>
          </cell>
          <cell r="C10729" t="str">
            <v>ud</v>
          </cell>
          <cell r="D10729">
            <v>427.98</v>
          </cell>
          <cell r="E10729">
            <v>0</v>
          </cell>
          <cell r="F10729">
            <v>427.98</v>
          </cell>
        </row>
        <row r="10730">
          <cell r="A10730" t="str">
            <v>460436</v>
          </cell>
          <cell r="B10730" t="str">
            <v>Elevatória com duas motobombas com softstarter ou partida direta - acima de 10 repetições</v>
          </cell>
          <cell r="C10730" t="str">
            <v>ud</v>
          </cell>
          <cell r="D10730">
            <v>329.22</v>
          </cell>
          <cell r="E10730">
            <v>0</v>
          </cell>
          <cell r="F10730">
            <v>329.22</v>
          </cell>
        </row>
        <row r="10731">
          <cell r="A10731" t="str">
            <v>460437</v>
          </cell>
          <cell r="B10731" t="str">
            <v>Elevatória com três motobombas com softstarter ou partida direta</v>
          </cell>
          <cell r="C10731" t="str">
            <v>ud</v>
          </cell>
          <cell r="D10731">
            <v>1399.16</v>
          </cell>
          <cell r="E10731">
            <v>0</v>
          </cell>
          <cell r="F10731">
            <v>1399.16</v>
          </cell>
        </row>
        <row r="10732">
          <cell r="A10732" t="str">
            <v>460438</v>
          </cell>
          <cell r="B10732" t="str">
            <v>Elevatória com três motobombas com softstarter ou partida direta - 2 a 5 repetições</v>
          </cell>
          <cell r="C10732" t="str">
            <v>ud</v>
          </cell>
          <cell r="D10732">
            <v>1049.3699999999999</v>
          </cell>
          <cell r="E10732">
            <v>0</v>
          </cell>
          <cell r="F10732">
            <v>1049.3699999999999</v>
          </cell>
        </row>
        <row r="10733">
          <cell r="A10733" t="str">
            <v>460439</v>
          </cell>
          <cell r="B10733" t="str">
            <v>Elevatória com três motobombas com softstarter ou partida direta - 6 a 10 repetições</v>
          </cell>
          <cell r="C10733" t="str">
            <v>ud</v>
          </cell>
          <cell r="D10733">
            <v>909.46</v>
          </cell>
          <cell r="E10733">
            <v>0</v>
          </cell>
          <cell r="F10733">
            <v>909.46</v>
          </cell>
        </row>
        <row r="10734">
          <cell r="A10734" t="str">
            <v>460440</v>
          </cell>
          <cell r="B10734" t="str">
            <v>Elevatória com três motobombas com softstarter ou partida direta - acima de 10 repetições</v>
          </cell>
          <cell r="C10734" t="str">
            <v>ud</v>
          </cell>
          <cell r="D10734">
            <v>699.58</v>
          </cell>
          <cell r="E10734">
            <v>0</v>
          </cell>
          <cell r="F10734">
            <v>699.58</v>
          </cell>
        </row>
        <row r="10735">
          <cell r="A10735" t="str">
            <v>460441</v>
          </cell>
          <cell r="B10735" t="str">
            <v>Elevatória com quatro motobombas com softstarter ou partida direta</v>
          </cell>
          <cell r="C10735" t="str">
            <v>ud</v>
          </cell>
          <cell r="D10735">
            <v>1934.14</v>
          </cell>
          <cell r="E10735">
            <v>0</v>
          </cell>
          <cell r="F10735">
            <v>1934.14</v>
          </cell>
        </row>
        <row r="10736">
          <cell r="A10736" t="str">
            <v>460442</v>
          </cell>
          <cell r="B10736" t="str">
            <v>Elevatória com quatro motobombas com softstarter ou partida direta - 2 a 5 repetições</v>
          </cell>
          <cell r="C10736" t="str">
            <v>ud</v>
          </cell>
          <cell r="D10736">
            <v>1450.61</v>
          </cell>
          <cell r="E10736">
            <v>0</v>
          </cell>
          <cell r="F10736">
            <v>1450.61</v>
          </cell>
        </row>
        <row r="10737">
          <cell r="A10737" t="str">
            <v>460443</v>
          </cell>
          <cell r="B10737" t="str">
            <v>Elevatória com quatro motobombas com softstarter ou partida direta - 6 a 10 repetições</v>
          </cell>
          <cell r="C10737" t="str">
            <v>ud</v>
          </cell>
          <cell r="D10737">
            <v>1257.19</v>
          </cell>
          <cell r="E10737">
            <v>0</v>
          </cell>
          <cell r="F10737">
            <v>1257.19</v>
          </cell>
        </row>
        <row r="10738">
          <cell r="A10738" t="str">
            <v>460444</v>
          </cell>
          <cell r="B10738" t="str">
            <v>Elevatória com quatro motobombas com softstarter ou partida direta - acima de 10 repetições</v>
          </cell>
          <cell r="C10738" t="str">
            <v>ud</v>
          </cell>
          <cell r="D10738">
            <v>967.07</v>
          </cell>
          <cell r="E10738">
            <v>0</v>
          </cell>
          <cell r="F10738">
            <v>967.07</v>
          </cell>
        </row>
        <row r="10739">
          <cell r="A10739" t="str">
            <v>4605</v>
          </cell>
          <cell r="B10739" t="str">
            <v>TESTE DE ACEITAÇÃO EM FÁBRICA (TAF) DOS PROGRAMAS APLICATIVOS DO CP, SISTEMA DE SUPERVISÃO E IHM</v>
          </cell>
          <cell r="C10739">
            <v>0</v>
          </cell>
          <cell r="D10739">
            <v>0</v>
          </cell>
          <cell r="E10739">
            <v>0</v>
          </cell>
          <cell r="F10739">
            <v>0</v>
          </cell>
        </row>
        <row r="10740">
          <cell r="A10740" t="str">
            <v>460501</v>
          </cell>
          <cell r="B10740" t="str">
            <v>Instrumento</v>
          </cell>
          <cell r="C10740" t="str">
            <v>ud</v>
          </cell>
          <cell r="D10740">
            <v>41.16</v>
          </cell>
          <cell r="E10740">
            <v>0</v>
          </cell>
          <cell r="F10740">
            <v>41.16</v>
          </cell>
        </row>
        <row r="10741">
          <cell r="A10741" t="str">
            <v>460502</v>
          </cell>
          <cell r="B10741" t="str">
            <v>Instrumento - 2 a 5 repetições</v>
          </cell>
          <cell r="C10741" t="str">
            <v>ud</v>
          </cell>
          <cell r="D10741">
            <v>37.04</v>
          </cell>
          <cell r="E10741">
            <v>0</v>
          </cell>
          <cell r="F10741">
            <v>37.04</v>
          </cell>
        </row>
        <row r="10742">
          <cell r="A10742" t="str">
            <v>460503</v>
          </cell>
          <cell r="B10742" t="str">
            <v>Instrumento - 6 a 10 repetições</v>
          </cell>
          <cell r="C10742" t="str">
            <v>ud</v>
          </cell>
          <cell r="D10742">
            <v>32.93</v>
          </cell>
          <cell r="E10742">
            <v>0</v>
          </cell>
          <cell r="F10742">
            <v>32.93</v>
          </cell>
        </row>
        <row r="10743">
          <cell r="A10743" t="str">
            <v>460504</v>
          </cell>
          <cell r="B10743" t="str">
            <v>Instrumento - acima de 10 repetições</v>
          </cell>
          <cell r="C10743" t="str">
            <v>ud</v>
          </cell>
          <cell r="D10743">
            <v>28.81</v>
          </cell>
          <cell r="E10743">
            <v>0</v>
          </cell>
          <cell r="F10743">
            <v>28.81</v>
          </cell>
        </row>
        <row r="10744">
          <cell r="A10744" t="str">
            <v>460505</v>
          </cell>
          <cell r="B10744" t="str">
            <v>Válvula de controle</v>
          </cell>
          <cell r="C10744" t="str">
            <v>ud</v>
          </cell>
          <cell r="D10744">
            <v>102.9</v>
          </cell>
          <cell r="E10744">
            <v>0</v>
          </cell>
          <cell r="F10744">
            <v>102.9</v>
          </cell>
        </row>
        <row r="10745">
          <cell r="A10745" t="str">
            <v>460506</v>
          </cell>
          <cell r="B10745" t="str">
            <v>Válvula de controle - 2 a 5 repetições</v>
          </cell>
          <cell r="C10745" t="str">
            <v>ud</v>
          </cell>
          <cell r="D10745">
            <v>92.61</v>
          </cell>
          <cell r="E10745">
            <v>0</v>
          </cell>
          <cell r="F10745">
            <v>92.61</v>
          </cell>
        </row>
        <row r="10746">
          <cell r="A10746" t="str">
            <v>460507</v>
          </cell>
          <cell r="B10746" t="str">
            <v>Válvula de controle - 6 a 10 repetições</v>
          </cell>
          <cell r="C10746" t="str">
            <v>ud</v>
          </cell>
          <cell r="D10746">
            <v>82.32</v>
          </cell>
          <cell r="E10746">
            <v>0</v>
          </cell>
          <cell r="F10746">
            <v>82.32</v>
          </cell>
        </row>
        <row r="10747">
          <cell r="A10747" t="str">
            <v>460508</v>
          </cell>
          <cell r="B10747" t="str">
            <v>Válvula de controle - acima de 10 repetições</v>
          </cell>
          <cell r="C10747" t="str">
            <v>ud</v>
          </cell>
          <cell r="D10747">
            <v>72.03</v>
          </cell>
          <cell r="E10747">
            <v>0</v>
          </cell>
          <cell r="F10747">
            <v>72.03</v>
          </cell>
        </row>
        <row r="10748">
          <cell r="A10748" t="str">
            <v>460509</v>
          </cell>
          <cell r="B10748" t="str">
            <v>Válvula de bloqueio</v>
          </cell>
          <cell r="C10748" t="str">
            <v>ud</v>
          </cell>
          <cell r="D10748">
            <v>61.74</v>
          </cell>
          <cell r="E10748">
            <v>0</v>
          </cell>
          <cell r="F10748">
            <v>61.74</v>
          </cell>
        </row>
        <row r="10749">
          <cell r="A10749" t="str">
            <v>460510</v>
          </cell>
          <cell r="B10749" t="str">
            <v>Válvula de bloqueio - 2 a 5 repetições</v>
          </cell>
          <cell r="C10749" t="str">
            <v>ud</v>
          </cell>
          <cell r="D10749">
            <v>55.57</v>
          </cell>
          <cell r="E10749">
            <v>0</v>
          </cell>
          <cell r="F10749">
            <v>55.57</v>
          </cell>
        </row>
        <row r="10750">
          <cell r="A10750" t="str">
            <v>460511</v>
          </cell>
          <cell r="B10750" t="str">
            <v>Válvula de bloqueio - 6 a 10 repetições</v>
          </cell>
          <cell r="C10750" t="str">
            <v>ud</v>
          </cell>
          <cell r="D10750">
            <v>49.39</v>
          </cell>
          <cell r="E10750">
            <v>0</v>
          </cell>
          <cell r="F10750">
            <v>49.39</v>
          </cell>
        </row>
        <row r="10751">
          <cell r="A10751" t="str">
            <v>460512</v>
          </cell>
          <cell r="B10751" t="str">
            <v>Válvula de bloqueio - acima de 10 repetições</v>
          </cell>
          <cell r="C10751" t="str">
            <v>ud</v>
          </cell>
          <cell r="D10751">
            <v>43.22</v>
          </cell>
          <cell r="E10751">
            <v>0</v>
          </cell>
          <cell r="F10751">
            <v>43.22</v>
          </cell>
        </row>
        <row r="10752">
          <cell r="A10752" t="str">
            <v>460513</v>
          </cell>
          <cell r="B10752" t="str">
            <v>Elevatória com uma motobomba com conversor de frequência</v>
          </cell>
          <cell r="C10752" t="str">
            <v>ud</v>
          </cell>
          <cell r="D10752">
            <v>185.2</v>
          </cell>
          <cell r="E10752">
            <v>0</v>
          </cell>
          <cell r="F10752">
            <v>185.2</v>
          </cell>
        </row>
        <row r="10753">
          <cell r="A10753" t="str">
            <v>460514</v>
          </cell>
          <cell r="B10753" t="str">
            <v>Elevatória com uma motobomba com conversor de frequência - 2 a 5 repetições</v>
          </cell>
          <cell r="C10753" t="str">
            <v>ud</v>
          </cell>
          <cell r="D10753">
            <v>166.68</v>
          </cell>
          <cell r="E10753">
            <v>0</v>
          </cell>
          <cell r="F10753">
            <v>166.68</v>
          </cell>
        </row>
        <row r="10754">
          <cell r="A10754" t="str">
            <v>460515</v>
          </cell>
          <cell r="B10754" t="str">
            <v>Elevatória com uma motobomba com conversor de frequência - 6 a 10 repetições</v>
          </cell>
          <cell r="C10754" t="str">
            <v>ud</v>
          </cell>
          <cell r="D10754">
            <v>148.16</v>
          </cell>
          <cell r="E10754">
            <v>0</v>
          </cell>
          <cell r="F10754">
            <v>148.16</v>
          </cell>
        </row>
        <row r="10755">
          <cell r="A10755" t="str">
            <v>460516</v>
          </cell>
          <cell r="B10755" t="str">
            <v>Elevatória com uma motobomba com conversor de frequência - acima de 10 repetições</v>
          </cell>
          <cell r="C10755" t="str">
            <v>ud</v>
          </cell>
          <cell r="D10755">
            <v>129.63999999999999</v>
          </cell>
          <cell r="E10755">
            <v>0</v>
          </cell>
          <cell r="F10755">
            <v>129.63999999999999</v>
          </cell>
        </row>
        <row r="10756">
          <cell r="A10756" t="str">
            <v>460517</v>
          </cell>
          <cell r="B10756" t="str">
            <v>Elevatória com duas motobombas com conversor de frequência</v>
          </cell>
          <cell r="C10756" t="str">
            <v>ud</v>
          </cell>
          <cell r="D10756">
            <v>370.36</v>
          </cell>
          <cell r="E10756">
            <v>0</v>
          </cell>
          <cell r="F10756">
            <v>370.36</v>
          </cell>
        </row>
        <row r="10757">
          <cell r="A10757" t="str">
            <v>460518</v>
          </cell>
          <cell r="B10757" t="str">
            <v>Elevatória com duas motobombas com conversor de frequência - 2 a 5 repetições</v>
          </cell>
          <cell r="C10757" t="str">
            <v>ud</v>
          </cell>
          <cell r="D10757">
            <v>333.33</v>
          </cell>
          <cell r="E10757">
            <v>0</v>
          </cell>
          <cell r="F10757">
            <v>333.33</v>
          </cell>
        </row>
        <row r="10758">
          <cell r="A10758" t="str">
            <v>460519</v>
          </cell>
          <cell r="B10758" t="str">
            <v>Elevatória com duas motobombas com conversor de frequência - 6 a 10 repetições</v>
          </cell>
          <cell r="C10758" t="str">
            <v>ud</v>
          </cell>
          <cell r="D10758">
            <v>296.29000000000002</v>
          </cell>
          <cell r="E10758">
            <v>0</v>
          </cell>
          <cell r="F10758">
            <v>296.29000000000002</v>
          </cell>
        </row>
        <row r="10759">
          <cell r="A10759" t="str">
            <v>460520</v>
          </cell>
          <cell r="B10759" t="str">
            <v>Elevatória com duas motobombas com conversor de frequência - acima de 10 repetições</v>
          </cell>
          <cell r="C10759" t="str">
            <v>ud</v>
          </cell>
          <cell r="D10759">
            <v>259.25</v>
          </cell>
          <cell r="E10759">
            <v>0</v>
          </cell>
          <cell r="F10759">
            <v>259.25</v>
          </cell>
        </row>
        <row r="10760">
          <cell r="A10760" t="str">
            <v>460521</v>
          </cell>
          <cell r="B10760" t="str">
            <v>Elevatória com três motobombas com conversor de frequência</v>
          </cell>
          <cell r="C10760" t="str">
            <v>ud</v>
          </cell>
          <cell r="D10760">
            <v>658.44</v>
          </cell>
          <cell r="E10760">
            <v>0</v>
          </cell>
          <cell r="F10760">
            <v>658.44</v>
          </cell>
        </row>
        <row r="10761">
          <cell r="A10761" t="str">
            <v>460522</v>
          </cell>
          <cell r="B10761" t="str">
            <v>Elevatória com três motobombas com conversor de frequência - 2 a 5 repetições</v>
          </cell>
          <cell r="C10761" t="str">
            <v>ud</v>
          </cell>
          <cell r="D10761">
            <v>592.59</v>
          </cell>
          <cell r="E10761">
            <v>0</v>
          </cell>
          <cell r="F10761">
            <v>592.59</v>
          </cell>
        </row>
        <row r="10762">
          <cell r="A10762" t="str">
            <v>460523</v>
          </cell>
          <cell r="B10762" t="str">
            <v>Elevatória com três motobombas com conversor de frequência - 6 a 10 repetições</v>
          </cell>
          <cell r="C10762" t="str">
            <v>ud</v>
          </cell>
          <cell r="D10762">
            <v>526.75</v>
          </cell>
          <cell r="E10762">
            <v>0</v>
          </cell>
          <cell r="F10762">
            <v>526.75</v>
          </cell>
        </row>
        <row r="10763">
          <cell r="A10763" t="str">
            <v>460524</v>
          </cell>
          <cell r="B10763" t="str">
            <v>Elevatória com três motobombas com conversor de frequência - acima de 10 repetições</v>
          </cell>
          <cell r="C10763" t="str">
            <v>ud</v>
          </cell>
          <cell r="D10763">
            <v>460.91</v>
          </cell>
          <cell r="E10763">
            <v>0</v>
          </cell>
          <cell r="F10763">
            <v>460.91</v>
          </cell>
        </row>
        <row r="10764">
          <cell r="A10764" t="str">
            <v>460525</v>
          </cell>
          <cell r="B10764" t="str">
            <v>Elevatória com quatro motobombas com conversor de frequência</v>
          </cell>
          <cell r="C10764" t="str">
            <v>ud</v>
          </cell>
          <cell r="D10764">
            <v>884.78</v>
          </cell>
          <cell r="E10764">
            <v>0</v>
          </cell>
          <cell r="F10764">
            <v>884.78</v>
          </cell>
        </row>
        <row r="10765">
          <cell r="A10765" t="str">
            <v>460526</v>
          </cell>
          <cell r="B10765" t="str">
            <v>Elevatória com quatro motobombas com conversor de frequência - 2 a 5 repetições</v>
          </cell>
          <cell r="C10765" t="str">
            <v>ud</v>
          </cell>
          <cell r="D10765">
            <v>796.31</v>
          </cell>
          <cell r="E10765">
            <v>0</v>
          </cell>
          <cell r="F10765">
            <v>796.31</v>
          </cell>
        </row>
        <row r="10766">
          <cell r="A10766" t="str">
            <v>460527</v>
          </cell>
          <cell r="B10766" t="str">
            <v>Elevatória com quatro motobombas com conversor de frequência - 6 a 10 repetições</v>
          </cell>
          <cell r="C10766" t="str">
            <v>ud</v>
          </cell>
          <cell r="D10766">
            <v>707.82</v>
          </cell>
          <cell r="E10766">
            <v>0</v>
          </cell>
          <cell r="F10766">
            <v>707.82</v>
          </cell>
        </row>
        <row r="10767">
          <cell r="A10767" t="str">
            <v>460528</v>
          </cell>
          <cell r="B10767" t="str">
            <v>Elevatória com quatro motobombas com conversor de frequência - acima de 10 repetições</v>
          </cell>
          <cell r="C10767" t="str">
            <v>ud</v>
          </cell>
          <cell r="D10767">
            <v>619.35</v>
          </cell>
          <cell r="E10767">
            <v>0</v>
          </cell>
          <cell r="F10767">
            <v>619.35</v>
          </cell>
        </row>
        <row r="10768">
          <cell r="A10768" t="str">
            <v>460529</v>
          </cell>
          <cell r="B10768" t="str">
            <v>Elevatória com uma motobomba com softstarter ou partida direta</v>
          </cell>
          <cell r="C10768" t="str">
            <v>ud</v>
          </cell>
          <cell r="D10768">
            <v>144.04</v>
          </cell>
          <cell r="E10768">
            <v>0</v>
          </cell>
          <cell r="F10768">
            <v>144.04</v>
          </cell>
        </row>
        <row r="10769">
          <cell r="A10769" t="str">
            <v>460530</v>
          </cell>
          <cell r="B10769" t="str">
            <v>Elevatória com uma motobomba com softstarter ou partida direta - 2 a 5 repetições</v>
          </cell>
          <cell r="C10769" t="str">
            <v>ud</v>
          </cell>
          <cell r="D10769">
            <v>129.63</v>
          </cell>
          <cell r="E10769">
            <v>0</v>
          </cell>
          <cell r="F10769">
            <v>129.63</v>
          </cell>
        </row>
        <row r="10770">
          <cell r="A10770" t="str">
            <v>460531</v>
          </cell>
          <cell r="B10770" t="str">
            <v>Elevatória com uma motobomba com softstarter ou partida direta - 6 a 10 repetições</v>
          </cell>
          <cell r="C10770" t="str">
            <v>ud</v>
          </cell>
          <cell r="D10770">
            <v>115.24</v>
          </cell>
          <cell r="E10770">
            <v>0</v>
          </cell>
          <cell r="F10770">
            <v>115.24</v>
          </cell>
        </row>
        <row r="10771">
          <cell r="A10771" t="str">
            <v>460532</v>
          </cell>
          <cell r="B10771" t="str">
            <v>Elevatória com uma motobomba com softstarter ou partida direta - acima de 10 repetições</v>
          </cell>
          <cell r="C10771" t="str">
            <v>ud</v>
          </cell>
          <cell r="D10771">
            <v>100.83</v>
          </cell>
          <cell r="E10771">
            <v>0</v>
          </cell>
          <cell r="F10771">
            <v>100.83</v>
          </cell>
        </row>
        <row r="10772">
          <cell r="A10772" t="str">
            <v>460533</v>
          </cell>
          <cell r="B10772" t="str">
            <v>Elevatória com duas motobombas com softstarter ou partida direta</v>
          </cell>
          <cell r="C10772" t="str">
            <v>ud</v>
          </cell>
          <cell r="D10772">
            <v>267.5</v>
          </cell>
          <cell r="E10772">
            <v>0</v>
          </cell>
          <cell r="F10772">
            <v>267.5</v>
          </cell>
        </row>
        <row r="10773">
          <cell r="A10773" t="str">
            <v>460534</v>
          </cell>
          <cell r="B10773" t="str">
            <v>Elevatória com duas motobombas com softstarter ou partida direta - 2 a 5 repetições</v>
          </cell>
          <cell r="C10773" t="str">
            <v>ud</v>
          </cell>
          <cell r="D10773">
            <v>240.76</v>
          </cell>
          <cell r="E10773">
            <v>0</v>
          </cell>
          <cell r="F10773">
            <v>240.76</v>
          </cell>
        </row>
        <row r="10774">
          <cell r="A10774" t="str">
            <v>460535</v>
          </cell>
          <cell r="B10774" t="str">
            <v>Elevatória com duas motobombas com softstarter ou partida direta - 6 a 10 repetições</v>
          </cell>
          <cell r="C10774" t="str">
            <v>ud</v>
          </cell>
          <cell r="D10774">
            <v>214</v>
          </cell>
          <cell r="E10774">
            <v>0</v>
          </cell>
          <cell r="F10774">
            <v>214</v>
          </cell>
        </row>
        <row r="10775">
          <cell r="A10775" t="str">
            <v>460536</v>
          </cell>
          <cell r="B10775" t="str">
            <v>Elevatória com duas motobombas com softstarter ou partida direta - acima de 10 repetições</v>
          </cell>
          <cell r="C10775" t="str">
            <v>ud</v>
          </cell>
          <cell r="D10775">
            <v>187.26</v>
          </cell>
          <cell r="E10775">
            <v>0</v>
          </cell>
          <cell r="F10775">
            <v>187.26</v>
          </cell>
        </row>
        <row r="10776">
          <cell r="A10776" t="str">
            <v>460537</v>
          </cell>
          <cell r="B10776" t="str">
            <v>Elevatória com três motobombas com softstarter ou partida direta</v>
          </cell>
          <cell r="C10776" t="str">
            <v>ud</v>
          </cell>
          <cell r="D10776">
            <v>534.98</v>
          </cell>
          <cell r="E10776">
            <v>0</v>
          </cell>
          <cell r="F10776">
            <v>534.98</v>
          </cell>
        </row>
        <row r="10777">
          <cell r="A10777" t="str">
            <v>460538</v>
          </cell>
          <cell r="B10777" t="str">
            <v>Elevatória com três motobombas com softstarter ou partida direta - 2 a 5 repetições</v>
          </cell>
          <cell r="C10777" t="str">
            <v>ud</v>
          </cell>
          <cell r="D10777">
            <v>481.48</v>
          </cell>
          <cell r="E10777">
            <v>0</v>
          </cell>
          <cell r="F10777">
            <v>481.48</v>
          </cell>
        </row>
        <row r="10778">
          <cell r="A10778" t="str">
            <v>460539</v>
          </cell>
          <cell r="B10778" t="str">
            <v>Elevatória com três motobombas com softstarter ou partida direta - 6 a 10 repetições</v>
          </cell>
          <cell r="C10778" t="str">
            <v>ud</v>
          </cell>
          <cell r="D10778">
            <v>427.98</v>
          </cell>
          <cell r="E10778">
            <v>0</v>
          </cell>
          <cell r="F10778">
            <v>427.98</v>
          </cell>
        </row>
        <row r="10779">
          <cell r="A10779" t="str">
            <v>460540</v>
          </cell>
          <cell r="B10779" t="str">
            <v>Elevatória com três motobombas com softstarter ou partida direta - acima de 10 repetições</v>
          </cell>
          <cell r="C10779" t="str">
            <v>ud</v>
          </cell>
          <cell r="D10779">
            <v>374.49</v>
          </cell>
          <cell r="E10779">
            <v>0</v>
          </cell>
          <cell r="F10779">
            <v>374.49</v>
          </cell>
        </row>
        <row r="10780">
          <cell r="A10780" t="str">
            <v>460541</v>
          </cell>
          <cell r="B10780" t="str">
            <v>Elevatória com quatro motobombas com softstarter ou partida direta</v>
          </cell>
          <cell r="C10780" t="str">
            <v>ud</v>
          </cell>
          <cell r="D10780">
            <v>720.18</v>
          </cell>
          <cell r="E10780">
            <v>0</v>
          </cell>
          <cell r="F10780">
            <v>720.18</v>
          </cell>
        </row>
        <row r="10781">
          <cell r="A10781" t="str">
            <v>460542</v>
          </cell>
          <cell r="B10781" t="str">
            <v>Elevatória com quatro motobombas com softstarter ou partida direta - 2 a 5 repetições</v>
          </cell>
          <cell r="C10781" t="str">
            <v>ud</v>
          </cell>
          <cell r="D10781">
            <v>648.16</v>
          </cell>
          <cell r="E10781">
            <v>0</v>
          </cell>
          <cell r="F10781">
            <v>648.16</v>
          </cell>
        </row>
        <row r="10782">
          <cell r="A10782" t="str">
            <v>460543</v>
          </cell>
          <cell r="B10782" t="str">
            <v>Elevatória com quatro motobombas com softstarter ou partida direta - 6 a 10 repetições</v>
          </cell>
          <cell r="C10782" t="str">
            <v>ud</v>
          </cell>
          <cell r="D10782">
            <v>576.15</v>
          </cell>
          <cell r="E10782">
            <v>0</v>
          </cell>
          <cell r="F10782">
            <v>576.15</v>
          </cell>
        </row>
        <row r="10783">
          <cell r="A10783" t="str">
            <v>460544</v>
          </cell>
          <cell r="B10783" t="str">
            <v>Elevatória com quatro motobombas com softstarter ou partida direta - acima de 10 repetições</v>
          </cell>
          <cell r="C10783" t="str">
            <v>ud</v>
          </cell>
          <cell r="D10783">
            <v>504.13</v>
          </cell>
          <cell r="E10783">
            <v>0</v>
          </cell>
          <cell r="F10783">
            <v>504.13</v>
          </cell>
        </row>
        <row r="10784">
          <cell r="A10784" t="str">
            <v>460545</v>
          </cell>
          <cell r="B10784" t="str">
            <v>Dosadora individual</v>
          </cell>
          <cell r="C10784" t="str">
            <v>ud</v>
          </cell>
          <cell r="D10784">
            <v>82.3</v>
          </cell>
          <cell r="E10784">
            <v>0</v>
          </cell>
          <cell r="F10784">
            <v>82.3</v>
          </cell>
        </row>
        <row r="10785">
          <cell r="A10785" t="str">
            <v>460546</v>
          </cell>
          <cell r="B10785" t="str">
            <v>Dosadora individual - 2 a 5 repetições</v>
          </cell>
          <cell r="C10785" t="str">
            <v>ud</v>
          </cell>
          <cell r="D10785">
            <v>74.069999999999993</v>
          </cell>
          <cell r="E10785">
            <v>0</v>
          </cell>
          <cell r="F10785">
            <v>74.069999999999993</v>
          </cell>
        </row>
        <row r="10786">
          <cell r="A10786" t="str">
            <v>460547</v>
          </cell>
          <cell r="B10786" t="str">
            <v>Dosadora individual - 6 a 10 repetições</v>
          </cell>
          <cell r="C10786" t="str">
            <v>ud</v>
          </cell>
          <cell r="D10786">
            <v>65.84</v>
          </cell>
          <cell r="E10786">
            <v>0</v>
          </cell>
          <cell r="F10786">
            <v>65.84</v>
          </cell>
        </row>
        <row r="10787">
          <cell r="A10787" t="str">
            <v>460548</v>
          </cell>
          <cell r="B10787" t="str">
            <v>Dosadora individual - acima de 10 repetições</v>
          </cell>
          <cell r="C10787" t="str">
            <v>ud</v>
          </cell>
          <cell r="D10787">
            <v>57.61</v>
          </cell>
          <cell r="E10787">
            <v>0</v>
          </cell>
          <cell r="F10787">
            <v>57.61</v>
          </cell>
        </row>
        <row r="10788">
          <cell r="A10788" t="str">
            <v>460549</v>
          </cell>
          <cell r="B10788" t="str">
            <v>Dosadoras (1+R)</v>
          </cell>
          <cell r="C10788" t="str">
            <v>ud</v>
          </cell>
          <cell r="D10788">
            <v>164.6</v>
          </cell>
          <cell r="E10788">
            <v>0</v>
          </cell>
          <cell r="F10788">
            <v>164.6</v>
          </cell>
        </row>
        <row r="10789">
          <cell r="A10789" t="str">
            <v>460550</v>
          </cell>
          <cell r="B10789" t="str">
            <v>Dosadoras (1+R)  - 2 a 5 repetições</v>
          </cell>
          <cell r="C10789" t="str">
            <v>ud</v>
          </cell>
          <cell r="D10789">
            <v>148.13999999999999</v>
          </cell>
          <cell r="E10789">
            <v>0</v>
          </cell>
          <cell r="F10789">
            <v>148.13999999999999</v>
          </cell>
        </row>
        <row r="10790">
          <cell r="A10790" t="str">
            <v>460551</v>
          </cell>
          <cell r="B10790" t="str">
            <v>Dosadoras (1+R)  - 6 a 10 repetições</v>
          </cell>
          <cell r="C10790" t="str">
            <v>ud</v>
          </cell>
          <cell r="D10790">
            <v>131.68</v>
          </cell>
          <cell r="E10790">
            <v>0</v>
          </cell>
          <cell r="F10790">
            <v>131.68</v>
          </cell>
        </row>
        <row r="10791">
          <cell r="A10791" t="str">
            <v>460552</v>
          </cell>
          <cell r="B10791" t="str">
            <v>Dosadoras (1+R)  - acima de 10 repetições</v>
          </cell>
          <cell r="C10791" t="str">
            <v>ud</v>
          </cell>
          <cell r="D10791">
            <v>115.22</v>
          </cell>
          <cell r="E10791">
            <v>0</v>
          </cell>
          <cell r="F10791">
            <v>115.22</v>
          </cell>
        </row>
        <row r="10792">
          <cell r="A10792" t="str">
            <v>460553</v>
          </cell>
          <cell r="B10792" t="str">
            <v>Dosadoras (1+R) com controle em malha fechada</v>
          </cell>
          <cell r="C10792" t="str">
            <v>ud</v>
          </cell>
          <cell r="D10792">
            <v>205.76</v>
          </cell>
          <cell r="E10792">
            <v>0</v>
          </cell>
          <cell r="F10792">
            <v>205.76</v>
          </cell>
        </row>
        <row r="10793">
          <cell r="A10793" t="str">
            <v>460554</v>
          </cell>
          <cell r="B10793" t="str">
            <v>Dosadoras (1+R) com controle em malha fechada - 2 a 5 repetições</v>
          </cell>
          <cell r="C10793" t="str">
            <v>ud</v>
          </cell>
          <cell r="D10793">
            <v>185.18</v>
          </cell>
          <cell r="E10793">
            <v>0</v>
          </cell>
          <cell r="F10793">
            <v>185.18</v>
          </cell>
        </row>
        <row r="10794">
          <cell r="A10794" t="str">
            <v>460555</v>
          </cell>
          <cell r="B10794" t="str">
            <v>Dosadoras (1+R) com controle em malha fechada - 6 a 10 repetições</v>
          </cell>
          <cell r="C10794" t="str">
            <v>ud</v>
          </cell>
          <cell r="D10794">
            <v>164.61</v>
          </cell>
          <cell r="E10794">
            <v>0</v>
          </cell>
          <cell r="F10794">
            <v>164.61</v>
          </cell>
        </row>
        <row r="10795">
          <cell r="A10795" t="str">
            <v>460556</v>
          </cell>
          <cell r="B10795" t="str">
            <v>Dosadoras (1+R) com controle em malha fechada - acima de 10 repetições</v>
          </cell>
          <cell r="C10795" t="str">
            <v>ud</v>
          </cell>
          <cell r="D10795">
            <v>144.03</v>
          </cell>
          <cell r="E10795">
            <v>0</v>
          </cell>
          <cell r="F10795">
            <v>144.03</v>
          </cell>
        </row>
        <row r="10796">
          <cell r="A10796" t="str">
            <v>460557</v>
          </cell>
          <cell r="B10796" t="str">
            <v>Lavagem de um filtro com 5 válvulas/comportas (pneumático)</v>
          </cell>
          <cell r="C10796" t="str">
            <v>ud</v>
          </cell>
          <cell r="D10796">
            <v>432.1</v>
          </cell>
          <cell r="E10796">
            <v>0</v>
          </cell>
          <cell r="F10796">
            <v>432.1</v>
          </cell>
        </row>
        <row r="10797">
          <cell r="A10797" t="str">
            <v>460558</v>
          </cell>
          <cell r="B10797" t="str">
            <v>Lavagem de um filtro com 5 válvulas/comportas (pneumático) - 2 a 5 repetições</v>
          </cell>
          <cell r="C10797" t="str">
            <v>ud</v>
          </cell>
          <cell r="D10797">
            <v>388.89</v>
          </cell>
          <cell r="E10797">
            <v>0</v>
          </cell>
          <cell r="F10797">
            <v>388.89</v>
          </cell>
        </row>
        <row r="10798">
          <cell r="A10798" t="str">
            <v>460559</v>
          </cell>
          <cell r="B10798" t="str">
            <v>Lavagem de um filtro com 5 válvulas/comportas (pneumático) - 6 a 10 repetições</v>
          </cell>
          <cell r="C10798" t="str">
            <v>ud</v>
          </cell>
          <cell r="D10798">
            <v>345.68</v>
          </cell>
          <cell r="E10798">
            <v>0</v>
          </cell>
          <cell r="F10798">
            <v>345.68</v>
          </cell>
        </row>
        <row r="10799">
          <cell r="A10799" t="str">
            <v>460560</v>
          </cell>
          <cell r="B10799" t="str">
            <v>Lavagem de um filtro com 5 válvulas/comportas (pneumático) - acima de 10 repetições</v>
          </cell>
          <cell r="C10799" t="str">
            <v>ud</v>
          </cell>
          <cell r="D10799">
            <v>302.47000000000003</v>
          </cell>
          <cell r="E10799">
            <v>0</v>
          </cell>
          <cell r="F10799">
            <v>302.47000000000003</v>
          </cell>
        </row>
        <row r="10800">
          <cell r="A10800" t="str">
            <v>460561</v>
          </cell>
          <cell r="B10800" t="str">
            <v>Válvula de seleção</v>
          </cell>
          <cell r="C10800" t="str">
            <v>ud</v>
          </cell>
          <cell r="D10800">
            <v>20.58</v>
          </cell>
          <cell r="E10800">
            <v>0</v>
          </cell>
          <cell r="F10800">
            <v>20.58</v>
          </cell>
        </row>
        <row r="10801">
          <cell r="A10801" t="str">
            <v>460562</v>
          </cell>
          <cell r="B10801" t="str">
            <v>Válvula de seleção - 2 a 5 repetições</v>
          </cell>
          <cell r="C10801" t="str">
            <v>ud</v>
          </cell>
          <cell r="D10801">
            <v>18.52</v>
          </cell>
          <cell r="E10801">
            <v>0</v>
          </cell>
          <cell r="F10801">
            <v>18.52</v>
          </cell>
        </row>
        <row r="10802">
          <cell r="A10802" t="str">
            <v>460563</v>
          </cell>
          <cell r="B10802" t="str">
            <v>Válvula de seleção - 6 a 10 repetições</v>
          </cell>
          <cell r="C10802" t="str">
            <v>ud</v>
          </cell>
          <cell r="D10802">
            <v>16.46</v>
          </cell>
          <cell r="E10802">
            <v>0</v>
          </cell>
          <cell r="F10802">
            <v>16.46</v>
          </cell>
        </row>
        <row r="10803">
          <cell r="A10803" t="str">
            <v>460564</v>
          </cell>
          <cell r="B10803" t="str">
            <v>Válvula de seleção - acima de 10 repetições</v>
          </cell>
          <cell r="C10803" t="str">
            <v>ud</v>
          </cell>
          <cell r="D10803">
            <v>14.4</v>
          </cell>
          <cell r="E10803">
            <v>0</v>
          </cell>
          <cell r="F10803">
            <v>14.4</v>
          </cell>
        </row>
        <row r="10804">
          <cell r="A10804" t="str">
            <v>460565</v>
          </cell>
          <cell r="B10804" t="str">
            <v>Sistema de sequenciamento de coleta com 2 pontos de amostra</v>
          </cell>
          <cell r="C10804" t="str">
            <v>ud</v>
          </cell>
          <cell r="D10804">
            <v>164.6</v>
          </cell>
          <cell r="E10804">
            <v>0</v>
          </cell>
          <cell r="F10804">
            <v>164.6</v>
          </cell>
        </row>
        <row r="10805">
          <cell r="A10805" t="str">
            <v>460566</v>
          </cell>
          <cell r="B10805" t="str">
            <v>Sistema de sequenciamento de coleta com 2 pontos de amostra - 2 a 5 repetições</v>
          </cell>
          <cell r="C10805" t="str">
            <v>ud</v>
          </cell>
          <cell r="D10805">
            <v>148.13999999999999</v>
          </cell>
          <cell r="E10805">
            <v>0</v>
          </cell>
          <cell r="F10805">
            <v>148.13999999999999</v>
          </cell>
        </row>
        <row r="10806">
          <cell r="A10806" t="str">
            <v>460567</v>
          </cell>
          <cell r="B10806" t="str">
            <v>Sistema de sequenciamento de coleta com 2 pontos de amostra - 6 a 10 repetições</v>
          </cell>
          <cell r="C10806" t="str">
            <v>ud</v>
          </cell>
          <cell r="D10806">
            <v>131.68</v>
          </cell>
          <cell r="E10806">
            <v>0</v>
          </cell>
          <cell r="F10806">
            <v>131.68</v>
          </cell>
        </row>
        <row r="10807">
          <cell r="A10807" t="str">
            <v>460568</v>
          </cell>
          <cell r="B10807" t="str">
            <v>Sistema de sequenciamento de coleta com 2 pontos de amostra - acima de 10 repetições</v>
          </cell>
          <cell r="C10807" t="str">
            <v>ud</v>
          </cell>
          <cell r="D10807">
            <v>115.22</v>
          </cell>
          <cell r="E10807">
            <v>0</v>
          </cell>
          <cell r="F10807">
            <v>115.22</v>
          </cell>
        </row>
        <row r="10808">
          <cell r="A10808" t="str">
            <v>460569</v>
          </cell>
          <cell r="B10808" t="str">
            <v>Motobomba de coleta individual</v>
          </cell>
          <cell r="C10808" t="str">
            <v>ud</v>
          </cell>
          <cell r="D10808">
            <v>82.3</v>
          </cell>
          <cell r="E10808">
            <v>0</v>
          </cell>
          <cell r="F10808">
            <v>82.3</v>
          </cell>
        </row>
        <row r="10809">
          <cell r="A10809" t="str">
            <v>460570</v>
          </cell>
          <cell r="B10809" t="str">
            <v>Motobomba de coleta individual - 2 a 5 repetições</v>
          </cell>
          <cell r="C10809" t="str">
            <v>ud</v>
          </cell>
          <cell r="D10809">
            <v>74.069999999999993</v>
          </cell>
          <cell r="E10809">
            <v>0</v>
          </cell>
          <cell r="F10809">
            <v>74.069999999999993</v>
          </cell>
        </row>
        <row r="10810">
          <cell r="A10810" t="str">
            <v>460571</v>
          </cell>
          <cell r="B10810" t="str">
            <v>Motobomba de coleta individual - 6 a 10 repetições</v>
          </cell>
          <cell r="C10810" t="str">
            <v>ud</v>
          </cell>
          <cell r="D10810">
            <v>65.84</v>
          </cell>
          <cell r="E10810">
            <v>0</v>
          </cell>
          <cell r="F10810">
            <v>65.84</v>
          </cell>
        </row>
        <row r="10811">
          <cell r="A10811" t="str">
            <v>460572</v>
          </cell>
          <cell r="B10811" t="str">
            <v>Motobomba de coleta individual - acima de 10 repetições</v>
          </cell>
          <cell r="C10811" t="str">
            <v>ud</v>
          </cell>
          <cell r="D10811">
            <v>57.61</v>
          </cell>
          <cell r="E10811">
            <v>0</v>
          </cell>
          <cell r="F10811">
            <v>57.61</v>
          </cell>
        </row>
        <row r="10812">
          <cell r="A10812" t="str">
            <v>460573</v>
          </cell>
          <cell r="B10812" t="str">
            <v>Motobombas de coleta (1+R)</v>
          </cell>
          <cell r="C10812" t="str">
            <v>ud</v>
          </cell>
          <cell r="D10812">
            <v>144.04</v>
          </cell>
          <cell r="E10812">
            <v>0</v>
          </cell>
          <cell r="F10812">
            <v>144.04</v>
          </cell>
        </row>
        <row r="10813">
          <cell r="A10813" t="str">
            <v>460574</v>
          </cell>
          <cell r="B10813" t="str">
            <v>Motobombas de coleta (1+R) - 2 a 5 repetições</v>
          </cell>
          <cell r="C10813" t="str">
            <v>ud</v>
          </cell>
          <cell r="D10813">
            <v>129.63</v>
          </cell>
          <cell r="E10813">
            <v>0</v>
          </cell>
          <cell r="F10813">
            <v>129.63</v>
          </cell>
        </row>
        <row r="10814">
          <cell r="A10814" t="str">
            <v>460575</v>
          </cell>
          <cell r="B10814" t="str">
            <v>Motobombas de coleta (1+R) - 6 a 10 repetições</v>
          </cell>
          <cell r="C10814" t="str">
            <v>ud</v>
          </cell>
          <cell r="D10814">
            <v>115.24</v>
          </cell>
          <cell r="E10814">
            <v>0</v>
          </cell>
          <cell r="F10814">
            <v>115.24</v>
          </cell>
        </row>
        <row r="10815">
          <cell r="A10815" t="str">
            <v>460576</v>
          </cell>
          <cell r="B10815" t="str">
            <v>Motobombas de coleta (1+R) - acima de 10 repetições</v>
          </cell>
          <cell r="C10815" t="str">
            <v>ud</v>
          </cell>
          <cell r="D10815">
            <v>100.83</v>
          </cell>
          <cell r="E10815">
            <v>0</v>
          </cell>
          <cell r="F10815">
            <v>100.83</v>
          </cell>
        </row>
        <row r="10816">
          <cell r="A10816" t="str">
            <v>460577</v>
          </cell>
          <cell r="B10816" t="str">
            <v>Compressores (1+R)</v>
          </cell>
          <cell r="C10816" t="str">
            <v>ud</v>
          </cell>
          <cell r="D10816">
            <v>144.04</v>
          </cell>
          <cell r="E10816">
            <v>0</v>
          </cell>
          <cell r="F10816">
            <v>144.04</v>
          </cell>
        </row>
        <row r="10817">
          <cell r="A10817" t="str">
            <v>460578</v>
          </cell>
          <cell r="B10817" t="str">
            <v>Compressores (1+R) - 2 a 5 repetições</v>
          </cell>
          <cell r="C10817" t="str">
            <v>ud</v>
          </cell>
          <cell r="D10817">
            <v>129.63</v>
          </cell>
          <cell r="E10817">
            <v>0</v>
          </cell>
          <cell r="F10817">
            <v>129.63</v>
          </cell>
        </row>
        <row r="10818">
          <cell r="A10818" t="str">
            <v>460579</v>
          </cell>
          <cell r="B10818" t="str">
            <v>Compressores (1+R) - 6 a 10 repetições</v>
          </cell>
          <cell r="C10818" t="str">
            <v>ud</v>
          </cell>
          <cell r="D10818">
            <v>115.24</v>
          </cell>
          <cell r="E10818">
            <v>0</v>
          </cell>
          <cell r="F10818">
            <v>115.24</v>
          </cell>
        </row>
        <row r="10819">
          <cell r="A10819" t="str">
            <v>460580</v>
          </cell>
          <cell r="B10819" t="str">
            <v>Compressores (1+R) - acima de 10 repetições</v>
          </cell>
          <cell r="C10819" t="str">
            <v>ud</v>
          </cell>
          <cell r="D10819">
            <v>100.83</v>
          </cell>
          <cell r="E10819">
            <v>0</v>
          </cell>
          <cell r="F10819">
            <v>100.83</v>
          </cell>
        </row>
        <row r="10820">
          <cell r="A10820" t="str">
            <v>460581</v>
          </cell>
          <cell r="B10820" t="str">
            <v>Operações mínimas do CP</v>
          </cell>
          <cell r="C10820" t="str">
            <v>ud</v>
          </cell>
          <cell r="D10820">
            <v>82.3</v>
          </cell>
          <cell r="E10820">
            <v>0</v>
          </cell>
          <cell r="F10820">
            <v>82.3</v>
          </cell>
        </row>
        <row r="10821">
          <cell r="A10821" t="str">
            <v>460582</v>
          </cell>
          <cell r="B10821" t="str">
            <v>Operações mínimas do CP - 2 a 5 repetições</v>
          </cell>
          <cell r="C10821" t="str">
            <v>ud</v>
          </cell>
          <cell r="D10821">
            <v>74.069999999999993</v>
          </cell>
          <cell r="E10821">
            <v>0</v>
          </cell>
          <cell r="F10821">
            <v>74.069999999999993</v>
          </cell>
        </row>
        <row r="10822">
          <cell r="A10822" t="str">
            <v>460583</v>
          </cell>
          <cell r="B10822" t="str">
            <v>Operações mínimas do CP - 6 a 10 repetições</v>
          </cell>
          <cell r="C10822" t="str">
            <v>ud</v>
          </cell>
          <cell r="D10822">
            <v>65.84</v>
          </cell>
          <cell r="E10822">
            <v>0</v>
          </cell>
          <cell r="F10822">
            <v>65.84</v>
          </cell>
        </row>
        <row r="10823">
          <cell r="A10823" t="str">
            <v>460584</v>
          </cell>
          <cell r="B10823" t="str">
            <v>Operações mínimas do CP - acima de 10 repetições</v>
          </cell>
          <cell r="C10823" t="str">
            <v>ud</v>
          </cell>
          <cell r="D10823">
            <v>57.61</v>
          </cell>
          <cell r="E10823">
            <v>0</v>
          </cell>
          <cell r="F10823">
            <v>57.61</v>
          </cell>
        </row>
        <row r="10824">
          <cell r="A10824" t="str">
            <v>4606</v>
          </cell>
          <cell r="B10824" t="str">
            <v>COMISSIONAMENTO E START-UP DE AUTOMAÇÃO INDUSTRIAL</v>
          </cell>
          <cell r="C10824">
            <v>0</v>
          </cell>
          <cell r="D10824">
            <v>0</v>
          </cell>
          <cell r="E10824">
            <v>0</v>
          </cell>
          <cell r="F10824">
            <v>0</v>
          </cell>
        </row>
        <row r="10825">
          <cell r="A10825" t="str">
            <v>460601</v>
          </cell>
          <cell r="B10825" t="str">
            <v>Instrumento</v>
          </cell>
          <cell r="C10825" t="str">
            <v>ud</v>
          </cell>
          <cell r="D10825">
            <v>123.46</v>
          </cell>
          <cell r="E10825">
            <v>0</v>
          </cell>
          <cell r="F10825">
            <v>123.46</v>
          </cell>
        </row>
        <row r="10826">
          <cell r="A10826" t="str">
            <v>460602</v>
          </cell>
          <cell r="B10826" t="str">
            <v>Válvula de controle</v>
          </cell>
          <cell r="C10826" t="str">
            <v>ud</v>
          </cell>
          <cell r="D10826">
            <v>309.02</v>
          </cell>
          <cell r="E10826">
            <v>0</v>
          </cell>
          <cell r="F10826">
            <v>309.02</v>
          </cell>
        </row>
        <row r="10827">
          <cell r="A10827" t="str">
            <v>460603</v>
          </cell>
          <cell r="B10827" t="str">
            <v>Válvula de bloqueio</v>
          </cell>
          <cell r="C10827" t="str">
            <v>ud</v>
          </cell>
          <cell r="D10827">
            <v>185.2</v>
          </cell>
          <cell r="E10827">
            <v>0</v>
          </cell>
          <cell r="F10827">
            <v>185.2</v>
          </cell>
        </row>
        <row r="10828">
          <cell r="A10828" t="str">
            <v>460604</v>
          </cell>
          <cell r="B10828" t="str">
            <v xml:space="preserve">Elevatória com uma motobomba com conversor de frequência  </v>
          </cell>
          <cell r="C10828" t="str">
            <v>ud</v>
          </cell>
          <cell r="D10828">
            <v>555.55999999999995</v>
          </cell>
          <cell r="E10828">
            <v>0</v>
          </cell>
          <cell r="F10828">
            <v>555.55999999999995</v>
          </cell>
        </row>
        <row r="10829">
          <cell r="A10829" t="str">
            <v>460605</v>
          </cell>
          <cell r="B10829" t="str">
            <v>Elevatória com duas motobombas com conversor de frequência</v>
          </cell>
          <cell r="C10829" t="str">
            <v>ud</v>
          </cell>
          <cell r="D10829">
            <v>1111.0999999999999</v>
          </cell>
          <cell r="E10829">
            <v>0</v>
          </cell>
          <cell r="F10829">
            <v>1111.0999999999999</v>
          </cell>
        </row>
        <row r="10830">
          <cell r="A10830" t="str">
            <v>460606</v>
          </cell>
          <cell r="B10830" t="str">
            <v>Elevatória com três motobombas com conversor de frequência</v>
          </cell>
          <cell r="C10830" t="str">
            <v>ud</v>
          </cell>
          <cell r="D10830">
            <v>1975.3</v>
          </cell>
          <cell r="E10830">
            <v>0</v>
          </cell>
          <cell r="F10830">
            <v>1975.3</v>
          </cell>
        </row>
        <row r="10831">
          <cell r="A10831" t="str">
            <v>460607</v>
          </cell>
          <cell r="B10831" t="str">
            <v>Elevatória com quatro motobombas com conversor de frequência</v>
          </cell>
          <cell r="C10831" t="str">
            <v>ud</v>
          </cell>
          <cell r="D10831">
            <v>2654.32</v>
          </cell>
          <cell r="E10831">
            <v>0</v>
          </cell>
          <cell r="F10831">
            <v>2654.32</v>
          </cell>
        </row>
        <row r="10832">
          <cell r="A10832" t="str">
            <v>460608</v>
          </cell>
          <cell r="B10832" t="str">
            <v>Elevatória com uma motobomba com softstarter ou partida direta</v>
          </cell>
          <cell r="C10832" t="str">
            <v>ud</v>
          </cell>
          <cell r="D10832">
            <v>432.1</v>
          </cell>
          <cell r="E10832">
            <v>0</v>
          </cell>
          <cell r="F10832">
            <v>432.1</v>
          </cell>
        </row>
        <row r="10833">
          <cell r="A10833" t="str">
            <v>460609</v>
          </cell>
          <cell r="B10833" t="str">
            <v>Elevatória com duas motobombas com softstarter ou partida direta</v>
          </cell>
          <cell r="C10833" t="str">
            <v>ud</v>
          </cell>
          <cell r="D10833">
            <v>802.48</v>
          </cell>
          <cell r="E10833">
            <v>0</v>
          </cell>
          <cell r="F10833">
            <v>802.48</v>
          </cell>
        </row>
        <row r="10834">
          <cell r="A10834" t="str">
            <v>460610</v>
          </cell>
          <cell r="B10834" t="str">
            <v>Elevatória com três motobombas com softstarter ou partida direta</v>
          </cell>
          <cell r="C10834" t="str">
            <v>ud</v>
          </cell>
          <cell r="D10834">
            <v>1604.92</v>
          </cell>
          <cell r="E10834">
            <v>0</v>
          </cell>
          <cell r="F10834">
            <v>1604.92</v>
          </cell>
        </row>
        <row r="10835">
          <cell r="A10835" t="str">
            <v>460611</v>
          </cell>
          <cell r="B10835" t="str">
            <v>Elevatória com quatro motobombas com softstarter ou partida direta</v>
          </cell>
          <cell r="C10835" t="str">
            <v>ud</v>
          </cell>
          <cell r="D10835">
            <v>2160.5</v>
          </cell>
          <cell r="E10835">
            <v>0</v>
          </cell>
          <cell r="F10835">
            <v>2160.5</v>
          </cell>
        </row>
        <row r="10836">
          <cell r="A10836" t="str">
            <v>460612</v>
          </cell>
          <cell r="B10836" t="str">
            <v>Dosadora individual</v>
          </cell>
          <cell r="C10836" t="str">
            <v>ud</v>
          </cell>
          <cell r="D10836">
            <v>246.92</v>
          </cell>
          <cell r="E10836">
            <v>0</v>
          </cell>
          <cell r="F10836">
            <v>246.92</v>
          </cell>
        </row>
        <row r="10837">
          <cell r="A10837" t="str">
            <v>460613</v>
          </cell>
          <cell r="B10837" t="str">
            <v>Dosadoras (1+R)</v>
          </cell>
          <cell r="C10837" t="str">
            <v>ud</v>
          </cell>
          <cell r="D10837">
            <v>493.82</v>
          </cell>
          <cell r="E10837">
            <v>0</v>
          </cell>
          <cell r="F10837">
            <v>493.82</v>
          </cell>
        </row>
        <row r="10838">
          <cell r="A10838" t="str">
            <v>460614</v>
          </cell>
          <cell r="B10838" t="str">
            <v>Dosadoras (1+R) com controle em malha fechada</v>
          </cell>
          <cell r="C10838" t="str">
            <v>ud</v>
          </cell>
          <cell r="D10838">
            <v>617.28</v>
          </cell>
          <cell r="E10838">
            <v>0</v>
          </cell>
          <cell r="F10838">
            <v>617.28</v>
          </cell>
        </row>
        <row r="10839">
          <cell r="A10839" t="str">
            <v>460615</v>
          </cell>
          <cell r="B10839" t="str">
            <v>Lavagem de um filtro com 5 válvulas/comportas (pneumático)</v>
          </cell>
          <cell r="C10839" t="str">
            <v>ud</v>
          </cell>
          <cell r="D10839">
            <v>1296.5</v>
          </cell>
          <cell r="E10839">
            <v>0</v>
          </cell>
          <cell r="F10839">
            <v>1296.5</v>
          </cell>
        </row>
        <row r="10840">
          <cell r="A10840" t="str">
            <v>460616</v>
          </cell>
          <cell r="B10840" t="str">
            <v>Válvula de seleção</v>
          </cell>
          <cell r="C10840" t="str">
            <v>ud</v>
          </cell>
          <cell r="D10840">
            <v>61.74</v>
          </cell>
          <cell r="E10840">
            <v>0</v>
          </cell>
          <cell r="F10840">
            <v>61.74</v>
          </cell>
        </row>
        <row r="10841">
          <cell r="A10841" t="str">
            <v>460617</v>
          </cell>
          <cell r="B10841" t="str">
            <v>Sistema de sequenciamento de coleta com 2 pontos de amostra</v>
          </cell>
          <cell r="C10841" t="str">
            <v>ud</v>
          </cell>
          <cell r="D10841">
            <v>493.82</v>
          </cell>
          <cell r="E10841">
            <v>0</v>
          </cell>
          <cell r="F10841">
            <v>493.82</v>
          </cell>
        </row>
        <row r="10842">
          <cell r="A10842" t="str">
            <v>460618</v>
          </cell>
          <cell r="B10842" t="str">
            <v>Motobomba de coleta individual</v>
          </cell>
          <cell r="C10842" t="str">
            <v>ud</v>
          </cell>
          <cell r="D10842">
            <v>246.92</v>
          </cell>
          <cell r="E10842">
            <v>0</v>
          </cell>
          <cell r="F10842">
            <v>246.92</v>
          </cell>
        </row>
        <row r="10843">
          <cell r="A10843" t="str">
            <v>460619</v>
          </cell>
          <cell r="B10843" t="str">
            <v>Motobombas de coleta (1+R)</v>
          </cell>
          <cell r="C10843" t="str">
            <v>ud</v>
          </cell>
          <cell r="D10843">
            <v>432.1</v>
          </cell>
          <cell r="E10843">
            <v>0</v>
          </cell>
          <cell r="F10843">
            <v>432.1</v>
          </cell>
        </row>
        <row r="10844">
          <cell r="A10844" t="str">
            <v>460620</v>
          </cell>
          <cell r="B10844" t="str">
            <v>Compressores (1+R)</v>
          </cell>
          <cell r="C10844" t="str">
            <v>ud</v>
          </cell>
          <cell r="D10844">
            <v>432.1</v>
          </cell>
          <cell r="E10844">
            <v>0</v>
          </cell>
          <cell r="F10844">
            <v>432.1</v>
          </cell>
        </row>
        <row r="10845">
          <cell r="A10845" t="str">
            <v>460621</v>
          </cell>
          <cell r="B10845" t="str">
            <v>Operações mínimas do CP</v>
          </cell>
          <cell r="C10845" t="str">
            <v>ud</v>
          </cell>
          <cell r="D10845">
            <v>246.92</v>
          </cell>
          <cell r="E10845">
            <v>0</v>
          </cell>
          <cell r="F10845">
            <v>246.92</v>
          </cell>
        </row>
        <row r="10846">
          <cell r="A10846" t="str">
            <v>4607</v>
          </cell>
          <cell r="B10846" t="str">
            <v>ALINHAMENTO DAS ANTENAS, TESTES E AJUSTES DO RÁDIO ENLACE</v>
          </cell>
          <cell r="C10846">
            <v>0</v>
          </cell>
          <cell r="D10846">
            <v>0</v>
          </cell>
          <cell r="E10846">
            <v>0</v>
          </cell>
          <cell r="F10846">
            <v>0</v>
          </cell>
        </row>
        <row r="10847">
          <cell r="A10847" t="str">
            <v>460701</v>
          </cell>
          <cell r="B10847" t="str">
            <v>Alinhamento das antenas, testes e ajustes do enlace de rádio</v>
          </cell>
          <cell r="C10847" t="str">
            <v>ud</v>
          </cell>
          <cell r="D10847">
            <v>1008.5</v>
          </cell>
          <cell r="E10847">
            <v>0</v>
          </cell>
          <cell r="F10847">
            <v>1008.5</v>
          </cell>
        </row>
        <row r="10848">
          <cell r="A10848" t="str">
            <v>4608</v>
          </cell>
          <cell r="B10848" t="str">
            <v>TREINAMENTO DO SISTEMA DE AUTOMAÇÃO INDUSTRIAL IMPLANTADO</v>
          </cell>
        </row>
        <row r="10849">
          <cell r="A10849" t="str">
            <v>460801</v>
          </cell>
          <cell r="B10849" t="str">
            <v>Treinamento de equipamento/instrumento de automação industrial com complexidade baixa</v>
          </cell>
          <cell r="C10849" t="str">
            <v>ud</v>
          </cell>
          <cell r="D10849">
            <v>41.16</v>
          </cell>
          <cell r="E10849">
            <v>0</v>
          </cell>
          <cell r="F10849">
            <v>41.16</v>
          </cell>
        </row>
        <row r="10850">
          <cell r="A10850" t="str">
            <v>460802</v>
          </cell>
          <cell r="B10850" t="str">
            <v>Treinamento de equipamento/instrumento de automação industrial com complexidade média</v>
          </cell>
          <cell r="C10850" t="str">
            <v>ud</v>
          </cell>
          <cell r="D10850">
            <v>82.3</v>
          </cell>
          <cell r="E10850">
            <v>0</v>
          </cell>
          <cell r="F10850">
            <v>82.3</v>
          </cell>
        </row>
        <row r="10851">
          <cell r="A10851" t="str">
            <v>460803</v>
          </cell>
          <cell r="B10851" t="str">
            <v>Treinamento de equipamento/instrumento de automação industrial com complexidade alta</v>
          </cell>
          <cell r="C10851" t="str">
            <v>ud</v>
          </cell>
          <cell r="D10851">
            <v>164.6</v>
          </cell>
          <cell r="E10851">
            <v>0</v>
          </cell>
          <cell r="F10851">
            <v>164.6</v>
          </cell>
        </row>
        <row r="10852">
          <cell r="A10852" t="str">
            <v>460804</v>
          </cell>
          <cell r="B10852" t="str">
            <v>Treinamento de operação e manutenção de unidades/sistemas de automação industrial com complexidade baixa</v>
          </cell>
          <cell r="C10852" t="str">
            <v>ud</v>
          </cell>
          <cell r="D10852">
            <v>164.6</v>
          </cell>
          <cell r="E10852">
            <v>0</v>
          </cell>
          <cell r="F10852">
            <v>164.6</v>
          </cell>
        </row>
        <row r="10853">
          <cell r="A10853" t="str">
            <v>460805</v>
          </cell>
          <cell r="B10853" t="str">
            <v>Treinamento de operação e manutenção de unidades/sistemas de automação industrial com complexidade média</v>
          </cell>
          <cell r="C10853" t="str">
            <v>ud</v>
          </cell>
          <cell r="D10853">
            <v>329.22</v>
          </cell>
          <cell r="E10853">
            <v>0</v>
          </cell>
          <cell r="F10853">
            <v>329.22</v>
          </cell>
        </row>
        <row r="10854">
          <cell r="A10854" t="str">
            <v>460806</v>
          </cell>
          <cell r="B10854" t="str">
            <v>Treinamento de operação e manutenção de unidades/sistemas de automação industrial com complexidade alta</v>
          </cell>
          <cell r="C10854" t="str">
            <v>ud</v>
          </cell>
          <cell r="D10854">
            <v>658.44</v>
          </cell>
          <cell r="E10854">
            <v>0</v>
          </cell>
          <cell r="F10854">
            <v>658.44</v>
          </cell>
        </row>
        <row r="10855">
          <cell r="A10855" t="str">
            <v>4609</v>
          </cell>
          <cell r="B10855" t="str">
            <v>ASSISTÊNCIA TÉCNICA NO SISTEMA DE AUTOMAÇÃO INDUSTRIAL IMPLANTADO</v>
          </cell>
          <cell r="C10855">
            <v>0</v>
          </cell>
          <cell r="D10855">
            <v>0</v>
          </cell>
          <cell r="E10855">
            <v>0</v>
          </cell>
          <cell r="F10855">
            <v>0</v>
          </cell>
        </row>
        <row r="10856">
          <cell r="A10856" t="str">
            <v>460901</v>
          </cell>
          <cell r="B10856" t="str">
            <v>Assistência técnica no sistema de automação industrial implantado</v>
          </cell>
          <cell r="C10856" t="str">
            <v>ud</v>
          </cell>
          <cell r="D10856">
            <v>9515.89</v>
          </cell>
          <cell r="E10856">
            <v>456.84</v>
          </cell>
          <cell r="F10856">
            <v>9972.73</v>
          </cell>
        </row>
        <row r="10857">
          <cell r="A10857" t="str">
            <v>50</v>
          </cell>
          <cell r="B10857" t="str">
            <v>POÇOS PROFUNDOS</v>
          </cell>
        </row>
        <row r="10858">
          <cell r="A10858" t="str">
            <v>5001</v>
          </cell>
          <cell r="B10858" t="str">
            <v>CANTEIRO DE OBRAS</v>
          </cell>
          <cell r="C10858">
            <v>0</v>
          </cell>
          <cell r="D10858">
            <v>0</v>
          </cell>
          <cell r="E10858">
            <v>0</v>
          </cell>
          <cell r="F10858">
            <v>0</v>
          </cell>
        </row>
        <row r="10859">
          <cell r="A10859" t="str">
            <v>500101</v>
          </cell>
          <cell r="B10859" t="str">
            <v>Transporte e instalação - Percussão</v>
          </cell>
          <cell r="C10859" t="str">
            <v>ud</v>
          </cell>
          <cell r="D10859">
            <v>2444.4</v>
          </cell>
          <cell r="E10859">
            <v>0</v>
          </cell>
          <cell r="F10859">
            <v>2444.4</v>
          </cell>
        </row>
        <row r="10860">
          <cell r="A10860" t="str">
            <v>500102</v>
          </cell>
          <cell r="B10860" t="str">
            <v>Transporte e instalação - Rotativa (prof. até 400 m)</v>
          </cell>
          <cell r="C10860" t="str">
            <v>ud</v>
          </cell>
          <cell r="D10860">
            <v>6526.84</v>
          </cell>
          <cell r="E10860">
            <v>0</v>
          </cell>
          <cell r="F10860">
            <v>6526.84</v>
          </cell>
        </row>
        <row r="10861">
          <cell r="A10861" t="str">
            <v>500103</v>
          </cell>
          <cell r="B10861" t="str">
            <v>Transporte e instalação - Rotativa (prof. até 500 m)</v>
          </cell>
          <cell r="C10861" t="str">
            <v>ud</v>
          </cell>
          <cell r="D10861">
            <v>13182.78</v>
          </cell>
          <cell r="E10861">
            <v>0</v>
          </cell>
          <cell r="F10861">
            <v>13182.78</v>
          </cell>
        </row>
        <row r="10862">
          <cell r="A10862" t="str">
            <v>500104</v>
          </cell>
          <cell r="B10862" t="str">
            <v>Transporte e instalação - Rotopneumática (prof. até 400 m)</v>
          </cell>
          <cell r="C10862" t="str">
            <v>ud</v>
          </cell>
          <cell r="D10862">
            <v>5773.14</v>
          </cell>
          <cell r="E10862">
            <v>0</v>
          </cell>
          <cell r="F10862">
            <v>5773.14</v>
          </cell>
        </row>
        <row r="10863">
          <cell r="A10863" t="str">
            <v>500105</v>
          </cell>
          <cell r="B10863" t="str">
            <v>Transporte e instalação - Rotopneumática (prof. até 500 m)</v>
          </cell>
          <cell r="C10863" t="str">
            <v>ud</v>
          </cell>
          <cell r="D10863">
            <v>10401.52</v>
          </cell>
          <cell r="E10863">
            <v>0</v>
          </cell>
          <cell r="F10863">
            <v>10401.52</v>
          </cell>
        </row>
        <row r="10864">
          <cell r="A10864" t="str">
            <v>500106</v>
          </cell>
          <cell r="B10864" t="str">
            <v>Transporte e instalação - Teste de vazão com bomba até 100 HP</v>
          </cell>
          <cell r="C10864" t="str">
            <v>ud</v>
          </cell>
          <cell r="D10864">
            <v>1896.66</v>
          </cell>
          <cell r="E10864">
            <v>0</v>
          </cell>
          <cell r="F10864">
            <v>1896.66</v>
          </cell>
        </row>
        <row r="10865">
          <cell r="A10865" t="str">
            <v>500107</v>
          </cell>
          <cell r="B10865" t="str">
            <v>Transporte e instalação - Teste de vazão com bomba acima de 101 HP</v>
          </cell>
          <cell r="C10865" t="str">
            <v>ud</v>
          </cell>
          <cell r="D10865">
            <v>2827.08</v>
          </cell>
          <cell r="E10865">
            <v>0</v>
          </cell>
          <cell r="F10865">
            <v>2827.08</v>
          </cell>
        </row>
        <row r="10866">
          <cell r="A10866" t="str">
            <v>500108</v>
          </cell>
          <cell r="B10866" t="str">
            <v>Execução de base em concreto armado fck 25 MPa com 20,30 x 5,50 x 0,20 m</v>
          </cell>
          <cell r="C10866" t="str">
            <v>ud</v>
          </cell>
          <cell r="D10866">
            <v>4640.6899999999996</v>
          </cell>
          <cell r="E10866">
            <v>8316.16</v>
          </cell>
          <cell r="F10866">
            <v>12956.85</v>
          </cell>
        </row>
        <row r="10867">
          <cell r="A10867" t="str">
            <v>500109</v>
          </cell>
          <cell r="B10867" t="str">
            <v>Mobilização global de equipamentos (rotativa e teste) e transporte de materiais para poços com câmara de bombeamento em 4"</v>
          </cell>
          <cell r="C10867" t="str">
            <v>ud</v>
          </cell>
          <cell r="D10867">
            <v>2604.2399999999998</v>
          </cell>
          <cell r="E10867">
            <v>0</v>
          </cell>
          <cell r="F10867">
            <v>2604.2399999999998</v>
          </cell>
        </row>
        <row r="10868">
          <cell r="A10868" t="str">
            <v>500110</v>
          </cell>
          <cell r="B10868" t="str">
            <v>Mobilização global de equipamentos (rotopneumática e teste) e transporte de materiais para poços com câmara de bombeamento em 6"</v>
          </cell>
          <cell r="C10868" t="str">
            <v>ud</v>
          </cell>
          <cell r="D10868">
            <v>2105.37</v>
          </cell>
          <cell r="E10868">
            <v>0</v>
          </cell>
          <cell r="F10868">
            <v>2105.37</v>
          </cell>
        </row>
        <row r="10869">
          <cell r="A10869" t="str">
            <v>500150</v>
          </cell>
          <cell r="B10869" t="str">
            <v>Administração Local da Obra (ALO)</v>
          </cell>
          <cell r="C10869" t="str">
            <v>ud</v>
          </cell>
          <cell r="D10869">
            <v>0</v>
          </cell>
          <cell r="E10869">
            <v>0</v>
          </cell>
          <cell r="F10869">
            <v>0</v>
          </cell>
        </row>
        <row r="10870">
          <cell r="A10870" t="str">
            <v>5002</v>
          </cell>
          <cell r="B10870" t="str">
            <v>TRANSPORTE DE MATERIAIS</v>
          </cell>
          <cell r="C10870">
            <v>0</v>
          </cell>
          <cell r="D10870">
            <v>0</v>
          </cell>
          <cell r="E10870">
            <v>0</v>
          </cell>
          <cell r="F10870">
            <v>0</v>
          </cell>
        </row>
        <row r="10871">
          <cell r="A10871" t="str">
            <v>500201</v>
          </cell>
          <cell r="B10871" t="str">
            <v>Carga e descarga</v>
          </cell>
          <cell r="C10871" t="str">
            <v>t</v>
          </cell>
          <cell r="D10871">
            <v>27.85</v>
          </cell>
          <cell r="E10871">
            <v>0</v>
          </cell>
          <cell r="F10871">
            <v>27.85</v>
          </cell>
        </row>
        <row r="10872">
          <cell r="A10872" t="str">
            <v>500202</v>
          </cell>
          <cell r="B10872" t="str">
            <v>Transporte</v>
          </cell>
          <cell r="C10872" t="str">
            <v>t x km</v>
          </cell>
          <cell r="D10872">
            <v>0.37</v>
          </cell>
          <cell r="E10872">
            <v>0</v>
          </cell>
          <cell r="F10872">
            <v>0.37</v>
          </cell>
        </row>
        <row r="10873">
          <cell r="A10873" t="str">
            <v>5004</v>
          </cell>
          <cell r="B10873" t="str">
            <v>ALARGAMENTO - ROTOPNEUMÁTICA (ATÉ 400 M) - ROCHAS SEDIMENTARES CONSOLIDADAS - RSC</v>
          </cell>
          <cell r="C10873">
            <v>0</v>
          </cell>
          <cell r="D10873">
            <v>0</v>
          </cell>
          <cell r="E10873">
            <v>0</v>
          </cell>
          <cell r="F10873">
            <v>0</v>
          </cell>
          <cell r="G10873">
            <v>0</v>
          </cell>
        </row>
        <row r="10874">
          <cell r="A10874" t="str">
            <v>500402</v>
          </cell>
          <cell r="B10874" t="str">
            <v>6" para 10"</v>
          </cell>
          <cell r="C10874" t="str">
            <v>m</v>
          </cell>
          <cell r="D10874">
            <v>115.55</v>
          </cell>
          <cell r="E10874">
            <v>0</v>
          </cell>
          <cell r="F10874">
            <v>115.55</v>
          </cell>
        </row>
        <row r="10875">
          <cell r="A10875" t="str">
            <v>500404</v>
          </cell>
          <cell r="B10875" t="str">
            <v>8" para 12"</v>
          </cell>
          <cell r="C10875" t="str">
            <v>m</v>
          </cell>
          <cell r="D10875">
            <v>144.11000000000001</v>
          </cell>
          <cell r="E10875">
            <v>0</v>
          </cell>
          <cell r="F10875">
            <v>144.11000000000001</v>
          </cell>
        </row>
        <row r="10876">
          <cell r="A10876" t="str">
            <v>5005</v>
          </cell>
          <cell r="B10876" t="str">
            <v>ALARGAMENTO - ROTOPNEUMÁTICA (ATÉ 400 M) - ROCHAS ÍGNEAS - RI</v>
          </cell>
          <cell r="C10876">
            <v>0</v>
          </cell>
          <cell r="D10876">
            <v>0</v>
          </cell>
          <cell r="E10876">
            <v>0</v>
          </cell>
          <cell r="F10876">
            <v>0</v>
          </cell>
        </row>
        <row r="10877">
          <cell r="A10877" t="str">
            <v>500502</v>
          </cell>
          <cell r="B10877" t="str">
            <v>6" para 10"</v>
          </cell>
          <cell r="C10877" t="str">
            <v>m</v>
          </cell>
          <cell r="D10877">
            <v>188.9</v>
          </cell>
          <cell r="E10877">
            <v>0</v>
          </cell>
          <cell r="F10877">
            <v>188.9</v>
          </cell>
        </row>
        <row r="10878">
          <cell r="A10878" t="str">
            <v>500504</v>
          </cell>
          <cell r="B10878" t="str">
            <v>8" para 12"</v>
          </cell>
          <cell r="C10878" t="str">
            <v>m</v>
          </cell>
          <cell r="D10878">
            <v>264</v>
          </cell>
          <cell r="E10878">
            <v>0</v>
          </cell>
          <cell r="F10878">
            <v>264</v>
          </cell>
        </row>
        <row r="10879">
          <cell r="A10879" t="str">
            <v>5006</v>
          </cell>
          <cell r="B10879" t="str">
            <v>PERFURAÇÃO ROTATIVA (ATÉ 400 M)- ROCHAS SEDIMENTARES CONSOLIDADAS - RSC</v>
          </cell>
          <cell r="C10879">
            <v>0</v>
          </cell>
          <cell r="D10879">
            <v>0</v>
          </cell>
          <cell r="E10879">
            <v>0</v>
          </cell>
          <cell r="F10879">
            <v>0</v>
          </cell>
        </row>
        <row r="10880">
          <cell r="A10880" t="str">
            <v>500602</v>
          </cell>
          <cell r="B10880" t="str">
            <v>DN 152 (6")</v>
          </cell>
          <cell r="C10880" t="str">
            <v>m</v>
          </cell>
          <cell r="D10880">
            <v>115.45</v>
          </cell>
          <cell r="E10880">
            <v>0</v>
          </cell>
          <cell r="F10880">
            <v>115.45</v>
          </cell>
        </row>
        <row r="10881">
          <cell r="A10881" t="str">
            <v>500604</v>
          </cell>
          <cell r="B10881" t="str">
            <v>DN 216 (8 1/2")</v>
          </cell>
          <cell r="C10881" t="str">
            <v>m</v>
          </cell>
          <cell r="D10881">
            <v>145.27000000000001</v>
          </cell>
          <cell r="E10881">
            <v>0</v>
          </cell>
          <cell r="F10881">
            <v>145.27000000000001</v>
          </cell>
        </row>
        <row r="10882">
          <cell r="A10882" t="str">
            <v>500607</v>
          </cell>
          <cell r="B10882" t="str">
            <v>DN 251 (9 7/8")</v>
          </cell>
          <cell r="C10882" t="str">
            <v>m</v>
          </cell>
          <cell r="D10882">
            <v>188.28</v>
          </cell>
          <cell r="E10882">
            <v>0</v>
          </cell>
          <cell r="F10882">
            <v>188.28</v>
          </cell>
        </row>
        <row r="10883">
          <cell r="A10883" t="str">
            <v>500610</v>
          </cell>
          <cell r="B10883" t="str">
            <v>DN 311 (12 1/4")</v>
          </cell>
          <cell r="C10883" t="str">
            <v>m</v>
          </cell>
          <cell r="D10883">
            <v>234.76</v>
          </cell>
          <cell r="E10883">
            <v>0</v>
          </cell>
          <cell r="F10883">
            <v>234.76</v>
          </cell>
        </row>
        <row r="10884">
          <cell r="A10884" t="str">
            <v>500612</v>
          </cell>
          <cell r="B10884" t="str">
            <v>DN 375 (14 3/4")</v>
          </cell>
          <cell r="C10884" t="str">
            <v>m</v>
          </cell>
          <cell r="D10884">
            <v>263.44</v>
          </cell>
          <cell r="E10884">
            <v>0</v>
          </cell>
          <cell r="F10884">
            <v>263.44</v>
          </cell>
        </row>
        <row r="10885">
          <cell r="A10885" t="str">
            <v>500615</v>
          </cell>
          <cell r="B10885" t="str">
            <v>DN 444 (17 1/2")</v>
          </cell>
          <cell r="C10885" t="str">
            <v>m</v>
          </cell>
          <cell r="D10885">
            <v>306.43</v>
          </cell>
          <cell r="E10885">
            <v>0</v>
          </cell>
          <cell r="F10885">
            <v>306.43</v>
          </cell>
        </row>
        <row r="10886">
          <cell r="A10886" t="str">
            <v>500617</v>
          </cell>
          <cell r="B10886" t="str">
            <v>DN 560 (22")</v>
          </cell>
          <cell r="C10886" t="str">
            <v>m</v>
          </cell>
          <cell r="D10886">
            <v>0</v>
          </cell>
          <cell r="E10886">
            <v>0</v>
          </cell>
          <cell r="F10886">
            <v>0</v>
          </cell>
        </row>
        <row r="10887">
          <cell r="A10887" t="str">
            <v>5007</v>
          </cell>
          <cell r="B10887" t="str">
            <v>PERFURAÇÃO ROTATIVA (ATÉ 500 M)- ROCHAS SEDIMENTARES CONSOLIDADAS - RSC</v>
          </cell>
          <cell r="C10887">
            <v>0</v>
          </cell>
          <cell r="D10887">
            <v>0</v>
          </cell>
          <cell r="E10887">
            <v>0</v>
          </cell>
          <cell r="F10887">
            <v>0</v>
          </cell>
        </row>
        <row r="10888">
          <cell r="A10888" t="str">
            <v>500702</v>
          </cell>
          <cell r="B10888" t="str">
            <v>DN 152 (6")</v>
          </cell>
          <cell r="C10888" t="str">
            <v>m</v>
          </cell>
          <cell r="D10888">
            <v>165.89</v>
          </cell>
          <cell r="E10888">
            <v>0</v>
          </cell>
          <cell r="F10888">
            <v>165.89</v>
          </cell>
        </row>
        <row r="10889">
          <cell r="A10889" t="str">
            <v>500704</v>
          </cell>
          <cell r="B10889" t="str">
            <v>DN 216 (8 1/2")</v>
          </cell>
          <cell r="C10889" t="str">
            <v>m</v>
          </cell>
          <cell r="D10889">
            <v>208.34</v>
          </cell>
          <cell r="E10889">
            <v>0</v>
          </cell>
          <cell r="F10889">
            <v>208.34</v>
          </cell>
        </row>
        <row r="10890">
          <cell r="A10890" t="str">
            <v>500707</v>
          </cell>
          <cell r="B10890" t="str">
            <v>DN 251 (9 7/8")</v>
          </cell>
          <cell r="C10890" t="str">
            <v>m</v>
          </cell>
          <cell r="D10890">
            <v>270.25</v>
          </cell>
          <cell r="E10890">
            <v>0</v>
          </cell>
          <cell r="F10890">
            <v>270.25</v>
          </cell>
        </row>
        <row r="10891">
          <cell r="A10891" t="str">
            <v>500710</v>
          </cell>
          <cell r="B10891" t="str">
            <v>DN 311 (12 1/4")</v>
          </cell>
          <cell r="C10891" t="str">
            <v>m</v>
          </cell>
          <cell r="D10891">
            <v>335.66</v>
          </cell>
          <cell r="E10891">
            <v>0</v>
          </cell>
          <cell r="F10891">
            <v>335.66</v>
          </cell>
        </row>
        <row r="10892">
          <cell r="A10892" t="str">
            <v>500712</v>
          </cell>
          <cell r="B10892" t="str">
            <v>DN 375 (14 3/4")</v>
          </cell>
          <cell r="C10892" t="str">
            <v>m</v>
          </cell>
          <cell r="D10892">
            <v>376.95</v>
          </cell>
          <cell r="E10892">
            <v>0</v>
          </cell>
          <cell r="F10892">
            <v>376.95</v>
          </cell>
        </row>
        <row r="10893">
          <cell r="A10893" t="str">
            <v>500715</v>
          </cell>
          <cell r="B10893" t="str">
            <v>DN 444 (17 1/2")</v>
          </cell>
          <cell r="C10893" t="str">
            <v>m</v>
          </cell>
          <cell r="D10893">
            <v>438.85</v>
          </cell>
          <cell r="E10893">
            <v>0</v>
          </cell>
          <cell r="F10893">
            <v>438.85</v>
          </cell>
        </row>
        <row r="10894">
          <cell r="A10894" t="str">
            <v>5008</v>
          </cell>
          <cell r="B10894" t="str">
            <v>PERFURAÇÃO ROTATIVA (ATÉ 400 M)- ROCHAS ÍGNEAS E METAMORFICAS - RI / RM</v>
          </cell>
          <cell r="C10894">
            <v>0</v>
          </cell>
          <cell r="D10894">
            <v>0</v>
          </cell>
          <cell r="E10894">
            <v>0</v>
          </cell>
          <cell r="F10894">
            <v>0</v>
          </cell>
        </row>
        <row r="10895">
          <cell r="A10895" t="str">
            <v>500802</v>
          </cell>
          <cell r="B10895" t="str">
            <v>DN 152 (6")</v>
          </cell>
          <cell r="C10895" t="str">
            <v>m</v>
          </cell>
          <cell r="D10895">
            <v>231.93</v>
          </cell>
          <cell r="E10895">
            <v>0</v>
          </cell>
          <cell r="F10895">
            <v>231.93</v>
          </cell>
        </row>
        <row r="10896">
          <cell r="A10896" t="str">
            <v>500804</v>
          </cell>
          <cell r="B10896" t="str">
            <v>DN 216 (8 1/2")</v>
          </cell>
          <cell r="C10896" t="str">
            <v>m</v>
          </cell>
          <cell r="D10896">
            <v>292.13</v>
          </cell>
          <cell r="E10896">
            <v>0</v>
          </cell>
          <cell r="F10896">
            <v>292.13</v>
          </cell>
        </row>
        <row r="10897">
          <cell r="A10897" t="str">
            <v>500807</v>
          </cell>
          <cell r="B10897" t="str">
            <v>DN 251 (9 7/8")</v>
          </cell>
          <cell r="C10897" t="str">
            <v>m</v>
          </cell>
          <cell r="D10897">
            <v>378.44</v>
          </cell>
          <cell r="E10897">
            <v>0</v>
          </cell>
          <cell r="F10897">
            <v>378.44</v>
          </cell>
        </row>
        <row r="10898">
          <cell r="A10898" t="str">
            <v>500810</v>
          </cell>
          <cell r="B10898" t="str">
            <v>DN 311 (12 1/4")</v>
          </cell>
          <cell r="C10898" t="str">
            <v>m</v>
          </cell>
          <cell r="D10898">
            <v>472.7</v>
          </cell>
          <cell r="E10898">
            <v>0</v>
          </cell>
          <cell r="F10898">
            <v>472.7</v>
          </cell>
        </row>
        <row r="10899">
          <cell r="A10899" t="str">
            <v>500812</v>
          </cell>
          <cell r="B10899" t="str">
            <v>DN 375 (14 3/4")</v>
          </cell>
          <cell r="C10899" t="str">
            <v>m</v>
          </cell>
          <cell r="D10899">
            <v>530.24</v>
          </cell>
          <cell r="E10899">
            <v>0</v>
          </cell>
          <cell r="F10899">
            <v>530.24</v>
          </cell>
        </row>
        <row r="10900">
          <cell r="A10900" t="str">
            <v>500815</v>
          </cell>
          <cell r="B10900" t="str">
            <v>DN 444 (17 1/2")</v>
          </cell>
          <cell r="C10900" t="str">
            <v>m</v>
          </cell>
          <cell r="D10900">
            <v>616.54999999999995</v>
          </cell>
          <cell r="E10900">
            <v>0</v>
          </cell>
          <cell r="F10900">
            <v>616.54999999999995</v>
          </cell>
        </row>
        <row r="10901">
          <cell r="A10901" t="str">
            <v>5009</v>
          </cell>
          <cell r="B10901" t="str">
            <v>PERFURAÇÃO ROTATIVA (ATÉ 500 M)- ROCHAS ÍGNEAS E METAMORFICAS RI / RM</v>
          </cell>
          <cell r="C10901">
            <v>0</v>
          </cell>
          <cell r="D10901">
            <v>0</v>
          </cell>
          <cell r="E10901">
            <v>0</v>
          </cell>
          <cell r="F10901">
            <v>0</v>
          </cell>
        </row>
        <row r="10902">
          <cell r="A10902" t="str">
            <v>500902</v>
          </cell>
          <cell r="B10902" t="str">
            <v>DN 152 (6")</v>
          </cell>
          <cell r="C10902" t="str">
            <v>m</v>
          </cell>
          <cell r="D10902">
            <v>818.83</v>
          </cell>
          <cell r="E10902">
            <v>0</v>
          </cell>
          <cell r="F10902">
            <v>818.83</v>
          </cell>
        </row>
        <row r="10903">
          <cell r="A10903" t="str">
            <v>500904</v>
          </cell>
          <cell r="B10903" t="str">
            <v>DN 216 (8 1/2")</v>
          </cell>
          <cell r="C10903" t="str">
            <v>m</v>
          </cell>
          <cell r="D10903">
            <v>1228.25</v>
          </cell>
          <cell r="E10903">
            <v>0</v>
          </cell>
          <cell r="F10903">
            <v>1228.25</v>
          </cell>
        </row>
        <row r="10904">
          <cell r="A10904" t="str">
            <v>500907</v>
          </cell>
          <cell r="B10904" t="str">
            <v>DN 251 (9 7/8")</v>
          </cell>
          <cell r="C10904" t="str">
            <v>m</v>
          </cell>
          <cell r="D10904">
            <v>1433.41</v>
          </cell>
          <cell r="E10904">
            <v>0</v>
          </cell>
          <cell r="F10904">
            <v>1433.41</v>
          </cell>
        </row>
        <row r="10905">
          <cell r="A10905" t="str">
            <v>500910</v>
          </cell>
          <cell r="B10905" t="str">
            <v>DN 311 (12 1/4")</v>
          </cell>
          <cell r="C10905" t="str">
            <v>m</v>
          </cell>
          <cell r="D10905">
            <v>1646.5</v>
          </cell>
          <cell r="E10905">
            <v>0</v>
          </cell>
          <cell r="F10905">
            <v>1646.5</v>
          </cell>
        </row>
        <row r="10906">
          <cell r="A10906" t="str">
            <v>500912</v>
          </cell>
          <cell r="B10906" t="str">
            <v>DN 375 (14 3/4")</v>
          </cell>
          <cell r="C10906" t="str">
            <v>m</v>
          </cell>
          <cell r="D10906">
            <v>1875.29</v>
          </cell>
          <cell r="E10906">
            <v>0</v>
          </cell>
          <cell r="F10906">
            <v>1875.29</v>
          </cell>
        </row>
        <row r="10907">
          <cell r="A10907" t="str">
            <v>500915</v>
          </cell>
          <cell r="B10907" t="str">
            <v>DN 444 (17 1/2")</v>
          </cell>
          <cell r="C10907" t="str">
            <v>m</v>
          </cell>
          <cell r="D10907">
            <v>2055.91</v>
          </cell>
          <cell r="E10907">
            <v>0</v>
          </cell>
          <cell r="F10907">
            <v>2055.91</v>
          </cell>
        </row>
        <row r="10908">
          <cell r="A10908" t="str">
            <v>5010</v>
          </cell>
          <cell r="B10908" t="str">
            <v>PERFURAÇÃO ROTOPNEUMÁTICA (ATÉ 400 M)- ROCHAS SEDIMENTARES CONSOLIDADAS - RSC</v>
          </cell>
          <cell r="C10908">
            <v>0</v>
          </cell>
          <cell r="D10908">
            <v>0</v>
          </cell>
          <cell r="E10908">
            <v>0</v>
          </cell>
          <cell r="F10908">
            <v>0</v>
          </cell>
        </row>
        <row r="10909">
          <cell r="A10909" t="str">
            <v>501001</v>
          </cell>
          <cell r="B10909" t="str">
            <v>DN 100 (4")</v>
          </cell>
          <cell r="C10909" t="str">
            <v>m</v>
          </cell>
          <cell r="D10909">
            <v>76.48</v>
          </cell>
          <cell r="E10909">
            <v>0</v>
          </cell>
          <cell r="F10909">
            <v>76.48</v>
          </cell>
        </row>
        <row r="10910">
          <cell r="A10910" t="str">
            <v>501002</v>
          </cell>
          <cell r="B10910" t="str">
            <v>DN 152 (6")</v>
          </cell>
          <cell r="C10910" t="str">
            <v>m</v>
          </cell>
          <cell r="D10910">
            <v>86.72</v>
          </cell>
          <cell r="E10910">
            <v>0</v>
          </cell>
          <cell r="F10910">
            <v>86.72</v>
          </cell>
        </row>
        <row r="10911">
          <cell r="A10911" t="str">
            <v>501003</v>
          </cell>
          <cell r="B10911" t="str">
            <v>DN 203 (8")</v>
          </cell>
          <cell r="C10911" t="str">
            <v>m</v>
          </cell>
          <cell r="D10911">
            <v>101.43</v>
          </cell>
          <cell r="E10911">
            <v>0</v>
          </cell>
          <cell r="F10911">
            <v>101.43</v>
          </cell>
        </row>
        <row r="10912">
          <cell r="A10912" t="str">
            <v>501008</v>
          </cell>
          <cell r="B10912" t="str">
            <v>DN 254 (10")</v>
          </cell>
          <cell r="C10912" t="str">
            <v>m</v>
          </cell>
          <cell r="D10912">
            <v>128.38999999999999</v>
          </cell>
          <cell r="E10912">
            <v>0</v>
          </cell>
          <cell r="F10912">
            <v>128.38999999999999</v>
          </cell>
        </row>
        <row r="10913">
          <cell r="A10913" t="str">
            <v>501009</v>
          </cell>
          <cell r="B10913" t="str">
            <v>DN 305 (12")</v>
          </cell>
          <cell r="C10913" t="str">
            <v>m</v>
          </cell>
          <cell r="D10913">
            <v>160.12</v>
          </cell>
          <cell r="E10913">
            <v>0</v>
          </cell>
          <cell r="F10913">
            <v>160.12</v>
          </cell>
        </row>
        <row r="10914">
          <cell r="A10914" t="str">
            <v>501011</v>
          </cell>
          <cell r="B10914" t="str">
            <v>DN 356 (14")</v>
          </cell>
          <cell r="C10914" t="str">
            <v>m</v>
          </cell>
          <cell r="D10914">
            <v>190.43</v>
          </cell>
          <cell r="E10914">
            <v>0</v>
          </cell>
          <cell r="F10914">
            <v>190.43</v>
          </cell>
        </row>
        <row r="10915">
          <cell r="A10915" t="str">
            <v>501013</v>
          </cell>
          <cell r="B10915" t="str">
            <v>DN 381 (15")</v>
          </cell>
          <cell r="C10915" t="str">
            <v>m</v>
          </cell>
          <cell r="D10915">
            <v>222.41</v>
          </cell>
          <cell r="E10915">
            <v>0</v>
          </cell>
          <cell r="F10915">
            <v>222.41</v>
          </cell>
        </row>
        <row r="10916">
          <cell r="A10916" t="str">
            <v>501014</v>
          </cell>
          <cell r="B10916" t="str">
            <v>DN 406 (16")</v>
          </cell>
          <cell r="C10916" t="str">
            <v>m</v>
          </cell>
          <cell r="D10916">
            <v>243.98</v>
          </cell>
          <cell r="E10916">
            <v>0</v>
          </cell>
          <cell r="F10916">
            <v>243.98</v>
          </cell>
        </row>
        <row r="10917">
          <cell r="A10917" t="str">
            <v>5011</v>
          </cell>
          <cell r="B10917" t="str">
            <v>PERFURAÇÃO ROTOPNEUMÁTICA (ATÉ 500 M)- ROCHAS SEDIMENTARES CONSOLIDADAS - RSC</v>
          </cell>
          <cell r="C10917">
            <v>0</v>
          </cell>
          <cell r="D10917">
            <v>0</v>
          </cell>
          <cell r="E10917">
            <v>0</v>
          </cell>
          <cell r="F10917">
            <v>0</v>
          </cell>
        </row>
        <row r="10918">
          <cell r="A10918" t="str">
            <v>501101</v>
          </cell>
          <cell r="B10918" t="str">
            <v>DN 100 (4")</v>
          </cell>
          <cell r="C10918" t="str">
            <v>m</v>
          </cell>
          <cell r="D10918">
            <v>192.97</v>
          </cell>
          <cell r="E10918">
            <v>0</v>
          </cell>
          <cell r="F10918">
            <v>192.97</v>
          </cell>
        </row>
        <row r="10919">
          <cell r="A10919" t="str">
            <v>501102</v>
          </cell>
          <cell r="B10919" t="str">
            <v>DN 152 (6")</v>
          </cell>
          <cell r="C10919" t="str">
            <v>m</v>
          </cell>
          <cell r="D10919">
            <v>216.73</v>
          </cell>
          <cell r="E10919">
            <v>0</v>
          </cell>
          <cell r="F10919">
            <v>216.73</v>
          </cell>
        </row>
        <row r="10920">
          <cell r="A10920" t="str">
            <v>501103</v>
          </cell>
          <cell r="B10920" t="str">
            <v>DN 203 (8")</v>
          </cell>
          <cell r="C10920" t="str">
            <v>m</v>
          </cell>
          <cell r="D10920">
            <v>253.6</v>
          </cell>
          <cell r="E10920">
            <v>0</v>
          </cell>
          <cell r="F10920">
            <v>253.6</v>
          </cell>
        </row>
        <row r="10921">
          <cell r="A10921" t="str">
            <v>501108</v>
          </cell>
          <cell r="B10921" t="str">
            <v>DN 254 (10")</v>
          </cell>
          <cell r="C10921" t="str">
            <v>m</v>
          </cell>
          <cell r="D10921">
            <v>321.87</v>
          </cell>
          <cell r="E10921">
            <v>0</v>
          </cell>
          <cell r="F10921">
            <v>321.87</v>
          </cell>
        </row>
        <row r="10922">
          <cell r="A10922" t="str">
            <v>501109</v>
          </cell>
          <cell r="B10922" t="str">
            <v>DN 305 (12")</v>
          </cell>
          <cell r="C10922" t="str">
            <v>m</v>
          </cell>
          <cell r="D10922">
            <v>406.43</v>
          </cell>
          <cell r="E10922">
            <v>0</v>
          </cell>
          <cell r="F10922">
            <v>406.43</v>
          </cell>
        </row>
        <row r="10923">
          <cell r="A10923" t="str">
            <v>501111</v>
          </cell>
          <cell r="B10923" t="str">
            <v>DN 356 (14")</v>
          </cell>
          <cell r="C10923" t="str">
            <v>m</v>
          </cell>
          <cell r="D10923">
            <v>489.07</v>
          </cell>
          <cell r="E10923">
            <v>0</v>
          </cell>
          <cell r="F10923">
            <v>489.07</v>
          </cell>
        </row>
        <row r="10924">
          <cell r="A10924" t="str">
            <v>501113</v>
          </cell>
          <cell r="B10924" t="str">
            <v>DN 381 (15")</v>
          </cell>
          <cell r="C10924" t="str">
            <v>m</v>
          </cell>
          <cell r="D10924">
            <v>559.70000000000005</v>
          </cell>
          <cell r="E10924">
            <v>0</v>
          </cell>
          <cell r="F10924">
            <v>559.70000000000005</v>
          </cell>
        </row>
        <row r="10925">
          <cell r="A10925" t="str">
            <v>501114</v>
          </cell>
          <cell r="B10925" t="str">
            <v>DN 406 (16")</v>
          </cell>
          <cell r="C10925" t="str">
            <v>m</v>
          </cell>
          <cell r="D10925">
            <v>585.67999999999995</v>
          </cell>
          <cell r="E10925">
            <v>0</v>
          </cell>
          <cell r="F10925">
            <v>585.67999999999995</v>
          </cell>
        </row>
        <row r="10926">
          <cell r="A10926" t="str">
            <v>5012</v>
          </cell>
          <cell r="B10926" t="str">
            <v>PERFURAÇÃO ROTOPNEUMÁTICA (ATÉ 400 M)- ROCHAS ÍGNEAS E METAMÓRFICAS - RI / RM</v>
          </cell>
          <cell r="C10926">
            <v>0</v>
          </cell>
          <cell r="D10926">
            <v>0</v>
          </cell>
          <cell r="E10926">
            <v>0</v>
          </cell>
          <cell r="F10926">
            <v>0</v>
          </cell>
        </row>
        <row r="10927">
          <cell r="A10927" t="str">
            <v>501201</v>
          </cell>
          <cell r="B10927" t="str">
            <v>DN 100 (4")</v>
          </cell>
          <cell r="C10927" t="str">
            <v>m</v>
          </cell>
          <cell r="D10927">
            <v>130.71</v>
          </cell>
          <cell r="E10927">
            <v>0</v>
          </cell>
          <cell r="F10927">
            <v>130.71</v>
          </cell>
        </row>
        <row r="10928">
          <cell r="A10928" t="str">
            <v>501202</v>
          </cell>
          <cell r="B10928" t="str">
            <v>DN 152 (6")</v>
          </cell>
          <cell r="C10928" t="str">
            <v>m</v>
          </cell>
          <cell r="D10928">
            <v>148.59</v>
          </cell>
          <cell r="E10928">
            <v>0</v>
          </cell>
          <cell r="F10928">
            <v>148.59</v>
          </cell>
        </row>
        <row r="10929">
          <cell r="A10929" t="str">
            <v>501203</v>
          </cell>
          <cell r="B10929" t="str">
            <v>DN 203 (8")</v>
          </cell>
          <cell r="C10929" t="str">
            <v>m</v>
          </cell>
          <cell r="D10929">
            <v>180.77</v>
          </cell>
          <cell r="E10929">
            <v>0</v>
          </cell>
          <cell r="F10929">
            <v>180.77</v>
          </cell>
        </row>
        <row r="10930">
          <cell r="A10930" t="str">
            <v>501208</v>
          </cell>
          <cell r="B10930" t="str">
            <v>DN 254 (10")</v>
          </cell>
          <cell r="C10930" t="str">
            <v>m</v>
          </cell>
          <cell r="D10930">
            <v>209.89</v>
          </cell>
          <cell r="E10930">
            <v>0</v>
          </cell>
          <cell r="F10930">
            <v>209.89</v>
          </cell>
        </row>
        <row r="10931">
          <cell r="A10931" t="str">
            <v>501209</v>
          </cell>
          <cell r="B10931" t="str">
            <v>DN 305 (12")</v>
          </cell>
          <cell r="C10931" t="str">
            <v>m</v>
          </cell>
          <cell r="D10931">
            <v>293.33999999999997</v>
          </cell>
          <cell r="E10931">
            <v>0</v>
          </cell>
          <cell r="F10931">
            <v>293.33999999999997</v>
          </cell>
        </row>
        <row r="10932">
          <cell r="A10932" t="str">
            <v>501211</v>
          </cell>
          <cell r="B10932" t="str">
            <v>DN 356 (14")</v>
          </cell>
          <cell r="C10932" t="str">
            <v>m</v>
          </cell>
          <cell r="D10932">
            <v>372.38</v>
          </cell>
          <cell r="E10932">
            <v>0</v>
          </cell>
          <cell r="F10932">
            <v>372.38</v>
          </cell>
        </row>
        <row r="10933">
          <cell r="A10933" t="str">
            <v>501213</v>
          </cell>
          <cell r="B10933" t="str">
            <v>DN 381 (15")</v>
          </cell>
          <cell r="C10933" t="str">
            <v>m</v>
          </cell>
          <cell r="D10933">
            <v>408.52</v>
          </cell>
          <cell r="E10933">
            <v>0</v>
          </cell>
          <cell r="F10933">
            <v>408.52</v>
          </cell>
        </row>
        <row r="10934">
          <cell r="A10934" t="str">
            <v>501214</v>
          </cell>
          <cell r="B10934" t="str">
            <v>DN 406 (16")</v>
          </cell>
          <cell r="C10934" t="str">
            <v>m</v>
          </cell>
          <cell r="D10934">
            <v>446.57</v>
          </cell>
          <cell r="E10934">
            <v>0</v>
          </cell>
          <cell r="F10934">
            <v>446.57</v>
          </cell>
        </row>
        <row r="10935">
          <cell r="A10935" t="str">
            <v>5013</v>
          </cell>
          <cell r="B10935" t="str">
            <v>PERFURAÇÃO ROTOPNEUMÁTICA (ATÉ 500 M)- ROCHAS ÍGNEAS E METAMÓRFICAS - RI / RM</v>
          </cell>
          <cell r="C10935">
            <v>0</v>
          </cell>
          <cell r="D10935">
            <v>0</v>
          </cell>
          <cell r="E10935">
            <v>0</v>
          </cell>
          <cell r="F10935">
            <v>0</v>
          </cell>
        </row>
        <row r="10936">
          <cell r="A10936" t="str">
            <v>501301</v>
          </cell>
          <cell r="B10936" t="str">
            <v>DN 100 (4")</v>
          </cell>
          <cell r="C10936" t="str">
            <v>m</v>
          </cell>
          <cell r="D10936">
            <v>332.29</v>
          </cell>
          <cell r="E10936">
            <v>0</v>
          </cell>
          <cell r="F10936">
            <v>332.29</v>
          </cell>
        </row>
        <row r="10937">
          <cell r="A10937" t="str">
            <v>501302</v>
          </cell>
          <cell r="B10937" t="str">
            <v>DN 152 (6")</v>
          </cell>
          <cell r="C10937" t="str">
            <v>m</v>
          </cell>
          <cell r="D10937">
            <v>369.71</v>
          </cell>
          <cell r="E10937">
            <v>0</v>
          </cell>
          <cell r="F10937">
            <v>369.71</v>
          </cell>
        </row>
        <row r="10938">
          <cell r="A10938" t="str">
            <v>501303</v>
          </cell>
          <cell r="B10938" t="str">
            <v>DN 203 (8")</v>
          </cell>
          <cell r="C10938" t="str">
            <v>m</v>
          </cell>
          <cell r="D10938">
            <v>440.07</v>
          </cell>
          <cell r="E10938">
            <v>0</v>
          </cell>
          <cell r="F10938">
            <v>440.07</v>
          </cell>
        </row>
        <row r="10939">
          <cell r="A10939" t="str">
            <v>501308</v>
          </cell>
          <cell r="B10939" t="str">
            <v>DN 254 (10")</v>
          </cell>
          <cell r="C10939" t="str">
            <v>m</v>
          </cell>
          <cell r="D10939">
            <v>502.29</v>
          </cell>
          <cell r="E10939">
            <v>0</v>
          </cell>
          <cell r="F10939">
            <v>502.29</v>
          </cell>
        </row>
        <row r="10940">
          <cell r="A10940" t="str">
            <v>501309</v>
          </cell>
          <cell r="B10940" t="str">
            <v>DN 305 (12")</v>
          </cell>
          <cell r="C10940" t="str">
            <v>m</v>
          </cell>
          <cell r="D10940">
            <v>724.73</v>
          </cell>
          <cell r="E10940">
            <v>0</v>
          </cell>
          <cell r="F10940">
            <v>724.73</v>
          </cell>
        </row>
        <row r="10941">
          <cell r="A10941" t="str">
            <v>501311</v>
          </cell>
          <cell r="B10941" t="str">
            <v>DN 356 (14")</v>
          </cell>
          <cell r="C10941" t="str">
            <v>m</v>
          </cell>
          <cell r="D10941">
            <v>867.19</v>
          </cell>
          <cell r="E10941">
            <v>0</v>
          </cell>
          <cell r="F10941">
            <v>867.19</v>
          </cell>
        </row>
        <row r="10942">
          <cell r="A10942" t="str">
            <v>501313</v>
          </cell>
          <cell r="B10942" t="str">
            <v>DN 381 (15")</v>
          </cell>
          <cell r="C10942" t="str">
            <v>m</v>
          </cell>
          <cell r="D10942">
            <v>1004.12</v>
          </cell>
          <cell r="E10942">
            <v>0</v>
          </cell>
          <cell r="F10942">
            <v>1004.12</v>
          </cell>
        </row>
        <row r="10943">
          <cell r="A10943" t="str">
            <v>501314</v>
          </cell>
          <cell r="B10943" t="str">
            <v>DN 406 (16")</v>
          </cell>
          <cell r="C10943" t="str">
            <v>m</v>
          </cell>
          <cell r="D10943">
            <v>1053.08</v>
          </cell>
          <cell r="E10943">
            <v>0</v>
          </cell>
          <cell r="F10943">
            <v>1053.08</v>
          </cell>
        </row>
        <row r="10944">
          <cell r="A10944" t="str">
            <v>5014</v>
          </cell>
          <cell r="B10944" t="str">
            <v>PERFURAÇÃO C/ REVESTIMENTO SIMULTÂNEO AUTOMÁTICO - RI / RM (MATERIAL NÃO INCLUSO)</v>
          </cell>
          <cell r="C10944">
            <v>0</v>
          </cell>
          <cell r="D10944">
            <v>0</v>
          </cell>
          <cell r="E10944">
            <v>0</v>
          </cell>
          <cell r="F10944">
            <v>0</v>
          </cell>
        </row>
        <row r="10945">
          <cell r="A10945" t="str">
            <v>501401</v>
          </cell>
          <cell r="B10945" t="str">
            <v>DN 152 (6")</v>
          </cell>
          <cell r="C10945" t="str">
            <v>m</v>
          </cell>
          <cell r="D10945">
            <v>267.29000000000002</v>
          </cell>
          <cell r="E10945">
            <v>8.11</v>
          </cell>
          <cell r="F10945">
            <v>275.39999999999998</v>
          </cell>
        </row>
        <row r="10946">
          <cell r="A10946" t="str">
            <v>501402</v>
          </cell>
          <cell r="B10946" t="str">
            <v>DN 203 (8")</v>
          </cell>
          <cell r="C10946" t="str">
            <v>m</v>
          </cell>
          <cell r="D10946">
            <v>307.33999999999997</v>
          </cell>
          <cell r="E10946">
            <v>10</v>
          </cell>
          <cell r="F10946">
            <v>317.33999999999997</v>
          </cell>
        </row>
        <row r="10947">
          <cell r="A10947" t="str">
            <v>501403</v>
          </cell>
          <cell r="B10947" t="str">
            <v>DN 254 (10")</v>
          </cell>
          <cell r="C10947" t="str">
            <v>m</v>
          </cell>
          <cell r="D10947">
            <v>437.88</v>
          </cell>
          <cell r="E10947">
            <v>12.52</v>
          </cell>
          <cell r="F10947">
            <v>450.4</v>
          </cell>
        </row>
        <row r="10948">
          <cell r="A10948" t="str">
            <v>5016</v>
          </cell>
          <cell r="B10948" t="str">
            <v>PERFURAÇÃO ROTATIVA - RSC - POÇOS ATÉ 150,00 M COM CÂMARA DE BOMBEAMENTO EM 4"</v>
          </cell>
          <cell r="C10948">
            <v>0</v>
          </cell>
          <cell r="D10948">
            <v>0</v>
          </cell>
          <cell r="E10948">
            <v>0</v>
          </cell>
          <cell r="F10948">
            <v>0</v>
          </cell>
        </row>
        <row r="10949">
          <cell r="A10949" t="str">
            <v>501601</v>
          </cell>
          <cell r="B10949" t="str">
            <v>DN 251 (9 7/8") - até 100,00 m de profundidade</v>
          </cell>
          <cell r="C10949" t="str">
            <v>m</v>
          </cell>
          <cell r="D10949">
            <v>62.78</v>
          </cell>
          <cell r="E10949">
            <v>0</v>
          </cell>
          <cell r="F10949">
            <v>62.78</v>
          </cell>
        </row>
        <row r="10950">
          <cell r="A10950" t="str">
            <v>501602</v>
          </cell>
          <cell r="B10950" t="str">
            <v>DN 251 (9 7/8") - de 100,01 a 150,00 m de profundidade</v>
          </cell>
          <cell r="C10950" t="str">
            <v>m</v>
          </cell>
          <cell r="D10950">
            <v>73.930000000000007</v>
          </cell>
          <cell r="E10950">
            <v>0</v>
          </cell>
          <cell r="F10950">
            <v>73.930000000000007</v>
          </cell>
        </row>
        <row r="10951">
          <cell r="A10951" t="str">
            <v>5017</v>
          </cell>
          <cell r="B10951" t="str">
            <v>PERFURAÇÃO ROTOPNEUMÁTICA - RSC - POÇOS ATÉ 300,00 M COM CÂMARA DE BOMBEAMENTO EM 6"</v>
          </cell>
          <cell r="C10951">
            <v>0</v>
          </cell>
          <cell r="D10951">
            <v>0</v>
          </cell>
          <cell r="E10951">
            <v>0</v>
          </cell>
          <cell r="F10951">
            <v>0</v>
          </cell>
        </row>
        <row r="10952">
          <cell r="A10952" t="str">
            <v>501701</v>
          </cell>
          <cell r="B10952" t="str">
            <v>DN 152 (6") - até 100,00 m de profundidade</v>
          </cell>
          <cell r="C10952" t="str">
            <v>m</v>
          </cell>
          <cell r="D10952">
            <v>64.42</v>
          </cell>
          <cell r="E10952">
            <v>0</v>
          </cell>
          <cell r="F10952">
            <v>64.42</v>
          </cell>
        </row>
        <row r="10953">
          <cell r="A10953" t="str">
            <v>501702</v>
          </cell>
          <cell r="B10953" t="str">
            <v>DN 152 (6") - de 100,01 a 150,00 m de profundidade</v>
          </cell>
          <cell r="C10953" t="str">
            <v>m</v>
          </cell>
          <cell r="D10953">
            <v>70.3</v>
          </cell>
          <cell r="E10953">
            <v>0</v>
          </cell>
          <cell r="F10953">
            <v>70.3</v>
          </cell>
        </row>
        <row r="10954">
          <cell r="A10954" t="str">
            <v>501703</v>
          </cell>
          <cell r="B10954" t="str">
            <v>DN 152 (6") - de 150,01 a 200,00 m de profundidade</v>
          </cell>
          <cell r="C10954" t="str">
            <v>m</v>
          </cell>
          <cell r="D10954">
            <v>85.01</v>
          </cell>
          <cell r="E10954">
            <v>0</v>
          </cell>
          <cell r="F10954">
            <v>85.01</v>
          </cell>
        </row>
        <row r="10955">
          <cell r="A10955" t="str">
            <v>501704</v>
          </cell>
          <cell r="B10955" t="str">
            <v>DN 152 (6") - de 200,01 a 250,00 m de profundidade</v>
          </cell>
          <cell r="C10955" t="str">
            <v>m</v>
          </cell>
          <cell r="D10955">
            <v>99.72</v>
          </cell>
          <cell r="E10955">
            <v>0</v>
          </cell>
          <cell r="F10955">
            <v>99.72</v>
          </cell>
        </row>
        <row r="10956">
          <cell r="A10956" t="str">
            <v>501705</v>
          </cell>
          <cell r="B10956" t="str">
            <v>DN 152 (6") - de 250,01 a 300,00 m de profundidade</v>
          </cell>
          <cell r="C10956" t="str">
            <v>m</v>
          </cell>
          <cell r="D10956">
            <v>117.35</v>
          </cell>
          <cell r="E10956">
            <v>0</v>
          </cell>
          <cell r="F10956">
            <v>117.35</v>
          </cell>
        </row>
        <row r="10957">
          <cell r="A10957" t="str">
            <v>5018</v>
          </cell>
          <cell r="B10957" t="str">
            <v>PERFURAÇÃO ROTOPNEUMÁTICA  - RI/RM - POÇOS ATÉ 300,00 M COM CÂMARA DE BOMBEAMENTO EM 6"</v>
          </cell>
          <cell r="C10957">
            <v>0</v>
          </cell>
          <cell r="D10957">
            <v>0</v>
          </cell>
          <cell r="E10957">
            <v>0</v>
          </cell>
          <cell r="F10957">
            <v>0</v>
          </cell>
        </row>
        <row r="10958">
          <cell r="A10958" t="str">
            <v>501801</v>
          </cell>
          <cell r="B10958" t="str">
            <v>DN 152 (6") - até 100,00 m de profundidade</v>
          </cell>
          <cell r="C10958" t="str">
            <v>m</v>
          </cell>
          <cell r="D10958">
            <v>108.26</v>
          </cell>
          <cell r="E10958">
            <v>0</v>
          </cell>
          <cell r="F10958">
            <v>108.26</v>
          </cell>
        </row>
        <row r="10959">
          <cell r="A10959" t="str">
            <v>501802</v>
          </cell>
          <cell r="B10959" t="str">
            <v>DN 152 (6") - de 100,01 a 150,00 m de profundidade</v>
          </cell>
          <cell r="C10959" t="str">
            <v>m</v>
          </cell>
          <cell r="D10959">
            <v>125.89</v>
          </cell>
          <cell r="E10959">
            <v>0</v>
          </cell>
          <cell r="F10959">
            <v>125.89</v>
          </cell>
        </row>
        <row r="10960">
          <cell r="A10960" t="str">
            <v>501803</v>
          </cell>
          <cell r="B10960" t="str">
            <v>DN 152 (6") - de 150,01 a 200,00 m de profundidade</v>
          </cell>
          <cell r="C10960" t="str">
            <v>m</v>
          </cell>
          <cell r="D10960">
            <v>146.49</v>
          </cell>
          <cell r="E10960">
            <v>0</v>
          </cell>
          <cell r="F10960">
            <v>146.49</v>
          </cell>
        </row>
        <row r="10961">
          <cell r="A10961" t="str">
            <v>501804</v>
          </cell>
          <cell r="B10961" t="str">
            <v>DN 152 (6") - de 200,01 a 250,00 m de profundidade</v>
          </cell>
          <cell r="C10961" t="str">
            <v>m</v>
          </cell>
          <cell r="D10961">
            <v>172.95</v>
          </cell>
          <cell r="E10961">
            <v>0</v>
          </cell>
          <cell r="F10961">
            <v>172.95</v>
          </cell>
        </row>
        <row r="10962">
          <cell r="A10962" t="str">
            <v>501805</v>
          </cell>
          <cell r="B10962" t="str">
            <v>DN 152 (6") - de 250,01 a 300,00 m de profundidade</v>
          </cell>
          <cell r="C10962" t="str">
            <v>m</v>
          </cell>
          <cell r="D10962">
            <v>202.36</v>
          </cell>
          <cell r="E10962">
            <v>0</v>
          </cell>
          <cell r="F10962">
            <v>202.36</v>
          </cell>
        </row>
        <row r="10963">
          <cell r="A10963" t="str">
            <v>5020</v>
          </cell>
          <cell r="B10963" t="str">
            <v>INSTALAÇÃO DE REVESTIMENTO COM TUBO LISO, CHAPA 3/16", AÇO PRETO - PROTEÇÃO SANITÁRIA</v>
          </cell>
          <cell r="C10963">
            <v>0</v>
          </cell>
          <cell r="D10963">
            <v>0</v>
          </cell>
          <cell r="E10963">
            <v>0</v>
          </cell>
          <cell r="F10963">
            <v>0</v>
          </cell>
        </row>
        <row r="10964">
          <cell r="A10964" t="str">
            <v>502001</v>
          </cell>
          <cell r="B10964" t="str">
            <v>DN 203 (8")</v>
          </cell>
          <cell r="C10964" t="str">
            <v>m</v>
          </cell>
          <cell r="D10964">
            <v>44.29</v>
          </cell>
          <cell r="E10964">
            <v>10</v>
          </cell>
          <cell r="F10964">
            <v>54.29</v>
          </cell>
        </row>
        <row r="10965">
          <cell r="A10965" t="str">
            <v>502002</v>
          </cell>
          <cell r="B10965" t="str">
            <v>DN 254 (10")</v>
          </cell>
          <cell r="C10965" t="str">
            <v>m</v>
          </cell>
          <cell r="D10965">
            <v>52.18</v>
          </cell>
          <cell r="E10965">
            <v>12.52</v>
          </cell>
          <cell r="F10965">
            <v>64.7</v>
          </cell>
        </row>
        <row r="10966">
          <cell r="A10966" t="str">
            <v>502003</v>
          </cell>
          <cell r="B10966" t="str">
            <v>DN 305 (12")</v>
          </cell>
          <cell r="C10966" t="str">
            <v>m</v>
          </cell>
          <cell r="D10966">
            <v>60.1</v>
          </cell>
          <cell r="E10966">
            <v>14.73</v>
          </cell>
          <cell r="F10966">
            <v>74.83</v>
          </cell>
        </row>
        <row r="10967">
          <cell r="A10967" t="str">
            <v>502004</v>
          </cell>
          <cell r="B10967" t="str">
            <v>DN 356 (14")</v>
          </cell>
          <cell r="C10967" t="str">
            <v>m</v>
          </cell>
          <cell r="D10967">
            <v>68</v>
          </cell>
          <cell r="E10967">
            <v>17.47</v>
          </cell>
          <cell r="F10967">
            <v>85.47</v>
          </cell>
        </row>
        <row r="10968">
          <cell r="A10968" t="str">
            <v>502005</v>
          </cell>
          <cell r="B10968" t="str">
            <v>DN 406 (16")</v>
          </cell>
          <cell r="C10968" t="str">
            <v>m</v>
          </cell>
          <cell r="D10968">
            <v>75.900000000000006</v>
          </cell>
          <cell r="E10968">
            <v>19.68</v>
          </cell>
          <cell r="F10968">
            <v>95.58</v>
          </cell>
        </row>
        <row r="10969">
          <cell r="A10969" t="str">
            <v>502006</v>
          </cell>
          <cell r="B10969" t="str">
            <v>DN 457 (18")</v>
          </cell>
          <cell r="C10969" t="str">
            <v>m</v>
          </cell>
          <cell r="D10969">
            <v>83.82</v>
          </cell>
          <cell r="E10969">
            <v>22.2</v>
          </cell>
          <cell r="F10969">
            <v>106.02</v>
          </cell>
        </row>
        <row r="10970">
          <cell r="A10970" t="str">
            <v>502007</v>
          </cell>
          <cell r="B10970" t="str">
            <v>DN 508 (20")</v>
          </cell>
          <cell r="C10970" t="str">
            <v>m</v>
          </cell>
          <cell r="D10970">
            <v>93.3</v>
          </cell>
          <cell r="E10970">
            <v>24.63</v>
          </cell>
          <cell r="F10970">
            <v>117.93</v>
          </cell>
        </row>
        <row r="10971">
          <cell r="A10971" t="str">
            <v>5021</v>
          </cell>
          <cell r="B10971" t="str">
            <v>INSTALAÇÃO DE REVESTIMENTO COM TUBO LISO, SCHEDULE 20 / 30, AÇO PRETO</v>
          </cell>
          <cell r="C10971">
            <v>0</v>
          </cell>
          <cell r="D10971">
            <v>0</v>
          </cell>
          <cell r="E10971">
            <v>0</v>
          </cell>
          <cell r="F10971">
            <v>0</v>
          </cell>
        </row>
        <row r="10972">
          <cell r="A10972" t="str">
            <v>502102</v>
          </cell>
          <cell r="B10972" t="str">
            <v>DN 203 (8")</v>
          </cell>
          <cell r="C10972" t="str">
            <v>m</v>
          </cell>
          <cell r="D10972">
            <v>44.29</v>
          </cell>
          <cell r="E10972">
            <v>10</v>
          </cell>
          <cell r="F10972">
            <v>54.29</v>
          </cell>
        </row>
        <row r="10973">
          <cell r="A10973" t="str">
            <v>502103</v>
          </cell>
          <cell r="B10973" t="str">
            <v>DN 254 (10")</v>
          </cell>
          <cell r="C10973" t="str">
            <v>m</v>
          </cell>
          <cell r="D10973">
            <v>52.18</v>
          </cell>
          <cell r="E10973">
            <v>12.52</v>
          </cell>
          <cell r="F10973">
            <v>64.7</v>
          </cell>
        </row>
        <row r="10974">
          <cell r="A10974" t="str">
            <v>502104</v>
          </cell>
          <cell r="B10974" t="str">
            <v>DN 305 (12")</v>
          </cell>
          <cell r="C10974" t="str">
            <v>m</v>
          </cell>
          <cell r="D10974">
            <v>60.1</v>
          </cell>
          <cell r="E10974">
            <v>14.73</v>
          </cell>
          <cell r="F10974">
            <v>74.83</v>
          </cell>
        </row>
        <row r="10975">
          <cell r="A10975" t="str">
            <v>5022</v>
          </cell>
          <cell r="B10975" t="str">
            <v>INSTALAÇÃO DE REVESTIMENTO COM TUBO LISO, DIN 2440, AÇO PRETO</v>
          </cell>
          <cell r="C10975">
            <v>0</v>
          </cell>
          <cell r="D10975">
            <v>0</v>
          </cell>
          <cell r="E10975">
            <v>0</v>
          </cell>
          <cell r="F10975">
            <v>0</v>
          </cell>
        </row>
        <row r="10976">
          <cell r="A10976" t="str">
            <v>502201</v>
          </cell>
          <cell r="B10976" t="str">
            <v>DN 152 (6")</v>
          </cell>
          <cell r="C10976" t="str">
            <v>m</v>
          </cell>
          <cell r="D10976">
            <v>37.97</v>
          </cell>
          <cell r="E10976">
            <v>8.11</v>
          </cell>
          <cell r="F10976">
            <v>46.08</v>
          </cell>
        </row>
        <row r="10977">
          <cell r="A10977" t="str">
            <v>5023</v>
          </cell>
          <cell r="B10977" t="str">
            <v>INSTALAÇÃO DE REVESTIMENTO COM TUBO LISO, AÇO GALVANIZADO</v>
          </cell>
        </row>
        <row r="10978">
          <cell r="A10978" t="str">
            <v>502301</v>
          </cell>
          <cell r="B10978" t="str">
            <v>DN 100 (4")</v>
          </cell>
          <cell r="C10978" t="str">
            <v>m</v>
          </cell>
          <cell r="D10978">
            <v>11.08</v>
          </cell>
          <cell r="E10978">
            <v>14.32</v>
          </cell>
          <cell r="F10978">
            <v>25.4</v>
          </cell>
        </row>
        <row r="10979">
          <cell r="A10979" t="str">
            <v>502302</v>
          </cell>
          <cell r="B10979" t="str">
            <v>DN 152 (6")</v>
          </cell>
          <cell r="C10979" t="str">
            <v>m</v>
          </cell>
          <cell r="D10979">
            <v>11.08</v>
          </cell>
          <cell r="E10979">
            <v>43.04</v>
          </cell>
          <cell r="F10979">
            <v>54.12</v>
          </cell>
        </row>
        <row r="10980">
          <cell r="A10980" t="str">
            <v>502303</v>
          </cell>
          <cell r="B10980" t="str">
            <v>DN 203 (8")</v>
          </cell>
          <cell r="C10980" t="str">
            <v>m</v>
          </cell>
          <cell r="D10980">
            <v>44.29</v>
          </cell>
          <cell r="E10980">
            <v>10</v>
          </cell>
          <cell r="F10980">
            <v>54.29</v>
          </cell>
        </row>
        <row r="10981">
          <cell r="A10981" t="str">
            <v>502304</v>
          </cell>
          <cell r="B10981" t="str">
            <v>DN 254 (10")</v>
          </cell>
          <cell r="C10981" t="str">
            <v>m</v>
          </cell>
          <cell r="D10981">
            <v>52.18</v>
          </cell>
          <cell r="E10981">
            <v>12.52</v>
          </cell>
          <cell r="F10981">
            <v>64.7</v>
          </cell>
        </row>
        <row r="10982">
          <cell r="A10982" t="str">
            <v>502305</v>
          </cell>
          <cell r="B10982" t="str">
            <v>DN 305 (12")</v>
          </cell>
          <cell r="C10982" t="str">
            <v>m</v>
          </cell>
          <cell r="D10982">
            <v>60.1</v>
          </cell>
          <cell r="E10982">
            <v>14.73</v>
          </cell>
          <cell r="F10982">
            <v>74.83</v>
          </cell>
        </row>
        <row r="10983">
          <cell r="A10983" t="str">
            <v>5024</v>
          </cell>
          <cell r="B10983" t="str">
            <v>INSTALAÇÃO DE REVESTIMENTO COM TUBO DE PVC RIGIDO NERVURADO (GEOMECÂNICO)</v>
          </cell>
          <cell r="C10983">
            <v>0</v>
          </cell>
          <cell r="D10983">
            <v>0</v>
          </cell>
          <cell r="E10983">
            <v>0</v>
          </cell>
          <cell r="F10983">
            <v>0</v>
          </cell>
        </row>
        <row r="10984">
          <cell r="A10984" t="str">
            <v>502401</v>
          </cell>
          <cell r="B10984" t="str">
            <v>DN 100 (4")</v>
          </cell>
          <cell r="C10984" t="str">
            <v>m</v>
          </cell>
          <cell r="D10984">
            <v>8.31</v>
          </cell>
          <cell r="E10984">
            <v>0</v>
          </cell>
          <cell r="F10984">
            <v>8.31</v>
          </cell>
        </row>
        <row r="10985">
          <cell r="A10985" t="str">
            <v>502402</v>
          </cell>
          <cell r="B10985" t="str">
            <v>DN 150 (6")</v>
          </cell>
          <cell r="C10985" t="str">
            <v>m</v>
          </cell>
          <cell r="D10985">
            <v>11.08</v>
          </cell>
          <cell r="E10985">
            <v>0</v>
          </cell>
          <cell r="F10985">
            <v>11.08</v>
          </cell>
        </row>
        <row r="10986">
          <cell r="A10986" t="str">
            <v>502404</v>
          </cell>
          <cell r="B10986" t="str">
            <v>DN 200 (8")</v>
          </cell>
          <cell r="C10986" t="str">
            <v>m</v>
          </cell>
          <cell r="D10986">
            <v>13.85</v>
          </cell>
          <cell r="E10986">
            <v>0</v>
          </cell>
          <cell r="F10986">
            <v>13.85</v>
          </cell>
        </row>
        <row r="10987">
          <cell r="A10987" t="str">
            <v>502406</v>
          </cell>
          <cell r="B10987" t="str">
            <v>DN 250 (10")</v>
          </cell>
          <cell r="C10987" t="str">
            <v>m</v>
          </cell>
          <cell r="D10987">
            <v>16.63</v>
          </cell>
          <cell r="E10987">
            <v>0</v>
          </cell>
          <cell r="F10987">
            <v>16.63</v>
          </cell>
        </row>
        <row r="10988">
          <cell r="A10988" t="str">
            <v>502407</v>
          </cell>
          <cell r="B10988" t="str">
            <v>DN 300 (12")</v>
          </cell>
          <cell r="C10988" t="str">
            <v>m</v>
          </cell>
          <cell r="D10988">
            <v>19.399999999999999</v>
          </cell>
          <cell r="E10988">
            <v>0</v>
          </cell>
          <cell r="F10988">
            <v>19.399999999999999</v>
          </cell>
        </row>
        <row r="10989">
          <cell r="A10989" t="str">
            <v>5026</v>
          </cell>
          <cell r="B10989" t="str">
            <v>INSTALAÇÃO DE FILTRO METÁLICO, RANHURA CONTÍNUA</v>
          </cell>
          <cell r="C10989">
            <v>0</v>
          </cell>
          <cell r="D10989">
            <v>0</v>
          </cell>
          <cell r="E10989">
            <v>0</v>
          </cell>
          <cell r="F10989">
            <v>0</v>
          </cell>
        </row>
        <row r="10990">
          <cell r="A10990" t="str">
            <v>502601</v>
          </cell>
          <cell r="B10990" t="str">
            <v>DN 100 (4")</v>
          </cell>
          <cell r="C10990" t="str">
            <v>m</v>
          </cell>
          <cell r="D10990">
            <v>8.31</v>
          </cell>
          <cell r="E10990">
            <v>14.32</v>
          </cell>
          <cell r="F10990">
            <v>22.63</v>
          </cell>
        </row>
        <row r="10991">
          <cell r="A10991" t="str">
            <v>502602</v>
          </cell>
          <cell r="B10991" t="str">
            <v>DN 152 (6")</v>
          </cell>
          <cell r="C10991" t="str">
            <v>m</v>
          </cell>
          <cell r="D10991">
            <v>11.08</v>
          </cell>
          <cell r="E10991">
            <v>43.04</v>
          </cell>
          <cell r="F10991">
            <v>54.12</v>
          </cell>
        </row>
        <row r="10992">
          <cell r="A10992" t="str">
            <v>502603</v>
          </cell>
          <cell r="B10992" t="str">
            <v>DN 203 (8")</v>
          </cell>
          <cell r="C10992" t="str">
            <v>m</v>
          </cell>
          <cell r="D10992">
            <v>13.85</v>
          </cell>
          <cell r="E10992">
            <v>52.82</v>
          </cell>
          <cell r="F10992">
            <v>66.67</v>
          </cell>
        </row>
        <row r="10993">
          <cell r="A10993" t="str">
            <v>502604</v>
          </cell>
          <cell r="B10993" t="str">
            <v>DN 254 (10")</v>
          </cell>
          <cell r="C10993" t="str">
            <v>m</v>
          </cell>
          <cell r="D10993">
            <v>16.63</v>
          </cell>
          <cell r="E10993">
            <v>86.62</v>
          </cell>
          <cell r="F10993">
            <v>103.25</v>
          </cell>
        </row>
        <row r="10994">
          <cell r="A10994" t="str">
            <v>5028</v>
          </cell>
          <cell r="B10994" t="str">
            <v>INSTALAÇÃO DE FILTRO EM PVC RÍGIDO NERVURADO (GEOMECÂNICO)</v>
          </cell>
          <cell r="C10994">
            <v>0</v>
          </cell>
          <cell r="D10994">
            <v>0</v>
          </cell>
          <cell r="E10994">
            <v>0</v>
          </cell>
          <cell r="F10994">
            <v>0</v>
          </cell>
        </row>
        <row r="10995">
          <cell r="A10995" t="str">
            <v>502801</v>
          </cell>
          <cell r="B10995" t="str">
            <v>DN 100 (4")</v>
          </cell>
          <cell r="C10995" t="str">
            <v>m</v>
          </cell>
          <cell r="D10995">
            <v>8.31</v>
          </cell>
          <cell r="E10995">
            <v>0</v>
          </cell>
          <cell r="F10995">
            <v>8.31</v>
          </cell>
        </row>
        <row r="10996">
          <cell r="A10996" t="str">
            <v>502802</v>
          </cell>
          <cell r="B10996" t="str">
            <v>DN 150 (6")</v>
          </cell>
          <cell r="C10996" t="str">
            <v>m</v>
          </cell>
          <cell r="D10996">
            <v>11.08</v>
          </cell>
          <cell r="E10996">
            <v>0</v>
          </cell>
          <cell r="F10996">
            <v>11.08</v>
          </cell>
        </row>
        <row r="10997">
          <cell r="A10997" t="str">
            <v>502804</v>
          </cell>
          <cell r="B10997" t="str">
            <v>DN 200 (8")</v>
          </cell>
          <cell r="C10997" t="str">
            <v>m</v>
          </cell>
          <cell r="D10997">
            <v>13.85</v>
          </cell>
          <cell r="E10997">
            <v>0</v>
          </cell>
          <cell r="F10997">
            <v>13.85</v>
          </cell>
        </row>
        <row r="10998">
          <cell r="A10998" t="str">
            <v>502806</v>
          </cell>
          <cell r="B10998" t="str">
            <v>DN 250 (10")</v>
          </cell>
          <cell r="C10998" t="str">
            <v>m</v>
          </cell>
          <cell r="D10998">
            <v>16.63</v>
          </cell>
          <cell r="E10998">
            <v>0</v>
          </cell>
          <cell r="F10998">
            <v>16.63</v>
          </cell>
        </row>
        <row r="10999">
          <cell r="A10999" t="str">
            <v>502807</v>
          </cell>
          <cell r="B10999" t="str">
            <v>DN 300 (12")</v>
          </cell>
          <cell r="C10999" t="str">
            <v>m</v>
          </cell>
          <cell r="D10999">
            <v>19.399999999999999</v>
          </cell>
          <cell r="E10999">
            <v>0</v>
          </cell>
          <cell r="F10999">
            <v>19.399999999999999</v>
          </cell>
        </row>
        <row r="11000">
          <cell r="A11000" t="str">
            <v>5030</v>
          </cell>
          <cell r="B11000" t="str">
            <v>FORNECIMENTO E INSTALAÇÃO DE REDUÇÕES EM PVC (GEOMECÂNICO)</v>
          </cell>
          <cell r="C11000">
            <v>0</v>
          </cell>
          <cell r="D11000">
            <v>0</v>
          </cell>
          <cell r="E11000">
            <v>0</v>
          </cell>
          <cell r="F11000">
            <v>0</v>
          </cell>
        </row>
        <row r="11001">
          <cell r="A11001" t="str">
            <v>503001</v>
          </cell>
          <cell r="B11001" t="str">
            <v>DN 154 x 100 - STD</v>
          </cell>
          <cell r="C11001" t="str">
            <v>ud</v>
          </cell>
          <cell r="D11001">
            <v>4.3</v>
          </cell>
          <cell r="E11001">
            <v>0</v>
          </cell>
          <cell r="F11001">
            <v>4.3</v>
          </cell>
        </row>
        <row r="11002">
          <cell r="A11002" t="str">
            <v>503002</v>
          </cell>
          <cell r="B11002" t="str">
            <v>DN 200 x 150 - REF</v>
          </cell>
          <cell r="C11002" t="str">
            <v>ud</v>
          </cell>
          <cell r="D11002">
            <v>5.38</v>
          </cell>
          <cell r="E11002">
            <v>0</v>
          </cell>
          <cell r="F11002">
            <v>5.38</v>
          </cell>
        </row>
        <row r="11003">
          <cell r="A11003" t="str">
            <v>503003</v>
          </cell>
          <cell r="B11003" t="str">
            <v>DN 206 x 150 - REF</v>
          </cell>
          <cell r="C11003" t="str">
            <v>ud</v>
          </cell>
          <cell r="D11003">
            <v>5.38</v>
          </cell>
          <cell r="E11003">
            <v>0</v>
          </cell>
          <cell r="F11003">
            <v>5.38</v>
          </cell>
        </row>
        <row r="11004">
          <cell r="A11004" t="str">
            <v>503004</v>
          </cell>
          <cell r="B11004" t="str">
            <v>DN 206 x 154 - STD</v>
          </cell>
          <cell r="C11004" t="str">
            <v>ud</v>
          </cell>
          <cell r="D11004">
            <v>5.38</v>
          </cell>
          <cell r="E11004">
            <v>0</v>
          </cell>
          <cell r="F11004">
            <v>5.38</v>
          </cell>
        </row>
        <row r="11005">
          <cell r="A11005" t="str">
            <v>503005</v>
          </cell>
          <cell r="B11005" t="str">
            <v>DN 250 x 200 - REF</v>
          </cell>
          <cell r="C11005" t="str">
            <v>ud</v>
          </cell>
          <cell r="D11005">
            <v>6.46</v>
          </cell>
          <cell r="E11005">
            <v>0</v>
          </cell>
          <cell r="F11005">
            <v>6.46</v>
          </cell>
        </row>
        <row r="11006">
          <cell r="A11006" t="str">
            <v>503006</v>
          </cell>
          <cell r="B11006" t="str">
            <v>DN 250 x 206 - STD</v>
          </cell>
          <cell r="C11006" t="str">
            <v>ud</v>
          </cell>
          <cell r="D11006">
            <v>6.46</v>
          </cell>
          <cell r="E11006">
            <v>0</v>
          </cell>
          <cell r="F11006">
            <v>6.46</v>
          </cell>
        </row>
        <row r="11007">
          <cell r="A11007" t="str">
            <v>503007</v>
          </cell>
          <cell r="B11007" t="str">
            <v>DN 300 x 250 - STD</v>
          </cell>
          <cell r="C11007" t="str">
            <v>ud</v>
          </cell>
          <cell r="D11007">
            <v>6.46</v>
          </cell>
          <cell r="E11007">
            <v>0</v>
          </cell>
          <cell r="F11007">
            <v>6.46</v>
          </cell>
        </row>
        <row r="11008">
          <cell r="A11008" t="str">
            <v>5031</v>
          </cell>
          <cell r="B11008" t="str">
            <v>FORNECIMENTO E INSTALAÇÃO DE GUIAS CENTRALIZADORAS EM FERRO GALVANIZADO</v>
          </cell>
          <cell r="C11008">
            <v>0</v>
          </cell>
          <cell r="D11008">
            <v>0</v>
          </cell>
          <cell r="E11008">
            <v>0</v>
          </cell>
          <cell r="F11008">
            <v>0</v>
          </cell>
        </row>
        <row r="11009">
          <cell r="A11009" t="str">
            <v>503101</v>
          </cell>
          <cell r="B11009" t="str">
            <v>DN 100 (4")</v>
          </cell>
          <cell r="C11009" t="str">
            <v>ud</v>
          </cell>
          <cell r="D11009">
            <v>1.87</v>
          </cell>
          <cell r="E11009">
            <v>28.22</v>
          </cell>
          <cell r="F11009">
            <v>30.09</v>
          </cell>
        </row>
        <row r="11010">
          <cell r="A11010" t="str">
            <v>503102</v>
          </cell>
          <cell r="B11010" t="str">
            <v>DN 152 (6")</v>
          </cell>
          <cell r="C11010" t="str">
            <v>ud</v>
          </cell>
          <cell r="D11010">
            <v>1.87</v>
          </cell>
          <cell r="E11010">
            <v>35.28</v>
          </cell>
          <cell r="F11010">
            <v>37.15</v>
          </cell>
        </row>
        <row r="11011">
          <cell r="A11011" t="str">
            <v>503103</v>
          </cell>
          <cell r="B11011" t="str">
            <v>DN 203 (8")</v>
          </cell>
          <cell r="C11011" t="str">
            <v>ud</v>
          </cell>
          <cell r="D11011">
            <v>2.2400000000000002</v>
          </cell>
          <cell r="E11011">
            <v>45.86</v>
          </cell>
          <cell r="F11011">
            <v>48.1</v>
          </cell>
        </row>
        <row r="11012">
          <cell r="A11012" t="str">
            <v>503104</v>
          </cell>
          <cell r="B11012" t="str">
            <v>DN 254 (10")</v>
          </cell>
          <cell r="C11012" t="str">
            <v>ud</v>
          </cell>
          <cell r="D11012">
            <v>2.2400000000000002</v>
          </cell>
          <cell r="E11012">
            <v>56.45</v>
          </cell>
          <cell r="F11012">
            <v>58.69</v>
          </cell>
        </row>
        <row r="11013">
          <cell r="A11013" t="str">
            <v>5032</v>
          </cell>
          <cell r="B11013" t="str">
            <v>FORNECIMENTO E INSTALAÇÃO DE TAMPA DE FUNDO EM FERRO GALVANIZADO</v>
          </cell>
          <cell r="C11013">
            <v>0</v>
          </cell>
          <cell r="D11013">
            <v>0</v>
          </cell>
          <cell r="E11013">
            <v>0</v>
          </cell>
          <cell r="F11013">
            <v>0</v>
          </cell>
        </row>
        <row r="11014">
          <cell r="A11014" t="str">
            <v>503201</v>
          </cell>
          <cell r="B11014" t="str">
            <v>DN 100 (4")</v>
          </cell>
          <cell r="C11014" t="str">
            <v>ud</v>
          </cell>
          <cell r="D11014">
            <v>4.3</v>
          </cell>
          <cell r="E11014">
            <v>65.87</v>
          </cell>
          <cell r="F11014">
            <v>70.17</v>
          </cell>
        </row>
        <row r="11015">
          <cell r="A11015" t="str">
            <v>503202</v>
          </cell>
          <cell r="B11015" t="str">
            <v>DN 152 (6")</v>
          </cell>
          <cell r="C11015" t="str">
            <v>ud</v>
          </cell>
          <cell r="D11015">
            <v>4.3</v>
          </cell>
          <cell r="E11015">
            <v>118.32</v>
          </cell>
          <cell r="F11015">
            <v>122.62</v>
          </cell>
        </row>
        <row r="11016">
          <cell r="A11016" t="str">
            <v>503203</v>
          </cell>
          <cell r="B11016" t="str">
            <v>DN 203 (8")</v>
          </cell>
          <cell r="C11016" t="str">
            <v>ud</v>
          </cell>
          <cell r="D11016">
            <v>5.38</v>
          </cell>
          <cell r="E11016">
            <v>225.63</v>
          </cell>
          <cell r="F11016">
            <v>231.01</v>
          </cell>
        </row>
        <row r="11017">
          <cell r="A11017" t="str">
            <v>503204</v>
          </cell>
          <cell r="B11017" t="str">
            <v>DN 254 (10")</v>
          </cell>
          <cell r="C11017" t="str">
            <v>ud</v>
          </cell>
          <cell r="D11017">
            <v>0</v>
          </cell>
          <cell r="E11017">
            <v>0</v>
          </cell>
          <cell r="F11017">
            <v>0</v>
          </cell>
        </row>
        <row r="11018">
          <cell r="A11018" t="str">
            <v>503205</v>
          </cell>
          <cell r="B11018" t="str">
            <v>DN 305 (12")</v>
          </cell>
          <cell r="C11018" t="str">
            <v>ud</v>
          </cell>
          <cell r="D11018">
            <v>0</v>
          </cell>
          <cell r="E11018">
            <v>0</v>
          </cell>
          <cell r="F11018">
            <v>0</v>
          </cell>
        </row>
        <row r="11019">
          <cell r="A11019" t="str">
            <v>5033</v>
          </cell>
          <cell r="B11019" t="str">
            <v>FORNECIMENTO E INSTALAÇÃO DE TAMPA DE FUNDO EM PVC (GEOMECÂNICO)</v>
          </cell>
          <cell r="C11019">
            <v>0</v>
          </cell>
          <cell r="D11019">
            <v>0</v>
          </cell>
          <cell r="F11019">
            <v>0</v>
          </cell>
        </row>
        <row r="11020">
          <cell r="A11020" t="str">
            <v>503301</v>
          </cell>
          <cell r="B11020" t="str">
            <v>DN 100 (4") - STD</v>
          </cell>
          <cell r="C11020" t="str">
            <v>ud</v>
          </cell>
          <cell r="D11020">
            <v>4.3</v>
          </cell>
          <cell r="E11020">
            <v>0</v>
          </cell>
          <cell r="F11020">
            <v>4.3</v>
          </cell>
        </row>
        <row r="11021">
          <cell r="A11021" t="str">
            <v>503302</v>
          </cell>
          <cell r="B11021" t="str">
            <v>DN 154 (6") - STD</v>
          </cell>
          <cell r="C11021" t="str">
            <v>ud</v>
          </cell>
          <cell r="D11021">
            <v>4.3</v>
          </cell>
          <cell r="E11021">
            <v>0</v>
          </cell>
          <cell r="F11021">
            <v>4.3</v>
          </cell>
        </row>
        <row r="11022">
          <cell r="A11022" t="str">
            <v>503303</v>
          </cell>
          <cell r="B11022" t="str">
            <v>DN 200 (8") - REF</v>
          </cell>
          <cell r="C11022" t="str">
            <v>ud</v>
          </cell>
          <cell r="D11022">
            <v>5.38</v>
          </cell>
          <cell r="E11022">
            <v>0</v>
          </cell>
          <cell r="F11022">
            <v>5.38</v>
          </cell>
        </row>
        <row r="11023">
          <cell r="A11023" t="str">
            <v>503304</v>
          </cell>
          <cell r="B11023" t="str">
            <v>DN 206 (8") - STD</v>
          </cell>
          <cell r="C11023" t="str">
            <v>ud</v>
          </cell>
          <cell r="D11023">
            <v>5.38</v>
          </cell>
          <cell r="E11023">
            <v>0</v>
          </cell>
          <cell r="F11023">
            <v>5.38</v>
          </cell>
        </row>
        <row r="11024">
          <cell r="A11024" t="str">
            <v>503305</v>
          </cell>
          <cell r="B11024" t="str">
            <v>DN 250 (10") - STD</v>
          </cell>
          <cell r="C11024" t="str">
            <v>ud</v>
          </cell>
          <cell r="D11024">
            <v>6.46</v>
          </cell>
          <cell r="E11024">
            <v>0</v>
          </cell>
          <cell r="F11024">
            <v>6.46</v>
          </cell>
        </row>
        <row r="11025">
          <cell r="A11025" t="str">
            <v>503306</v>
          </cell>
          <cell r="B11025" t="str">
            <v>DN 300 (12") - STD</v>
          </cell>
          <cell r="C11025" t="str">
            <v>ud</v>
          </cell>
          <cell r="D11025">
            <v>6.46</v>
          </cell>
          <cell r="E11025">
            <v>0</v>
          </cell>
          <cell r="F11025">
            <v>6.46</v>
          </cell>
        </row>
        <row r="11026">
          <cell r="A11026" t="str">
            <v>5034</v>
          </cell>
          <cell r="B11026" t="str">
            <v>FORNECIMENTO E INSTALAÇÃO DE TAMPA DE PROTEÇÃO EM FERRO GALVANIZADO</v>
          </cell>
          <cell r="C11026">
            <v>0</v>
          </cell>
          <cell r="D11026">
            <v>0</v>
          </cell>
          <cell r="E11026">
            <v>0</v>
          </cell>
          <cell r="F11026">
            <v>0</v>
          </cell>
        </row>
        <row r="11027">
          <cell r="A11027" t="str">
            <v>503401</v>
          </cell>
          <cell r="B11027" t="str">
            <v>DN 100 (4")</v>
          </cell>
          <cell r="C11027" t="str">
            <v>ud</v>
          </cell>
          <cell r="D11027">
            <v>4.3</v>
          </cell>
          <cell r="E11027">
            <v>65.87</v>
          </cell>
          <cell r="F11027">
            <v>70.17</v>
          </cell>
        </row>
        <row r="11028">
          <cell r="A11028" t="str">
            <v>503402</v>
          </cell>
          <cell r="B11028" t="str">
            <v>DN 152 (6")</v>
          </cell>
          <cell r="C11028" t="str">
            <v>ud</v>
          </cell>
          <cell r="D11028">
            <v>4.3</v>
          </cell>
          <cell r="E11028">
            <v>118.32</v>
          </cell>
          <cell r="F11028">
            <v>122.62</v>
          </cell>
        </row>
        <row r="11029">
          <cell r="A11029" t="str">
            <v>503403</v>
          </cell>
          <cell r="B11029" t="str">
            <v>DN 203 (8")</v>
          </cell>
          <cell r="C11029" t="str">
            <v>ud</v>
          </cell>
          <cell r="D11029">
            <v>5.38</v>
          </cell>
          <cell r="E11029">
            <v>225.63</v>
          </cell>
          <cell r="F11029">
            <v>231.01</v>
          </cell>
        </row>
        <row r="11030">
          <cell r="A11030" t="str">
            <v>503404</v>
          </cell>
          <cell r="B11030" t="str">
            <v>DN 254 (10")</v>
          </cell>
          <cell r="C11030" t="str">
            <v>ud</v>
          </cell>
          <cell r="D11030">
            <v>0</v>
          </cell>
          <cell r="E11030">
            <v>0</v>
          </cell>
          <cell r="F11030">
            <v>0</v>
          </cell>
        </row>
        <row r="11031">
          <cell r="A11031" t="str">
            <v>503405</v>
          </cell>
          <cell r="B11031" t="str">
            <v>DN 305 (12")</v>
          </cell>
          <cell r="C11031" t="str">
            <v>ud</v>
          </cell>
          <cell r="D11031">
            <v>0</v>
          </cell>
          <cell r="E11031">
            <v>0</v>
          </cell>
          <cell r="F11031">
            <v>0</v>
          </cell>
        </row>
        <row r="11032">
          <cell r="A11032" t="str">
            <v>5040</v>
          </cell>
          <cell r="B11032" t="str">
            <v>CIMENTAÇÃO DO POCO</v>
          </cell>
          <cell r="C11032">
            <v>0</v>
          </cell>
          <cell r="D11032">
            <v>0</v>
          </cell>
          <cell r="F11032">
            <v>0</v>
          </cell>
        </row>
        <row r="11033">
          <cell r="A11033" t="str">
            <v>504001</v>
          </cell>
          <cell r="B11033" t="str">
            <v>Fornecimento e aplicação de argamassa de cimento e areia</v>
          </cell>
          <cell r="C11033" t="str">
            <v>m3</v>
          </cell>
          <cell r="D11033">
            <v>131.6</v>
          </cell>
          <cell r="E11033">
            <v>264.75</v>
          </cell>
          <cell r="F11033">
            <v>396.35</v>
          </cell>
        </row>
        <row r="11034">
          <cell r="A11034" t="str">
            <v>504002</v>
          </cell>
          <cell r="B11034" t="str">
            <v>Fornecimento e aplicação de nata de cimento</v>
          </cell>
          <cell r="C11034" t="str">
            <v>m3</v>
          </cell>
          <cell r="D11034">
            <v>131.19999999999999</v>
          </cell>
          <cell r="E11034">
            <v>414</v>
          </cell>
          <cell r="F11034">
            <v>545.20000000000005</v>
          </cell>
        </row>
        <row r="11035">
          <cell r="A11035" t="str">
            <v>5043</v>
          </cell>
          <cell r="B11035" t="str">
            <v>FORNECIMENTO E INSTALAÇÃO DE SAPATA PARA REVESTIMENTO SIMULÂNEO</v>
          </cell>
          <cell r="C11035">
            <v>0</v>
          </cell>
          <cell r="D11035">
            <v>0</v>
          </cell>
          <cell r="E11035">
            <v>0</v>
          </cell>
          <cell r="F11035">
            <v>0</v>
          </cell>
        </row>
        <row r="11036">
          <cell r="A11036" t="str">
            <v>504301</v>
          </cell>
          <cell r="B11036" t="str">
            <v>DN 153,4 (6")</v>
          </cell>
          <cell r="C11036" t="str">
            <v>ud</v>
          </cell>
          <cell r="D11036">
            <v>0</v>
          </cell>
          <cell r="E11036">
            <v>0</v>
          </cell>
          <cell r="F11036">
            <v>0</v>
          </cell>
        </row>
        <row r="11037">
          <cell r="A11037" t="str">
            <v>504302</v>
          </cell>
          <cell r="B11037" t="str">
            <v>DN 203,8 (8")</v>
          </cell>
          <cell r="C11037" t="str">
            <v>ud</v>
          </cell>
          <cell r="D11037">
            <v>0</v>
          </cell>
        </row>
        <row r="11038">
          <cell r="A11038" t="str">
            <v>504303</v>
          </cell>
          <cell r="B11038" t="str">
            <v>DN 254,0 (10")</v>
          </cell>
          <cell r="C11038" t="str">
            <v>ud</v>
          </cell>
          <cell r="D11038">
            <v>0</v>
          </cell>
        </row>
        <row r="11039">
          <cell r="A11039" t="str">
            <v>5044</v>
          </cell>
          <cell r="B11039" t="str">
            <v>FORNECIMENTO E INSTALAÇÃO DE ROSCA ESQUERDA EM AÇO GALVANIZADO</v>
          </cell>
          <cell r="C11039">
            <v>0</v>
          </cell>
          <cell r="D11039">
            <v>0</v>
          </cell>
        </row>
        <row r="11040">
          <cell r="A11040" t="str">
            <v>504401</v>
          </cell>
          <cell r="B11040" t="str">
            <v>DN   75 (3")</v>
          </cell>
          <cell r="C11040" t="str">
            <v>ud</v>
          </cell>
          <cell r="D11040">
            <v>178.26</v>
          </cell>
          <cell r="E11040">
            <v>0</v>
          </cell>
          <cell r="F11040">
            <v>178.26</v>
          </cell>
        </row>
        <row r="11041">
          <cell r="A11041" t="str">
            <v>504402</v>
          </cell>
          <cell r="B11041" t="str">
            <v>DN 100 (4")</v>
          </cell>
          <cell r="C11041" t="str">
            <v>ud</v>
          </cell>
          <cell r="D11041">
            <v>207.97</v>
          </cell>
          <cell r="E11041">
            <v>0</v>
          </cell>
          <cell r="F11041">
            <v>207.97</v>
          </cell>
        </row>
        <row r="11042">
          <cell r="A11042" t="str">
            <v>504403</v>
          </cell>
          <cell r="B11042" t="str">
            <v>DN 152 (6")</v>
          </cell>
          <cell r="C11042" t="str">
            <v>ud</v>
          </cell>
          <cell r="D11042">
            <v>220.34</v>
          </cell>
          <cell r="E11042">
            <v>0</v>
          </cell>
          <cell r="F11042">
            <v>220.34</v>
          </cell>
        </row>
        <row r="11043">
          <cell r="A11043" t="str">
            <v>504404</v>
          </cell>
          <cell r="B11043" t="str">
            <v>DN 203 (8")</v>
          </cell>
          <cell r="C11043" t="str">
            <v>ud</v>
          </cell>
          <cell r="D11043">
            <v>297.10000000000002</v>
          </cell>
          <cell r="E11043">
            <v>0</v>
          </cell>
          <cell r="F11043">
            <v>297.10000000000002</v>
          </cell>
        </row>
        <row r="11044">
          <cell r="A11044" t="str">
            <v>5055</v>
          </cell>
          <cell r="B11044" t="str">
            <v>FORNECIMENTO E APLICAÇÃO DE PRÉ-FILTRO</v>
          </cell>
          <cell r="C11044">
            <v>0</v>
          </cell>
          <cell r="D11044">
            <v>0</v>
          </cell>
          <cell r="E11044">
            <v>0</v>
          </cell>
          <cell r="F11044">
            <v>0</v>
          </cell>
        </row>
        <row r="11045">
          <cell r="A11045" t="str">
            <v>505501</v>
          </cell>
          <cell r="B11045" t="str">
            <v>Pré-filtro 1,00 a 2,00 mm</v>
          </cell>
          <cell r="C11045" t="str">
            <v>m3</v>
          </cell>
          <cell r="D11045">
            <v>88.82</v>
          </cell>
          <cell r="E11045">
            <v>590</v>
          </cell>
          <cell r="F11045">
            <v>678.82</v>
          </cell>
        </row>
        <row r="11046">
          <cell r="A11046" t="str">
            <v>505502</v>
          </cell>
          <cell r="B11046" t="str">
            <v>Pré-filtro 1,00 a 3,00 mm</v>
          </cell>
          <cell r="C11046" t="str">
            <v>m3</v>
          </cell>
          <cell r="D11046">
            <v>88.82</v>
          </cell>
          <cell r="E11046">
            <v>590</v>
          </cell>
          <cell r="F11046">
            <v>678.82</v>
          </cell>
        </row>
        <row r="11047">
          <cell r="A11047" t="str">
            <v>5060</v>
          </cell>
          <cell r="B11047" t="str">
            <v>FORNECIMENTO E APLICAÇÃO DE FLUIDO PARA PERFURAÇÃO</v>
          </cell>
          <cell r="C11047">
            <v>0</v>
          </cell>
          <cell r="D11047">
            <v>0</v>
          </cell>
          <cell r="E11047">
            <v>0</v>
          </cell>
          <cell r="F11047">
            <v>0</v>
          </cell>
        </row>
        <row r="11048">
          <cell r="A11048" t="str">
            <v>506001</v>
          </cell>
          <cell r="B11048" t="str">
            <v>CMC (Carboxi Metil Celulose)</v>
          </cell>
          <cell r="C11048" t="str">
            <v>kg</v>
          </cell>
          <cell r="D11048">
            <v>1.64</v>
          </cell>
          <cell r="E11048">
            <v>23.41</v>
          </cell>
          <cell r="F11048">
            <v>25.05</v>
          </cell>
        </row>
        <row r="11049">
          <cell r="A11049" t="str">
            <v>506002</v>
          </cell>
          <cell r="B11049" t="str">
            <v>Bentonita</v>
          </cell>
          <cell r="C11049" t="str">
            <v>kg</v>
          </cell>
          <cell r="D11049">
            <v>1.64</v>
          </cell>
          <cell r="E11049">
            <v>1.25</v>
          </cell>
          <cell r="F11049">
            <v>2.89</v>
          </cell>
        </row>
        <row r="11050">
          <cell r="A11050" t="str">
            <v>506003</v>
          </cell>
          <cell r="B11050" t="str">
            <v>Polímero sintético</v>
          </cell>
          <cell r="C11050" t="str">
            <v>kg</v>
          </cell>
          <cell r="D11050">
            <v>1.64</v>
          </cell>
          <cell r="E11050">
            <v>14.25</v>
          </cell>
          <cell r="F11050">
            <v>15.89</v>
          </cell>
        </row>
        <row r="11051">
          <cell r="A11051" t="str">
            <v>506004</v>
          </cell>
          <cell r="B11051" t="str">
            <v>Soda cáustica em escamas</v>
          </cell>
          <cell r="C11051" t="str">
            <v>kg</v>
          </cell>
          <cell r="D11051">
            <v>1.64</v>
          </cell>
          <cell r="E11051">
            <v>7.85</v>
          </cell>
          <cell r="F11051">
            <v>9.49</v>
          </cell>
        </row>
        <row r="11052">
          <cell r="A11052" t="str">
            <v>5065</v>
          </cell>
          <cell r="B11052" t="str">
            <v>FORNECIMENTO E APLICAÇÃO DE DISPERSANTE QUÍMICO</v>
          </cell>
          <cell r="C11052">
            <v>0</v>
          </cell>
          <cell r="D11052">
            <v>0</v>
          </cell>
          <cell r="E11052">
            <v>0</v>
          </cell>
          <cell r="F11052">
            <v>0</v>
          </cell>
        </row>
        <row r="11053">
          <cell r="A11053" t="str">
            <v>506501</v>
          </cell>
          <cell r="B11053" t="str">
            <v>Fornecimento de hexametafosfato de sódio</v>
          </cell>
          <cell r="C11053" t="str">
            <v>kg</v>
          </cell>
          <cell r="D11053">
            <v>0</v>
          </cell>
          <cell r="E11053">
            <v>0.3</v>
          </cell>
          <cell r="F11053">
            <v>0.3</v>
          </cell>
        </row>
        <row r="11054">
          <cell r="A11054" t="str">
            <v>506502</v>
          </cell>
          <cell r="B11054" t="str">
            <v>Fornecimento de dispergel</v>
          </cell>
          <cell r="C11054" t="str">
            <v>kg</v>
          </cell>
          <cell r="D11054">
            <v>0</v>
          </cell>
        </row>
        <row r="11055">
          <cell r="A11055" t="str">
            <v>506503</v>
          </cell>
          <cell r="B11055" t="str">
            <v>Aplicação de dispersante químico</v>
          </cell>
          <cell r="C11055" t="str">
            <v>h</v>
          </cell>
          <cell r="D11055">
            <v>95.13</v>
          </cell>
          <cell r="E11055">
            <v>0</v>
          </cell>
          <cell r="F11055">
            <v>95.13</v>
          </cell>
        </row>
        <row r="11056">
          <cell r="A11056" t="str">
            <v>5070</v>
          </cell>
          <cell r="B11056" t="str">
            <v>DESENVOLVIMENTO</v>
          </cell>
          <cell r="C11056">
            <v>0</v>
          </cell>
          <cell r="D11056">
            <v>0</v>
          </cell>
        </row>
        <row r="11057">
          <cell r="A11057" t="str">
            <v>507001</v>
          </cell>
          <cell r="B11057" t="str">
            <v>Com plunge</v>
          </cell>
          <cell r="C11057" t="str">
            <v>h</v>
          </cell>
          <cell r="D11057">
            <v>105.76</v>
          </cell>
          <cell r="E11057">
            <v>0</v>
          </cell>
          <cell r="F11057">
            <v>105.76</v>
          </cell>
        </row>
        <row r="11058">
          <cell r="A11058" t="str">
            <v>507002</v>
          </cell>
          <cell r="B11058" t="str">
            <v>Com "Air Lifth" - com compressor até 150 PCM</v>
          </cell>
          <cell r="C11058" t="str">
            <v>h</v>
          </cell>
          <cell r="D11058">
            <v>109.45</v>
          </cell>
          <cell r="E11058">
            <v>0</v>
          </cell>
          <cell r="F11058">
            <v>109.45</v>
          </cell>
        </row>
        <row r="11059">
          <cell r="A11059" t="str">
            <v>507003</v>
          </cell>
          <cell r="B11059" t="str">
            <v>Com "Air Lifth" - com compressor de 151a 450 PCM</v>
          </cell>
          <cell r="C11059" t="str">
            <v>h</v>
          </cell>
          <cell r="D11059">
            <v>128.77000000000001</v>
          </cell>
          <cell r="E11059">
            <v>0</v>
          </cell>
          <cell r="F11059">
            <v>128.77000000000001</v>
          </cell>
        </row>
        <row r="11060">
          <cell r="A11060" t="str">
            <v>507004</v>
          </cell>
          <cell r="B11060" t="str">
            <v>Com "Air Lifth" - com compressor de 750 PCM</v>
          </cell>
          <cell r="C11060" t="str">
            <v>h</v>
          </cell>
          <cell r="D11060">
            <v>164.84</v>
          </cell>
          <cell r="E11060">
            <v>0</v>
          </cell>
          <cell r="F11060">
            <v>164.84</v>
          </cell>
        </row>
        <row r="11061">
          <cell r="A11061" t="str">
            <v>5075</v>
          </cell>
          <cell r="B11061" t="str">
            <v>INSTALAÇÃO DE CONJUNTO MOTO-BOMBA PARA TESTE DE VAZÃO</v>
          </cell>
          <cell r="C11061">
            <v>0</v>
          </cell>
          <cell r="D11061">
            <v>0</v>
          </cell>
          <cell r="E11061">
            <v>0</v>
          </cell>
          <cell r="F11061">
            <v>0</v>
          </cell>
        </row>
        <row r="11062">
          <cell r="A11062" t="str">
            <v>507501</v>
          </cell>
          <cell r="B11062" t="str">
            <v>Profundidade até 100,00 m</v>
          </cell>
          <cell r="C11062" t="str">
            <v>ud</v>
          </cell>
          <cell r="D11062">
            <v>150.04</v>
          </cell>
          <cell r="E11062">
            <v>0</v>
          </cell>
          <cell r="F11062">
            <v>150.04</v>
          </cell>
        </row>
        <row r="11063">
          <cell r="A11063" t="str">
            <v>507502</v>
          </cell>
          <cell r="B11063" t="str">
            <v>Profundidade de 100,10 a 200,00 m</v>
          </cell>
          <cell r="C11063" t="str">
            <v>ud</v>
          </cell>
          <cell r="D11063">
            <v>384.8</v>
          </cell>
          <cell r="E11063">
            <v>0</v>
          </cell>
          <cell r="F11063">
            <v>384.8</v>
          </cell>
        </row>
        <row r="11064">
          <cell r="A11064" t="str">
            <v>507503</v>
          </cell>
          <cell r="B11064" t="str">
            <v>Profundidade acima de  200,10 m</v>
          </cell>
          <cell r="C11064" t="str">
            <v>ud</v>
          </cell>
          <cell r="D11064">
            <v>877.28</v>
          </cell>
          <cell r="E11064">
            <v>0</v>
          </cell>
          <cell r="F11064">
            <v>877.28</v>
          </cell>
        </row>
        <row r="11065">
          <cell r="A11065" t="str">
            <v>5076</v>
          </cell>
          <cell r="B11065" t="str">
            <v>TESTE DE VAZÃO</v>
          </cell>
          <cell r="C11065">
            <v>0</v>
          </cell>
          <cell r="D11065">
            <v>0</v>
          </cell>
          <cell r="E11065">
            <v>0</v>
          </cell>
          <cell r="F11065">
            <v>0</v>
          </cell>
        </row>
        <row r="11066">
          <cell r="A11066" t="str">
            <v>507601</v>
          </cell>
          <cell r="B11066" t="str">
            <v>Conjunto moto-bomba até 50 HP com grupo gerador</v>
          </cell>
          <cell r="C11066" t="str">
            <v>h</v>
          </cell>
          <cell r="D11066">
            <v>125.22</v>
          </cell>
          <cell r="E11066">
            <v>0</v>
          </cell>
          <cell r="F11066">
            <v>125.22</v>
          </cell>
        </row>
        <row r="11067">
          <cell r="A11067" t="str">
            <v>507602</v>
          </cell>
          <cell r="B11067" t="str">
            <v>Conjunto moto-bomba de 51 a 100 HP com grupo gerador</v>
          </cell>
          <cell r="C11067" t="str">
            <v>h</v>
          </cell>
          <cell r="D11067">
            <v>184.88</v>
          </cell>
          <cell r="E11067">
            <v>0</v>
          </cell>
          <cell r="F11067">
            <v>184.88</v>
          </cell>
        </row>
        <row r="11068">
          <cell r="A11068" t="str">
            <v>507603</v>
          </cell>
          <cell r="B11068" t="str">
            <v>Conjunto moto-bomba de 101 a 150 HP com grupo gerador</v>
          </cell>
          <cell r="C11068" t="str">
            <v>h</v>
          </cell>
          <cell r="D11068">
            <v>247.64</v>
          </cell>
          <cell r="E11068">
            <v>0</v>
          </cell>
          <cell r="F11068">
            <v>247.64</v>
          </cell>
        </row>
        <row r="11069">
          <cell r="A11069" t="str">
            <v>507604</v>
          </cell>
          <cell r="B11069" t="str">
            <v>Conjunto moto-bomba de 151 a 200 HP com grupo gerador</v>
          </cell>
          <cell r="C11069" t="str">
            <v>h</v>
          </cell>
          <cell r="D11069">
            <v>308.60000000000002</v>
          </cell>
          <cell r="E11069">
            <v>0</v>
          </cell>
          <cell r="F11069">
            <v>308.60000000000002</v>
          </cell>
        </row>
        <row r="11070">
          <cell r="A11070" t="str">
            <v>507605</v>
          </cell>
          <cell r="B11070" t="str">
            <v>Conjunto moto-bomba até 50 HP sem grupo gerador</v>
          </cell>
          <cell r="C11070" t="str">
            <v>h</v>
          </cell>
          <cell r="D11070">
            <v>64.599999999999994</v>
          </cell>
          <cell r="E11070">
            <v>0</v>
          </cell>
          <cell r="F11070">
            <v>64.599999999999994</v>
          </cell>
        </row>
        <row r="11071">
          <cell r="A11071" t="str">
            <v>507606</v>
          </cell>
          <cell r="B11071" t="str">
            <v>Registrador automático de nível de água</v>
          </cell>
          <cell r="C11071" t="str">
            <v>h</v>
          </cell>
          <cell r="D11071">
            <v>0</v>
          </cell>
          <cell r="E11071">
            <v>0</v>
          </cell>
          <cell r="F11071">
            <v>0</v>
          </cell>
        </row>
        <row r="11072">
          <cell r="A11072" t="str">
            <v>507610</v>
          </cell>
          <cell r="B11072" t="str">
            <v>Recuperação de nível</v>
          </cell>
          <cell r="C11072" t="str">
            <v>h</v>
          </cell>
          <cell r="D11072">
            <v>88.82</v>
          </cell>
          <cell r="E11072">
            <v>0</v>
          </cell>
          <cell r="F11072">
            <v>88.82</v>
          </cell>
        </row>
        <row r="11073">
          <cell r="A11073" t="str">
            <v>5080</v>
          </cell>
          <cell r="B11073" t="str">
            <v>PERFILAGEM</v>
          </cell>
          <cell r="C11073">
            <v>0</v>
          </cell>
          <cell r="D11073">
            <v>0</v>
          </cell>
          <cell r="E11073">
            <v>0</v>
          </cell>
        </row>
        <row r="11074">
          <cell r="A11074" t="str">
            <v>508001</v>
          </cell>
          <cell r="B11074" t="str">
            <v>Perfilagem geofísica (sp, indução, elétrica, sônico, caliper, gama)</v>
          </cell>
          <cell r="C11074" t="str">
            <v>ud</v>
          </cell>
          <cell r="D11074">
            <v>0</v>
          </cell>
          <cell r="E11074">
            <v>0</v>
          </cell>
          <cell r="F11074">
            <v>0</v>
          </cell>
        </row>
        <row r="11075">
          <cell r="A11075" t="str">
            <v>508002</v>
          </cell>
          <cell r="B11075" t="str">
            <v>Perfilagem geofísica (sp, indução, elétrica, sônico, gama)</v>
          </cell>
          <cell r="C11075" t="str">
            <v>ud</v>
          </cell>
          <cell r="D11075">
            <v>0</v>
          </cell>
          <cell r="F11075">
            <v>0</v>
          </cell>
        </row>
        <row r="11076">
          <cell r="A11076" t="str">
            <v>508010</v>
          </cell>
          <cell r="B11076" t="str">
            <v>Perfilagem ótica de alta resolução</v>
          </cell>
          <cell r="C11076" t="str">
            <v>ud</v>
          </cell>
          <cell r="D11076">
            <v>0</v>
          </cell>
          <cell r="F11076">
            <v>0</v>
          </cell>
        </row>
        <row r="11077">
          <cell r="A11077" t="str">
            <v>5085</v>
          </cell>
          <cell r="B11077" t="str">
            <v>ANÁLISE FÍSICO-QUÍMICA</v>
          </cell>
          <cell r="C11077">
            <v>0</v>
          </cell>
          <cell r="D11077">
            <v>0</v>
          </cell>
          <cell r="F11077">
            <v>0</v>
          </cell>
        </row>
        <row r="11078">
          <cell r="A11078" t="str">
            <v>508501</v>
          </cell>
          <cell r="B11078" t="str">
            <v>Análise físico-química completa</v>
          </cell>
          <cell r="C11078" t="str">
            <v>ud</v>
          </cell>
          <cell r="D11078">
            <v>0</v>
          </cell>
          <cell r="F11078">
            <v>0</v>
          </cell>
        </row>
        <row r="11079">
          <cell r="A11079" t="str">
            <v>52</v>
          </cell>
          <cell r="B11079" t="str">
            <v>MATERIAIS PARA POÇOS PROFUNDOS</v>
          </cell>
        </row>
        <row r="11080">
          <cell r="A11080" t="str">
            <v>5201</v>
          </cell>
          <cell r="B11080" t="str">
            <v>TUBO LISO, CHAPA 3/16", AÇO PRETO - PROTEÇÃO SANITÁRIA</v>
          </cell>
          <cell r="C11080">
            <v>0</v>
          </cell>
          <cell r="D11080">
            <v>0</v>
          </cell>
          <cell r="F11080">
            <v>0</v>
          </cell>
        </row>
        <row r="11081">
          <cell r="A11081" t="str">
            <v>520101</v>
          </cell>
          <cell r="B11081" t="str">
            <v>DN 203 (8")</v>
          </cell>
          <cell r="C11081" t="str">
            <v>m</v>
          </cell>
          <cell r="D11081">
            <v>0</v>
          </cell>
          <cell r="F11081">
            <v>0</v>
          </cell>
        </row>
        <row r="11082">
          <cell r="A11082" t="str">
            <v>520102</v>
          </cell>
          <cell r="B11082" t="str">
            <v>DN 254 (10")</v>
          </cell>
          <cell r="C11082" t="str">
            <v>m</v>
          </cell>
          <cell r="D11082">
            <v>0</v>
          </cell>
          <cell r="F11082">
            <v>0</v>
          </cell>
        </row>
        <row r="11083">
          <cell r="A11083" t="str">
            <v>520103</v>
          </cell>
          <cell r="B11083" t="str">
            <v>DN 305 (12")</v>
          </cell>
          <cell r="C11083" t="str">
            <v>m</v>
          </cell>
          <cell r="D11083">
            <v>0</v>
          </cell>
          <cell r="F11083">
            <v>0</v>
          </cell>
        </row>
        <row r="11084">
          <cell r="A11084" t="str">
            <v>520104</v>
          </cell>
          <cell r="B11084" t="str">
            <v>DN 356 (14")</v>
          </cell>
          <cell r="C11084" t="str">
            <v>m</v>
          </cell>
          <cell r="D11084">
            <v>0</v>
          </cell>
          <cell r="F11084">
            <v>0</v>
          </cell>
        </row>
        <row r="11085">
          <cell r="A11085" t="str">
            <v>520105</v>
          </cell>
          <cell r="B11085" t="str">
            <v>DN 406 (16")</v>
          </cell>
          <cell r="C11085" t="str">
            <v>m</v>
          </cell>
          <cell r="D11085">
            <v>0</v>
          </cell>
          <cell r="F11085">
            <v>0</v>
          </cell>
        </row>
        <row r="11086">
          <cell r="A11086" t="str">
            <v>520106</v>
          </cell>
          <cell r="B11086" t="str">
            <v>DN 457 (18")</v>
          </cell>
          <cell r="C11086" t="str">
            <v>m</v>
          </cell>
          <cell r="D11086">
            <v>0</v>
          </cell>
          <cell r="F11086">
            <v>0</v>
          </cell>
        </row>
        <row r="11087">
          <cell r="A11087" t="str">
            <v>520107</v>
          </cell>
          <cell r="B11087" t="str">
            <v>DN 508 (20")</v>
          </cell>
          <cell r="C11087" t="str">
            <v>m</v>
          </cell>
          <cell r="D11087">
            <v>0</v>
          </cell>
          <cell r="F11087">
            <v>0</v>
          </cell>
        </row>
        <row r="11088">
          <cell r="A11088" t="str">
            <v>5203</v>
          </cell>
          <cell r="B11088" t="str">
            <v>TUBO LISO SCH 20, AÇO PRETO COM COSTURA</v>
          </cell>
          <cell r="C11088">
            <v>0</v>
          </cell>
          <cell r="D11088">
            <v>0</v>
          </cell>
          <cell r="F11088">
            <v>0</v>
          </cell>
        </row>
        <row r="11089">
          <cell r="A11089" t="str">
            <v>520302</v>
          </cell>
          <cell r="B11089" t="str">
            <v>DN 203 (8")</v>
          </cell>
          <cell r="C11089" t="str">
            <v>m</v>
          </cell>
          <cell r="D11089">
            <v>0</v>
          </cell>
          <cell r="F11089">
            <v>0</v>
          </cell>
        </row>
        <row r="11090">
          <cell r="A11090" t="str">
            <v>520303</v>
          </cell>
          <cell r="B11090" t="str">
            <v>DN 254 (10")</v>
          </cell>
          <cell r="C11090" t="str">
            <v>m</v>
          </cell>
          <cell r="D11090">
            <v>0</v>
          </cell>
          <cell r="F11090">
            <v>0</v>
          </cell>
        </row>
        <row r="11091">
          <cell r="A11091" t="str">
            <v>520304</v>
          </cell>
          <cell r="B11091" t="str">
            <v>DN 305 (12")</v>
          </cell>
          <cell r="C11091" t="str">
            <v>m</v>
          </cell>
          <cell r="D11091">
            <v>0</v>
          </cell>
          <cell r="F11091">
            <v>0</v>
          </cell>
        </row>
        <row r="11092">
          <cell r="A11092" t="str">
            <v>5204</v>
          </cell>
          <cell r="B11092" t="str">
            <v>TUBO LISO SCH 30, AÇO PRETO COM COSTURA</v>
          </cell>
          <cell r="C11092">
            <v>0</v>
          </cell>
          <cell r="D11092">
            <v>0</v>
          </cell>
          <cell r="F11092">
            <v>0</v>
          </cell>
        </row>
        <row r="11093">
          <cell r="A11093" t="str">
            <v>520402</v>
          </cell>
          <cell r="B11093" t="str">
            <v>DN 203 (8")</v>
          </cell>
          <cell r="C11093" t="str">
            <v>m</v>
          </cell>
          <cell r="D11093">
            <v>0</v>
          </cell>
          <cell r="F11093">
            <v>0</v>
          </cell>
        </row>
        <row r="11094">
          <cell r="A11094" t="str">
            <v>520403</v>
          </cell>
          <cell r="B11094" t="str">
            <v>DN 254 (10")</v>
          </cell>
          <cell r="C11094" t="str">
            <v>m</v>
          </cell>
          <cell r="D11094">
            <v>0</v>
          </cell>
          <cell r="F11094">
            <v>0</v>
          </cell>
        </row>
        <row r="11095">
          <cell r="A11095" t="str">
            <v>520404</v>
          </cell>
          <cell r="B11095" t="str">
            <v>DN 305 (12")</v>
          </cell>
          <cell r="C11095" t="str">
            <v>m</v>
          </cell>
          <cell r="D11095">
            <v>0</v>
          </cell>
          <cell r="F11095">
            <v>0</v>
          </cell>
        </row>
        <row r="11096">
          <cell r="A11096" t="str">
            <v>5205</v>
          </cell>
          <cell r="B11096" t="str">
            <v>TUBO LISO DIN 2440, AÇO PRETO COM COSTURA</v>
          </cell>
          <cell r="C11096">
            <v>0</v>
          </cell>
          <cell r="D11096">
            <v>0</v>
          </cell>
          <cell r="F11096">
            <v>0</v>
          </cell>
        </row>
        <row r="11097">
          <cell r="A11097" t="str">
            <v>520502</v>
          </cell>
          <cell r="B11097" t="str">
            <v>DN 152 (6")</v>
          </cell>
          <cell r="C11097" t="str">
            <v>m</v>
          </cell>
          <cell r="D11097">
            <v>0</v>
          </cell>
          <cell r="F11097">
            <v>0</v>
          </cell>
        </row>
        <row r="11098">
          <cell r="A11098" t="str">
            <v>5207</v>
          </cell>
          <cell r="B11098" t="str">
            <v>TUBO LISO, AÇO GALVANIZADO COM COSTURA</v>
          </cell>
        </row>
        <row r="11099">
          <cell r="A11099" t="str">
            <v>520701</v>
          </cell>
          <cell r="B11099" t="str">
            <v>DN 100 (4")</v>
          </cell>
          <cell r="C11099" t="str">
            <v>m</v>
          </cell>
          <cell r="D11099">
            <v>0</v>
          </cell>
          <cell r="F11099">
            <v>0</v>
          </cell>
        </row>
        <row r="11100">
          <cell r="A11100" t="str">
            <v>520702</v>
          </cell>
          <cell r="B11100" t="str">
            <v>DN 152 (6")</v>
          </cell>
          <cell r="C11100" t="str">
            <v>m</v>
          </cell>
          <cell r="D11100">
            <v>0</v>
          </cell>
          <cell r="F11100">
            <v>0</v>
          </cell>
        </row>
        <row r="11101">
          <cell r="A11101" t="str">
            <v>520703</v>
          </cell>
          <cell r="B11101" t="str">
            <v>DN 203 (8")</v>
          </cell>
          <cell r="C11101" t="str">
            <v>m</v>
          </cell>
          <cell r="D11101">
            <v>0</v>
          </cell>
          <cell r="F11101">
            <v>0</v>
          </cell>
        </row>
        <row r="11102">
          <cell r="A11102" t="str">
            <v>520704</v>
          </cell>
          <cell r="B11102" t="str">
            <v>DN 254 (10")</v>
          </cell>
          <cell r="C11102" t="str">
            <v>m</v>
          </cell>
          <cell r="D11102">
            <v>0</v>
          </cell>
          <cell r="F11102">
            <v>0</v>
          </cell>
        </row>
        <row r="11103">
          <cell r="A11103" t="str">
            <v>520705</v>
          </cell>
          <cell r="B11103" t="str">
            <v>DN 305 (12")</v>
          </cell>
          <cell r="C11103" t="str">
            <v>m</v>
          </cell>
          <cell r="D11103">
            <v>0</v>
          </cell>
          <cell r="F11103">
            <v>0</v>
          </cell>
        </row>
        <row r="11104">
          <cell r="A11104" t="str">
            <v>5209</v>
          </cell>
          <cell r="B11104" t="str">
            <v>TUBO PVC RÍGIDO NERVURADO - STD (GEOMECÂNICO)</v>
          </cell>
          <cell r="C11104">
            <v>0</v>
          </cell>
          <cell r="D11104">
            <v>0</v>
          </cell>
          <cell r="F11104">
            <v>0</v>
          </cell>
        </row>
        <row r="11105">
          <cell r="A11105" t="str">
            <v>520901</v>
          </cell>
          <cell r="B11105" t="str">
            <v>DN 100 (4") - STD</v>
          </cell>
          <cell r="C11105" t="str">
            <v>m</v>
          </cell>
          <cell r="D11105">
            <v>0</v>
          </cell>
          <cell r="F11105">
            <v>0</v>
          </cell>
        </row>
        <row r="11106">
          <cell r="A11106" t="str">
            <v>520902</v>
          </cell>
          <cell r="B11106" t="str">
            <v>DN 150 (6") - STD</v>
          </cell>
          <cell r="C11106" t="str">
            <v>m</v>
          </cell>
          <cell r="D11106">
            <v>0</v>
          </cell>
          <cell r="F11106">
            <v>0</v>
          </cell>
        </row>
        <row r="11107">
          <cell r="A11107" t="str">
            <v>520903</v>
          </cell>
          <cell r="B11107" t="str">
            <v>DN 200 (8") - STD</v>
          </cell>
          <cell r="C11107" t="str">
            <v>m</v>
          </cell>
          <cell r="D11107">
            <v>0</v>
          </cell>
          <cell r="F11107">
            <v>0</v>
          </cell>
        </row>
        <row r="11108">
          <cell r="A11108" t="str">
            <v>520904</v>
          </cell>
          <cell r="B11108" t="str">
            <v>DN 250 (10") - STD</v>
          </cell>
          <cell r="C11108" t="str">
            <v>m</v>
          </cell>
          <cell r="D11108">
            <v>0</v>
          </cell>
          <cell r="F11108">
            <v>0</v>
          </cell>
        </row>
        <row r="11109">
          <cell r="A11109" t="str">
            <v>520905</v>
          </cell>
          <cell r="B11109" t="str">
            <v>DN 300 (12") - STD</v>
          </cell>
          <cell r="C11109" t="str">
            <v>m</v>
          </cell>
          <cell r="D11109">
            <v>0</v>
          </cell>
          <cell r="F11109">
            <v>0</v>
          </cell>
        </row>
        <row r="11110">
          <cell r="A11110" t="str">
            <v>5210</v>
          </cell>
          <cell r="B11110" t="str">
            <v>TUBO PVC RÍGIDO NERVURADO - REF (GEOMECÂNICO)</v>
          </cell>
          <cell r="C11110">
            <v>0</v>
          </cell>
          <cell r="D11110">
            <v>0</v>
          </cell>
          <cell r="F11110">
            <v>0</v>
          </cell>
        </row>
        <row r="11111">
          <cell r="A11111" t="str">
            <v>521002</v>
          </cell>
          <cell r="B11111" t="str">
            <v>DN 150 (6") - REF</v>
          </cell>
          <cell r="C11111" t="str">
            <v>m</v>
          </cell>
          <cell r="D11111">
            <v>0</v>
          </cell>
          <cell r="F11111">
            <v>0</v>
          </cell>
        </row>
        <row r="11112">
          <cell r="A11112" t="str">
            <v>521003</v>
          </cell>
          <cell r="B11112" t="str">
            <v>DN 200 (8") - REF</v>
          </cell>
          <cell r="C11112" t="str">
            <v>m</v>
          </cell>
          <cell r="D11112">
            <v>0</v>
          </cell>
          <cell r="F11112">
            <v>0</v>
          </cell>
        </row>
        <row r="11113">
          <cell r="A11113" t="str">
            <v>5212</v>
          </cell>
          <cell r="B11113" t="str">
            <v>FILTRO METÁLICO, RANHURA CONTÍNUA, ABERTURA 0,75 MM</v>
          </cell>
          <cell r="C11113">
            <v>0</v>
          </cell>
          <cell r="D11113">
            <v>0</v>
          </cell>
          <cell r="F11113">
            <v>0</v>
          </cell>
        </row>
        <row r="11114">
          <cell r="A11114" t="str">
            <v>521201</v>
          </cell>
          <cell r="B11114" t="str">
            <v>DN 100 (4")</v>
          </cell>
          <cell r="C11114" t="str">
            <v>m</v>
          </cell>
          <cell r="D11114">
            <v>0</v>
          </cell>
          <cell r="F11114">
            <v>0</v>
          </cell>
        </row>
        <row r="11115">
          <cell r="A11115" t="str">
            <v>521202</v>
          </cell>
          <cell r="B11115" t="str">
            <v>DN 152 (6")</v>
          </cell>
          <cell r="C11115" t="str">
            <v>m</v>
          </cell>
          <cell r="D11115">
            <v>0</v>
          </cell>
          <cell r="F11115">
            <v>0</v>
          </cell>
        </row>
        <row r="11116">
          <cell r="A11116" t="str">
            <v>521203</v>
          </cell>
          <cell r="B11116" t="str">
            <v>DN 203 (8")</v>
          </cell>
          <cell r="C11116" t="str">
            <v>m</v>
          </cell>
          <cell r="D11116">
            <v>0</v>
          </cell>
          <cell r="F11116">
            <v>0</v>
          </cell>
        </row>
        <row r="11117">
          <cell r="A11117" t="str">
            <v>521204</v>
          </cell>
          <cell r="B11117" t="str">
            <v>DN 254 (10")</v>
          </cell>
          <cell r="C11117" t="str">
            <v>m</v>
          </cell>
          <cell r="D11117">
            <v>0</v>
          </cell>
          <cell r="F11117">
            <v>0</v>
          </cell>
        </row>
        <row r="11118">
          <cell r="A11118" t="str">
            <v>5213</v>
          </cell>
          <cell r="B11118" t="str">
            <v>FILTRO METÁLICO, RANHURA CONTÍNUA, ABERTURA 0,50 MM</v>
          </cell>
          <cell r="C11118">
            <v>0</v>
          </cell>
          <cell r="D11118">
            <v>0</v>
          </cell>
          <cell r="F11118">
            <v>0</v>
          </cell>
        </row>
        <row r="11119">
          <cell r="A11119" t="str">
            <v>521301</v>
          </cell>
          <cell r="B11119" t="str">
            <v>DN 100 (4")</v>
          </cell>
          <cell r="C11119" t="str">
            <v>m</v>
          </cell>
          <cell r="D11119">
            <v>0</v>
          </cell>
          <cell r="F11119">
            <v>0</v>
          </cell>
        </row>
        <row r="11120">
          <cell r="A11120" t="str">
            <v>521302</v>
          </cell>
          <cell r="B11120" t="str">
            <v>DN 152 (6")</v>
          </cell>
          <cell r="C11120" t="str">
            <v>m</v>
          </cell>
          <cell r="D11120">
            <v>0</v>
          </cell>
          <cell r="F11120">
            <v>0</v>
          </cell>
        </row>
        <row r="11121">
          <cell r="A11121" t="str">
            <v>521303</v>
          </cell>
          <cell r="B11121" t="str">
            <v>DN 203 (8")</v>
          </cell>
          <cell r="C11121" t="str">
            <v>m</v>
          </cell>
          <cell r="D11121">
            <v>0</v>
          </cell>
          <cell r="F11121">
            <v>0</v>
          </cell>
        </row>
        <row r="11122">
          <cell r="A11122" t="str">
            <v>521304</v>
          </cell>
          <cell r="B11122" t="str">
            <v>DN 254 (10")</v>
          </cell>
          <cell r="C11122" t="str">
            <v>m</v>
          </cell>
          <cell r="D11122">
            <v>0</v>
          </cell>
          <cell r="F11122">
            <v>0</v>
          </cell>
        </row>
        <row r="11123">
          <cell r="A11123" t="str">
            <v>5214</v>
          </cell>
          <cell r="B11123" t="str">
            <v>FILTRO PVC RÍGICO NERVURADO - STD (GEOMECÂNICO), ABERTURA 0,75 MM</v>
          </cell>
          <cell r="C11123">
            <v>0</v>
          </cell>
          <cell r="D11123">
            <v>0</v>
          </cell>
          <cell r="F11123">
            <v>0</v>
          </cell>
        </row>
        <row r="11124">
          <cell r="A11124" t="str">
            <v>521401</v>
          </cell>
          <cell r="B11124" t="str">
            <v>DN 100 (4") - STD</v>
          </cell>
          <cell r="C11124" t="str">
            <v>m</v>
          </cell>
          <cell r="D11124">
            <v>0</v>
          </cell>
          <cell r="F11124">
            <v>0</v>
          </cell>
        </row>
        <row r="11125">
          <cell r="A11125" t="str">
            <v>521402</v>
          </cell>
          <cell r="B11125" t="str">
            <v>DN 150 (6") - STD</v>
          </cell>
          <cell r="C11125" t="str">
            <v>m</v>
          </cell>
          <cell r="D11125">
            <v>0</v>
          </cell>
          <cell r="F11125">
            <v>0</v>
          </cell>
        </row>
        <row r="11126">
          <cell r="A11126" t="str">
            <v>521403</v>
          </cell>
          <cell r="B11126" t="str">
            <v>DN 200 (8") - STD</v>
          </cell>
          <cell r="C11126" t="str">
            <v>m</v>
          </cell>
          <cell r="D11126">
            <v>0</v>
          </cell>
          <cell r="F11126">
            <v>0</v>
          </cell>
        </row>
        <row r="11127">
          <cell r="A11127" t="str">
            <v>521404</v>
          </cell>
          <cell r="B11127" t="str">
            <v>DN 250 (10") - STD</v>
          </cell>
          <cell r="C11127" t="str">
            <v>m</v>
          </cell>
          <cell r="D11127">
            <v>0</v>
          </cell>
          <cell r="F11127">
            <v>0</v>
          </cell>
        </row>
        <row r="11128">
          <cell r="A11128" t="str">
            <v>521405</v>
          </cell>
          <cell r="B11128" t="str">
            <v>DN 300 (12") - STD</v>
          </cell>
          <cell r="C11128" t="str">
            <v>m</v>
          </cell>
          <cell r="D11128">
            <v>0</v>
          </cell>
          <cell r="F11128">
            <v>0</v>
          </cell>
        </row>
        <row r="11129">
          <cell r="A11129" t="str">
            <v>5215</v>
          </cell>
          <cell r="B11129" t="str">
            <v>FILTRO PVC RÍGICO NERVURADO - REF (GEOMECÂNICO)</v>
          </cell>
          <cell r="C11129">
            <v>0</v>
          </cell>
          <cell r="D11129">
            <v>0</v>
          </cell>
          <cell r="F11129">
            <v>0</v>
          </cell>
        </row>
        <row r="11130">
          <cell r="A11130" t="str">
            <v>521502</v>
          </cell>
          <cell r="B11130" t="str">
            <v>DN 150 (6") - REF</v>
          </cell>
          <cell r="C11130" t="str">
            <v>m</v>
          </cell>
          <cell r="D11130">
            <v>0</v>
          </cell>
          <cell r="F11130">
            <v>0</v>
          </cell>
        </row>
        <row r="11131">
          <cell r="A11131" t="str">
            <v>521503</v>
          </cell>
          <cell r="B11131" t="str">
            <v>DN 200 (8") - REF</v>
          </cell>
          <cell r="C11131" t="str">
            <v>m</v>
          </cell>
          <cell r="D11131">
            <v>0</v>
          </cell>
          <cell r="F11131">
            <v>0</v>
          </cell>
        </row>
        <row r="11132">
          <cell r="A11132" t="str">
            <v>521502</v>
          </cell>
          <cell r="B11132" t="str">
            <v>DN 150 (6") - REF</v>
          </cell>
          <cell r="C11132" t="str">
            <v>m</v>
          </cell>
          <cell r="D11132">
            <v>0</v>
          </cell>
          <cell r="F11132">
            <v>0</v>
          </cell>
        </row>
        <row r="11133">
          <cell r="A11133" t="str">
            <v>521503</v>
          </cell>
          <cell r="B11133" t="str">
            <v>DN 200 (8") - REF</v>
          </cell>
          <cell r="C11133" t="str">
            <v>m</v>
          </cell>
          <cell r="D11133">
            <v>0</v>
          </cell>
          <cell r="F11133">
            <v>0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I-SERVIÇOS"/>
      <sheetName val="BDI-MATERIAIS"/>
      <sheetName val="RESUMO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</sheetNames>
    <sheetDataSet>
      <sheetData sheetId="0"/>
      <sheetData sheetId="1"/>
      <sheetData sheetId="2">
        <row r="41">
          <cell r="A41">
            <v>15</v>
          </cell>
        </row>
        <row r="42">
          <cell r="A42">
            <v>16</v>
          </cell>
          <cell r="B42" t="str">
            <v>CAIXAS - SERVIÇOS</v>
          </cell>
        </row>
        <row r="43">
          <cell r="A43">
            <v>17</v>
          </cell>
          <cell r="B43" t="str">
            <v>CAIXAS - MATERIAIS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27">
          <cell r="H27">
            <v>57034.96</v>
          </cell>
        </row>
      </sheetData>
      <sheetData sheetId="16"/>
      <sheetData sheetId="17"/>
      <sheetData sheetId="18"/>
      <sheetData sheetId="19"/>
      <sheetData sheetId="20"/>
      <sheetData sheetId="21">
        <row r="14">
          <cell r="H14">
            <v>16.93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I-SERVIÇOS"/>
      <sheetName val="BDI-MATERIAIS"/>
      <sheetName val="RESUMO"/>
      <sheetName val="01"/>
      <sheetName val="02"/>
      <sheetName val="03"/>
      <sheetName val="04"/>
      <sheetName val="05"/>
      <sheetName val="06"/>
      <sheetName val="07"/>
      <sheetName val="08"/>
      <sheetName val="09"/>
      <sheetName val="08 (2)"/>
      <sheetName val="09 (2)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</sheetNames>
    <sheetDataSet>
      <sheetData sheetId="0"/>
      <sheetData sheetId="1"/>
      <sheetData sheetId="2">
        <row r="42">
          <cell r="A42">
            <v>13</v>
          </cell>
          <cell r="B42" t="str">
            <v>LAGOAS ANAERÓBIAS 1 E 2 - MATERIAIS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I-SERVIÇOS"/>
      <sheetName val="BDI-MATERIAIS"/>
      <sheetName val="RESUMO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</sheetNames>
    <sheetDataSet>
      <sheetData sheetId="0" refreshError="1"/>
      <sheetData sheetId="1" refreshError="1"/>
      <sheetData sheetId="2" refreshError="1">
        <row r="4">
          <cell r="G4">
            <v>43521</v>
          </cell>
        </row>
        <row r="40">
          <cell r="A40">
            <v>14</v>
          </cell>
          <cell r="B40" t="str">
            <v>LAGOA FACULTATIVA 1 - SERVIÇOS</v>
          </cell>
        </row>
        <row r="44">
          <cell r="A44">
            <v>18</v>
          </cell>
          <cell r="B44" t="str">
            <v>LABORATÓRIO - SERVIÇOS</v>
          </cell>
        </row>
        <row r="45">
          <cell r="A45">
            <v>19</v>
          </cell>
          <cell r="B45" t="str">
            <v>LABORATÓRIO - MATERIAIS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>
        <row r="17">
          <cell r="N17">
            <v>59017.254250000005</v>
          </cell>
        </row>
      </sheetData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3.v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4.v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5.v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6.v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7.v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8.v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9.v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0.v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1.v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2.v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3.v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4.v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5.v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6.v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7.v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8.v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9.v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0.v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1.v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2.v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3.v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4.v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5.v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6.vml"/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7.vml"/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8.vml"/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9.vml"/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0.vml"/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1.vml"/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2.vml"/><Relationship Id="rId1" Type="http://schemas.openxmlformats.org/officeDocument/2006/relationships/printerSettings" Target="../printerSettings/printerSettings7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2"/>
  <dimension ref="A1:F33"/>
  <sheetViews>
    <sheetView view="pageBreakPreview" zoomScaleNormal="100" zoomScaleSheetLayoutView="100" workbookViewId="0">
      <selection activeCell="C21" sqref="C21"/>
    </sheetView>
  </sheetViews>
  <sheetFormatPr defaultRowHeight="15" x14ac:dyDescent="0.25"/>
  <cols>
    <col min="1" max="1" width="7.28515625" style="103" customWidth="1"/>
    <col min="2" max="2" width="60.7109375" style="103" customWidth="1"/>
    <col min="3" max="3" width="17.42578125" style="103" customWidth="1"/>
    <col min="4" max="4" width="7.5703125" style="103" customWidth="1"/>
    <col min="5" max="16384" width="9.140625" style="103"/>
  </cols>
  <sheetData>
    <row r="1" spans="1:4" ht="21.75" customHeight="1" x14ac:dyDescent="0.25">
      <c r="A1" s="101"/>
      <c r="B1" s="762" t="s">
        <v>512</v>
      </c>
      <c r="C1" s="762"/>
      <c r="D1" s="102"/>
    </row>
    <row r="2" spans="1:4" ht="19.5" customHeight="1" x14ac:dyDescent="0.25">
      <c r="A2" s="104"/>
      <c r="B2" s="763" t="s">
        <v>513</v>
      </c>
      <c r="C2" s="763"/>
      <c r="D2" s="105"/>
    </row>
    <row r="3" spans="1:4" x14ac:dyDescent="0.25">
      <c r="A3" s="104"/>
      <c r="D3" s="105"/>
    </row>
    <row r="4" spans="1:4" ht="15.75" x14ac:dyDescent="0.25">
      <c r="A4" s="104"/>
      <c r="B4" s="106" t="s">
        <v>514</v>
      </c>
      <c r="D4" s="105"/>
    </row>
    <row r="5" spans="1:4" ht="15.75" x14ac:dyDescent="0.25">
      <c r="A5" s="104"/>
      <c r="B5" s="106" t="s">
        <v>515</v>
      </c>
      <c r="C5" s="115">
        <v>0.03</v>
      </c>
      <c r="D5" s="105"/>
    </row>
    <row r="6" spans="1:4" x14ac:dyDescent="0.25">
      <c r="A6" s="104"/>
      <c r="D6" s="105"/>
    </row>
    <row r="7" spans="1:4" ht="30" customHeight="1" x14ac:dyDescent="0.25">
      <c r="A7" s="104"/>
      <c r="B7" s="764" t="s">
        <v>516</v>
      </c>
      <c r="C7" s="764"/>
      <c r="D7" s="105"/>
    </row>
    <row r="8" spans="1:4" x14ac:dyDescent="0.25">
      <c r="A8" s="104"/>
      <c r="D8" s="105"/>
    </row>
    <row r="9" spans="1:4" x14ac:dyDescent="0.25">
      <c r="A9" s="104"/>
      <c r="D9" s="105"/>
    </row>
    <row r="10" spans="1:4" ht="32.25" customHeight="1" x14ac:dyDescent="0.25">
      <c r="A10" s="104"/>
      <c r="B10" s="120" t="s">
        <v>517</v>
      </c>
      <c r="C10" s="121" t="s">
        <v>518</v>
      </c>
      <c r="D10" s="105"/>
    </row>
    <row r="11" spans="1:4" ht="18.75" x14ac:dyDescent="0.3">
      <c r="A11" s="104"/>
      <c r="B11" s="116" t="s">
        <v>525</v>
      </c>
      <c r="C11" s="117">
        <v>4.02E-2</v>
      </c>
      <c r="D11" s="105"/>
    </row>
    <row r="12" spans="1:4" ht="18.75" x14ac:dyDescent="0.3">
      <c r="A12" s="104"/>
      <c r="B12" s="116" t="s">
        <v>526</v>
      </c>
      <c r="C12" s="117">
        <v>4.1999999999999997E-3</v>
      </c>
      <c r="D12" s="105"/>
    </row>
    <row r="13" spans="1:4" ht="18.75" x14ac:dyDescent="0.3">
      <c r="A13" s="104"/>
      <c r="B13" s="116" t="s">
        <v>527</v>
      </c>
      <c r="C13" s="117">
        <v>1.18E-2</v>
      </c>
      <c r="D13" s="105"/>
    </row>
    <row r="14" spans="1:4" ht="18.75" x14ac:dyDescent="0.3">
      <c r="A14" s="104"/>
      <c r="B14" s="116" t="s">
        <v>528</v>
      </c>
      <c r="C14" s="117">
        <v>8.5000000000000006E-3</v>
      </c>
      <c r="D14" s="105"/>
    </row>
    <row r="15" spans="1:4" ht="18.75" x14ac:dyDescent="0.3">
      <c r="A15" s="104"/>
      <c r="B15" s="116" t="s">
        <v>529</v>
      </c>
      <c r="C15" s="117">
        <v>6.4199999999999993E-2</v>
      </c>
      <c r="D15" s="105"/>
    </row>
    <row r="16" spans="1:4" ht="18.75" x14ac:dyDescent="0.3">
      <c r="A16" s="104"/>
      <c r="B16" s="116" t="s">
        <v>530</v>
      </c>
      <c r="C16" s="117">
        <v>3.6499999999999998E-2</v>
      </c>
      <c r="D16" s="105"/>
    </row>
    <row r="17" spans="1:6" ht="18.75" x14ac:dyDescent="0.3">
      <c r="A17" s="104"/>
      <c r="B17" s="116" t="s">
        <v>531</v>
      </c>
      <c r="C17" s="117">
        <f>C5</f>
        <v>0.03</v>
      </c>
      <c r="D17" s="105"/>
    </row>
    <row r="18" spans="1:6" ht="18.75" x14ac:dyDescent="0.3">
      <c r="A18" s="104"/>
      <c r="B18" s="116" t="s">
        <v>532</v>
      </c>
      <c r="C18" s="117">
        <v>4.4999999999999998E-2</v>
      </c>
      <c r="D18" s="105"/>
    </row>
    <row r="19" spans="1:6" x14ac:dyDescent="0.25">
      <c r="A19" s="104"/>
      <c r="B19" s="767"/>
      <c r="C19" s="768"/>
      <c r="D19" s="105"/>
      <c r="F19" s="476">
        <f>((1+C11+C12+C13)*(1+C14)*(1+C15)/(1-C16-C17-C18))-1</f>
        <v>0.2758155411817671</v>
      </c>
    </row>
    <row r="20" spans="1:6" ht="18.75" x14ac:dyDescent="0.3">
      <c r="A20" s="104"/>
      <c r="B20" s="118" t="s">
        <v>519</v>
      </c>
      <c r="C20" s="119">
        <v>0.27579999999999999</v>
      </c>
      <c r="D20" s="105"/>
    </row>
    <row r="21" spans="1:6" x14ac:dyDescent="0.25">
      <c r="A21" s="104"/>
      <c r="D21" s="105"/>
    </row>
    <row r="22" spans="1:6" x14ac:dyDescent="0.25">
      <c r="A22" s="104"/>
      <c r="D22" s="105"/>
    </row>
    <row r="23" spans="1:6" ht="50.25" customHeight="1" x14ac:dyDescent="0.25">
      <c r="A23" s="104"/>
      <c r="B23" s="765" t="s">
        <v>520</v>
      </c>
      <c r="C23" s="765"/>
      <c r="D23" s="105"/>
    </row>
    <row r="24" spans="1:6" x14ac:dyDescent="0.25">
      <c r="A24" s="104"/>
      <c r="B24" s="107"/>
      <c r="C24" s="107"/>
      <c r="D24" s="105"/>
    </row>
    <row r="25" spans="1:6" ht="18" x14ac:dyDescent="0.25">
      <c r="A25" s="104"/>
      <c r="B25" s="766" t="s">
        <v>521</v>
      </c>
      <c r="C25" s="766"/>
      <c r="D25" s="105"/>
    </row>
    <row r="26" spans="1:6" x14ac:dyDescent="0.25">
      <c r="A26" s="104"/>
      <c r="B26" s="107"/>
      <c r="C26" s="107"/>
      <c r="D26" s="105"/>
    </row>
    <row r="27" spans="1:6" ht="18.75" x14ac:dyDescent="0.3">
      <c r="A27" s="104"/>
      <c r="B27" s="108" t="s">
        <v>522</v>
      </c>
      <c r="C27" s="107"/>
      <c r="D27" s="105"/>
    </row>
    <row r="28" spans="1:6" ht="59.25" customHeight="1" x14ac:dyDescent="0.25">
      <c r="A28" s="104"/>
      <c r="B28" s="761" t="s">
        <v>736</v>
      </c>
      <c r="C28" s="761"/>
      <c r="D28" s="105"/>
    </row>
    <row r="29" spans="1:6" x14ac:dyDescent="0.25">
      <c r="A29" s="104"/>
      <c r="D29" s="105"/>
    </row>
    <row r="30" spans="1:6" x14ac:dyDescent="0.25">
      <c r="A30" s="104"/>
      <c r="D30" s="105"/>
    </row>
    <row r="31" spans="1:6" ht="18.75" x14ac:dyDescent="0.3">
      <c r="A31" s="104"/>
      <c r="B31" s="110"/>
      <c r="C31" s="111"/>
      <c r="D31" s="105"/>
    </row>
    <row r="32" spans="1:6" ht="18.75" x14ac:dyDescent="0.3">
      <c r="A32" s="104"/>
      <c r="B32" s="109"/>
      <c r="D32" s="105"/>
    </row>
    <row r="33" spans="1:4" ht="15.75" thickBot="1" x14ac:dyDescent="0.3">
      <c r="A33" s="112"/>
      <c r="B33" s="113"/>
      <c r="C33" s="113"/>
      <c r="D33" s="114"/>
    </row>
  </sheetData>
  <mergeCells count="7">
    <mergeCell ref="B28:C28"/>
    <mergeCell ref="B1:C1"/>
    <mergeCell ref="B2:C2"/>
    <mergeCell ref="B7:C7"/>
    <mergeCell ref="B23:C23"/>
    <mergeCell ref="B25:C25"/>
    <mergeCell ref="B19:C19"/>
  </mergeCells>
  <printOptions horizontalCentered="1"/>
  <pageMargins left="0.51181102362204722" right="0.51181102362204722" top="0.78740157480314965" bottom="0.78740157480314965" header="0.19685039370078741" footer="0.31496062992125984"/>
  <pageSetup firstPageNumber="8" orientation="portrait" useFirstPageNumber="1" r:id="rId1"/>
  <headerFooter>
    <oddHeader>&amp;L&amp;G&amp;R&amp;"Arial,Itálico"&amp;12&amp;K03+000CONSÓRCIO - CODES</oddHeader>
    <oddFooter>&amp;C&amp;"Arial,Normal"&amp;K03+000CONSÓRCIO – CODES&amp;"MS Sans Serif,Regular"&amp;K000000
&amp;"Arial,Normal"&amp;8&amp;K03+000Rua Camões, 1484 S.11 e 12 - Hugo Lange – CEP 80040-180Fone/Fax: |041| 3363.0775/3262.1288 – Curitiba/PR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lha3"/>
  <dimension ref="A1:G33"/>
  <sheetViews>
    <sheetView view="pageBreakPreview" zoomScaleNormal="100" zoomScaleSheetLayoutView="100" workbookViewId="0">
      <selection activeCell="C22" sqref="C22"/>
    </sheetView>
  </sheetViews>
  <sheetFormatPr defaultRowHeight="15" x14ac:dyDescent="0.25"/>
  <cols>
    <col min="1" max="1" width="5.7109375" style="103" customWidth="1"/>
    <col min="2" max="2" width="65.7109375" style="103" customWidth="1"/>
    <col min="3" max="3" width="12.7109375" style="103" customWidth="1"/>
    <col min="4" max="16384" width="9.140625" style="103"/>
  </cols>
  <sheetData>
    <row r="1" spans="1:4" ht="21.75" customHeight="1" x14ac:dyDescent="0.25">
      <c r="A1" s="101"/>
      <c r="B1" s="762" t="s">
        <v>523</v>
      </c>
      <c r="C1" s="762"/>
      <c r="D1" s="102"/>
    </row>
    <row r="2" spans="1:4" ht="19.5" customHeight="1" x14ac:dyDescent="0.25">
      <c r="A2" s="104"/>
      <c r="B2" s="763" t="s">
        <v>513</v>
      </c>
      <c r="C2" s="763"/>
      <c r="D2" s="105"/>
    </row>
    <row r="3" spans="1:4" x14ac:dyDescent="0.25">
      <c r="A3" s="104"/>
      <c r="D3" s="105"/>
    </row>
    <row r="4" spans="1:4" ht="15.75" x14ac:dyDescent="0.25">
      <c r="A4" s="104"/>
      <c r="B4" s="106" t="s">
        <v>514</v>
      </c>
      <c r="D4" s="105"/>
    </row>
    <row r="5" spans="1:4" ht="15.75" x14ac:dyDescent="0.25">
      <c r="A5" s="104"/>
      <c r="B5" s="106" t="s">
        <v>515</v>
      </c>
      <c r="C5" s="115">
        <v>0</v>
      </c>
      <c r="D5" s="105"/>
    </row>
    <row r="6" spans="1:4" x14ac:dyDescent="0.25">
      <c r="A6" s="104"/>
      <c r="D6" s="105"/>
    </row>
    <row r="7" spans="1:4" ht="30" customHeight="1" x14ac:dyDescent="0.25">
      <c r="A7" s="104"/>
      <c r="B7" s="764" t="s">
        <v>516</v>
      </c>
      <c r="C7" s="764"/>
      <c r="D7" s="105"/>
    </row>
    <row r="8" spans="1:4" x14ac:dyDescent="0.25">
      <c r="A8" s="104"/>
      <c r="D8" s="105"/>
    </row>
    <row r="9" spans="1:4" x14ac:dyDescent="0.25">
      <c r="A9" s="104"/>
      <c r="D9" s="105"/>
    </row>
    <row r="10" spans="1:4" x14ac:dyDescent="0.25">
      <c r="A10" s="104"/>
      <c r="D10" s="105"/>
    </row>
    <row r="11" spans="1:4" ht="32.25" customHeight="1" x14ac:dyDescent="0.25">
      <c r="A11" s="104"/>
      <c r="B11" s="120" t="s">
        <v>517</v>
      </c>
      <c r="C11" s="121" t="s">
        <v>518</v>
      </c>
      <c r="D11" s="105"/>
    </row>
    <row r="12" spans="1:4" ht="18.75" x14ac:dyDescent="0.3">
      <c r="A12" s="104"/>
      <c r="B12" s="116" t="s">
        <v>525</v>
      </c>
      <c r="C12" s="122">
        <v>2.5499999999999998E-2</v>
      </c>
      <c r="D12" s="105"/>
    </row>
    <row r="13" spans="1:4" ht="18.75" x14ac:dyDescent="0.3">
      <c r="A13" s="104"/>
      <c r="B13" s="116" t="s">
        <v>526</v>
      </c>
      <c r="C13" s="122">
        <v>3.5999999999999999E-3</v>
      </c>
      <c r="D13" s="105"/>
    </row>
    <row r="14" spans="1:4" ht="18.75" x14ac:dyDescent="0.3">
      <c r="A14" s="104"/>
      <c r="B14" s="116" t="s">
        <v>527</v>
      </c>
      <c r="C14" s="122">
        <v>6.3E-3</v>
      </c>
      <c r="D14" s="105"/>
    </row>
    <row r="15" spans="1:4" ht="18.75" x14ac:dyDescent="0.3">
      <c r="A15" s="104"/>
      <c r="B15" s="116" t="s">
        <v>528</v>
      </c>
      <c r="C15" s="122">
        <v>6.3E-3</v>
      </c>
      <c r="D15" s="105"/>
    </row>
    <row r="16" spans="1:4" ht="18.75" x14ac:dyDescent="0.3">
      <c r="A16" s="104"/>
      <c r="B16" s="116" t="s">
        <v>529</v>
      </c>
      <c r="C16" s="122">
        <v>3.7749999999999999E-2</v>
      </c>
      <c r="D16" s="105"/>
    </row>
    <row r="17" spans="1:7" ht="18.75" x14ac:dyDescent="0.3">
      <c r="A17" s="104"/>
      <c r="B17" s="116" t="s">
        <v>530</v>
      </c>
      <c r="C17" s="117">
        <v>3.6499999999999998E-2</v>
      </c>
      <c r="D17" s="105"/>
    </row>
    <row r="18" spans="1:7" ht="18.75" x14ac:dyDescent="0.3">
      <c r="A18" s="104"/>
      <c r="B18" s="116" t="s">
        <v>531</v>
      </c>
      <c r="C18" s="117">
        <f>C5</f>
        <v>0</v>
      </c>
      <c r="D18" s="105"/>
    </row>
    <row r="19" spans="1:7" ht="18.75" x14ac:dyDescent="0.3">
      <c r="A19" s="104"/>
      <c r="B19" s="116" t="s">
        <v>532</v>
      </c>
      <c r="C19" s="117">
        <v>4.4999999999999998E-2</v>
      </c>
      <c r="D19" s="105"/>
      <c r="G19" s="476">
        <f>((1+C12+C13+C14)*(1+C15)*(1+C16)/(1-C17-C18-C19))-1</f>
        <v>0.17719718454545452</v>
      </c>
    </row>
    <row r="20" spans="1:7" x14ac:dyDescent="0.25">
      <c r="A20" s="104"/>
      <c r="B20" s="767"/>
      <c r="C20" s="768"/>
      <c r="D20" s="105"/>
    </row>
    <row r="21" spans="1:7" ht="18.75" x14ac:dyDescent="0.3">
      <c r="A21" s="104"/>
      <c r="B21" s="118" t="s">
        <v>519</v>
      </c>
      <c r="C21" s="119">
        <v>0.1772</v>
      </c>
      <c r="D21" s="105"/>
    </row>
    <row r="22" spans="1:7" x14ac:dyDescent="0.25">
      <c r="A22" s="104"/>
      <c r="D22" s="105"/>
    </row>
    <row r="23" spans="1:7" x14ac:dyDescent="0.25">
      <c r="A23" s="104"/>
      <c r="D23" s="105"/>
    </row>
    <row r="24" spans="1:7" ht="50.25" customHeight="1" x14ac:dyDescent="0.25">
      <c r="A24" s="104"/>
      <c r="B24" s="765" t="s">
        <v>524</v>
      </c>
      <c r="C24" s="765"/>
      <c r="D24" s="105"/>
    </row>
    <row r="25" spans="1:7" x14ac:dyDescent="0.25">
      <c r="A25" s="104"/>
      <c r="B25" s="107"/>
      <c r="C25" s="107"/>
      <c r="D25" s="105"/>
    </row>
    <row r="26" spans="1:7" ht="18" x14ac:dyDescent="0.25">
      <c r="A26" s="104"/>
      <c r="B26" s="769" t="s">
        <v>521</v>
      </c>
      <c r="C26" s="769"/>
      <c r="D26" s="105"/>
    </row>
    <row r="27" spans="1:7" x14ac:dyDescent="0.25">
      <c r="A27" s="104"/>
      <c r="B27" s="107"/>
      <c r="C27" s="107"/>
      <c r="D27" s="105"/>
    </row>
    <row r="28" spans="1:7" x14ac:dyDescent="0.25">
      <c r="A28" s="104"/>
      <c r="B28" s="107"/>
      <c r="C28" s="107"/>
      <c r="D28" s="105"/>
    </row>
    <row r="29" spans="1:7" ht="16.5" customHeight="1" x14ac:dyDescent="0.3">
      <c r="A29" s="104"/>
      <c r="B29" s="108" t="s">
        <v>522</v>
      </c>
      <c r="C29" s="107"/>
      <c r="D29" s="105"/>
    </row>
    <row r="30" spans="1:7" ht="58.5" customHeight="1" x14ac:dyDescent="0.25">
      <c r="A30" s="104"/>
      <c r="B30" s="761" t="s">
        <v>736</v>
      </c>
      <c r="C30" s="761"/>
      <c r="D30" s="105"/>
    </row>
    <row r="31" spans="1:7" x14ac:dyDescent="0.25">
      <c r="A31" s="104"/>
      <c r="D31" s="105"/>
    </row>
    <row r="32" spans="1:7" ht="18.75" x14ac:dyDescent="0.3">
      <c r="A32" s="104"/>
      <c r="B32" s="109"/>
      <c r="C32" s="111"/>
      <c r="D32" s="105"/>
    </row>
    <row r="33" spans="1:4" ht="15.75" thickBot="1" x14ac:dyDescent="0.3">
      <c r="A33" s="112"/>
      <c r="B33" s="113"/>
      <c r="C33" s="113"/>
      <c r="D33" s="114"/>
    </row>
  </sheetData>
  <mergeCells count="7">
    <mergeCell ref="B30:C30"/>
    <mergeCell ref="B1:C1"/>
    <mergeCell ref="B2:C2"/>
    <mergeCell ref="B7:C7"/>
    <mergeCell ref="B24:C24"/>
    <mergeCell ref="B26:C26"/>
    <mergeCell ref="B20:C20"/>
  </mergeCells>
  <printOptions horizontalCentered="1"/>
  <pageMargins left="0.51181102362204722" right="0.51181102362204722" top="0.78740157480314965" bottom="0.78740157480314965" header="0.19685039370078741" footer="0.31496062992125984"/>
  <pageSetup firstPageNumber="9" orientation="portrait" useFirstPageNumber="1" r:id="rId1"/>
  <headerFooter>
    <oddHeader>&amp;L&amp;G&amp;R&amp;"Arial,Itálico"&amp;12&amp;K03+000CONSÓRCIO - CODES</oddHeader>
    <oddFooter>&amp;C&amp;"Arial,Normal"&amp;K03+000CONSÓRCIO – CODES&amp;"MS Sans Serif,Regular"&amp;K000000
&amp;"Arial,Normal"&amp;8&amp;K03+000Rua Camões, 1484 S.11 e 12 - Hugo Lange – CEP 80040-180Fone/Fax: |041| 3363.0775/3262.1288 – Curitiba/PR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1">
    <pageSetUpPr fitToPage="1"/>
  </sheetPr>
  <dimension ref="A1:N208"/>
  <sheetViews>
    <sheetView view="pageBreakPreview" zoomScale="55" zoomScaleNormal="55" zoomScaleSheetLayoutView="55" workbookViewId="0">
      <selection activeCell="I95" sqref="I95"/>
    </sheetView>
  </sheetViews>
  <sheetFormatPr defaultColWidth="11.42578125" defaultRowHeight="12.75" x14ac:dyDescent="0.2"/>
  <cols>
    <col min="1" max="1" width="11.42578125" style="51"/>
    <col min="2" max="2" width="11.42578125" style="51" customWidth="1"/>
    <col min="3" max="4" width="11.42578125" style="51"/>
    <col min="5" max="5" width="35.7109375" style="51" customWidth="1"/>
    <col min="6" max="8" width="21.42578125" style="51" customWidth="1"/>
    <col min="9" max="9" width="14.42578125" style="51" customWidth="1"/>
    <col min="10" max="10" width="16.7109375" style="51" bestFit="1" customWidth="1"/>
    <col min="11" max="11" width="17.85546875" style="51" bestFit="1" customWidth="1"/>
    <col min="12" max="16384" width="11.42578125" style="51"/>
  </cols>
  <sheetData>
    <row r="1" spans="1:14" ht="12.75" customHeight="1" x14ac:dyDescent="0.2"/>
    <row r="2" spans="1:14" ht="12.75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</row>
    <row r="3" spans="1:14" ht="12.7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</row>
    <row r="4" spans="1:14" ht="12.75" customHeight="1" thickTop="1" x14ac:dyDescent="0.2">
      <c r="C4" s="257" t="s">
        <v>0</v>
      </c>
      <c r="D4" s="200" t="s">
        <v>1436</v>
      </c>
      <c r="E4" s="258"/>
      <c r="F4" s="257" t="s">
        <v>1</v>
      </c>
      <c r="G4" s="394">
        <f ca="1">TODAY()</f>
        <v>43657</v>
      </c>
      <c r="H4" s="772" t="s">
        <v>194</v>
      </c>
      <c r="I4" s="772"/>
    </row>
    <row r="5" spans="1:14" ht="12.75" customHeight="1" x14ac:dyDescent="0.2">
      <c r="A5" s="770" t="s">
        <v>193</v>
      </c>
      <c r="B5" s="771"/>
      <c r="C5" s="260" t="s">
        <v>2</v>
      </c>
      <c r="D5" s="200" t="s">
        <v>198</v>
      </c>
      <c r="E5" s="258"/>
      <c r="F5" s="260" t="s">
        <v>3</v>
      </c>
      <c r="G5" s="258"/>
      <c r="H5" s="258" t="s">
        <v>195</v>
      </c>
      <c r="I5" s="282">
        <f>'BDI-SERVIÇOS'!C20</f>
        <v>0.27579999999999999</v>
      </c>
    </row>
    <row r="6" spans="1:14" ht="12.75" customHeight="1" x14ac:dyDescent="0.2">
      <c r="A6" s="770"/>
      <c r="B6" s="771"/>
      <c r="C6" s="260" t="s">
        <v>7</v>
      </c>
      <c r="D6" s="200"/>
      <c r="E6" s="258"/>
      <c r="F6" s="260" t="s">
        <v>5</v>
      </c>
      <c r="G6" s="258"/>
      <c r="H6" s="258" t="s">
        <v>262</v>
      </c>
      <c r="I6" s="282">
        <f>I7</f>
        <v>0.1772</v>
      </c>
    </row>
    <row r="7" spans="1:14" ht="12.75" customHeight="1" thickBot="1" x14ac:dyDescent="0.25">
      <c r="A7" s="124"/>
      <c r="B7" s="125"/>
      <c r="C7" s="266" t="s">
        <v>4</v>
      </c>
      <c r="D7" s="267" t="s">
        <v>208</v>
      </c>
      <c r="E7" s="268"/>
      <c r="F7" s="266" t="s">
        <v>9</v>
      </c>
      <c r="G7" s="395" t="s">
        <v>1120</v>
      </c>
      <c r="H7" s="268" t="s">
        <v>196</v>
      </c>
      <c r="I7" s="396">
        <f>'BDI-MATERIAIS'!C21</f>
        <v>0.1772</v>
      </c>
    </row>
    <row r="8" spans="1:14" ht="12.75" customHeight="1" thickTop="1" x14ac:dyDescent="0.2">
      <c r="A8" s="397"/>
      <c r="B8" s="126" t="s">
        <v>10</v>
      </c>
      <c r="C8" s="127"/>
      <c r="D8" s="127"/>
      <c r="E8" s="127"/>
      <c r="F8" s="128" t="s">
        <v>212</v>
      </c>
      <c r="G8" s="128" t="s">
        <v>213</v>
      </c>
      <c r="H8" s="128" t="s">
        <v>14</v>
      </c>
      <c r="I8" s="398" t="s">
        <v>15</v>
      </c>
    </row>
    <row r="10" spans="1:14" s="406" customFormat="1" ht="25.5" customHeight="1" x14ac:dyDescent="0.25">
      <c r="A10" s="89" t="s">
        <v>37</v>
      </c>
      <c r="B10" s="90" t="s">
        <v>45</v>
      </c>
      <c r="C10" s="399"/>
      <c r="D10" s="399"/>
      <c r="E10" s="399"/>
      <c r="F10" s="400">
        <f>'01'!K35</f>
        <v>53364.758860000009</v>
      </c>
      <c r="G10" s="400">
        <f>'01'!M35</f>
        <v>17250.193136000002</v>
      </c>
      <c r="H10" s="401">
        <f>'01'!N35</f>
        <v>70614.951996000003</v>
      </c>
      <c r="I10" s="402">
        <f>H10/$H$95</f>
        <v>9.7514471823687485E-3</v>
      </c>
      <c r="J10" s="403" t="s">
        <v>623</v>
      </c>
      <c r="K10" s="773"/>
      <c r="L10" s="404">
        <f>I10+I11+I12</f>
        <v>3.5386196466013674E-2</v>
      </c>
      <c r="M10" s="405">
        <v>7.6399999999999996E-2</v>
      </c>
      <c r="N10" s="406" t="s">
        <v>622</v>
      </c>
    </row>
    <row r="11" spans="1:14" s="406" customFormat="1" ht="25.5" customHeight="1" x14ac:dyDescent="0.25">
      <c r="A11" s="89" t="s">
        <v>38</v>
      </c>
      <c r="B11" s="90" t="s">
        <v>41</v>
      </c>
      <c r="C11" s="399"/>
      <c r="D11" s="399"/>
      <c r="E11" s="399"/>
      <c r="F11" s="400">
        <f>'02'!K19</f>
        <v>734.04</v>
      </c>
      <c r="G11" s="400">
        <f>'02'!M19</f>
        <v>3129.4800000000005</v>
      </c>
      <c r="H11" s="401">
        <f>'02'!N19</f>
        <v>3863.5199999999995</v>
      </c>
      <c r="I11" s="402">
        <f>H11/$H$95</f>
        <v>5.3352597648383875E-4</v>
      </c>
      <c r="J11" s="403"/>
      <c r="K11" s="773"/>
    </row>
    <row r="12" spans="1:14" s="406" customFormat="1" ht="25.5" customHeight="1" x14ac:dyDescent="0.25">
      <c r="A12" s="89" t="s">
        <v>190</v>
      </c>
      <c r="B12" s="90" t="s">
        <v>40</v>
      </c>
      <c r="C12" s="399"/>
      <c r="D12" s="399"/>
      <c r="E12" s="399"/>
      <c r="F12" s="400"/>
      <c r="G12" s="400"/>
      <c r="H12" s="401">
        <f>'03'!J40</f>
        <v>181770.11532000001</v>
      </c>
      <c r="I12" s="402">
        <f>H12/$H$95</f>
        <v>2.5101223307161087E-2</v>
      </c>
      <c r="J12" s="403" t="s">
        <v>624</v>
      </c>
      <c r="K12" s="773"/>
    </row>
    <row r="13" spans="1:14" s="411" customFormat="1" ht="25.5" hidden="1" customHeight="1" x14ac:dyDescent="0.2">
      <c r="A13" s="407"/>
      <c r="B13" s="240"/>
      <c r="C13" s="241"/>
      <c r="D13" s="241"/>
      <c r="E13" s="241"/>
      <c r="F13" s="408"/>
      <c r="G13" s="408"/>
      <c r="H13" s="409"/>
      <c r="I13" s="410"/>
    </row>
    <row r="14" spans="1:14" s="406" customFormat="1" ht="25.5" customHeight="1" x14ac:dyDescent="0.2">
      <c r="A14" s="89" t="s">
        <v>191</v>
      </c>
      <c r="B14" s="90" t="s">
        <v>197</v>
      </c>
      <c r="C14" s="399"/>
      <c r="D14" s="399"/>
      <c r="E14" s="399"/>
      <c r="F14" s="400"/>
      <c r="G14" s="400"/>
      <c r="H14" s="401">
        <f>H15+H16</f>
        <v>2189044.8056990518</v>
      </c>
      <c r="I14" s="402">
        <f>H14/$H$95</f>
        <v>0.30229227945693615</v>
      </c>
    </row>
    <row r="15" spans="1:14" s="411" customFormat="1" ht="25.5" customHeight="1" x14ac:dyDescent="0.2">
      <c r="A15" s="407">
        <v>1</v>
      </c>
      <c r="B15" s="240" t="s">
        <v>200</v>
      </c>
      <c r="C15" s="241"/>
      <c r="D15" s="241"/>
      <c r="E15" s="241"/>
      <c r="F15" s="408">
        <f>'04'!K192</f>
        <v>945983.21938875352</v>
      </c>
      <c r="G15" s="408">
        <f>'04'!M192</f>
        <v>328418.30437593855</v>
      </c>
      <c r="H15" s="409">
        <f>'04'!N192</f>
        <v>1274401.523764692</v>
      </c>
      <c r="I15" s="410">
        <f>H15/$H$14</f>
        <v>0.58217242536418679</v>
      </c>
      <c r="J15" s="412"/>
      <c r="K15" s="412"/>
    </row>
    <row r="16" spans="1:14" s="411" customFormat="1" ht="25.5" customHeight="1" x14ac:dyDescent="0.2">
      <c r="A16" s="407">
        <v>2</v>
      </c>
      <c r="B16" s="240" t="s">
        <v>199</v>
      </c>
      <c r="C16" s="241"/>
      <c r="D16" s="241"/>
      <c r="E16" s="241"/>
      <c r="F16" s="408"/>
      <c r="G16" s="408">
        <f>'05'!M50</f>
        <v>914643.28193435981</v>
      </c>
      <c r="H16" s="409">
        <f>'05'!N50</f>
        <v>914643.28193435981</v>
      </c>
      <c r="I16" s="410">
        <f>H16/$H$14</f>
        <v>0.41782757463581321</v>
      </c>
      <c r="K16" s="412"/>
    </row>
    <row r="17" spans="1:11" s="406" customFormat="1" ht="25.5" customHeight="1" x14ac:dyDescent="0.2">
      <c r="A17" s="89" t="s">
        <v>192</v>
      </c>
      <c r="B17" s="90" t="s">
        <v>711</v>
      </c>
      <c r="C17" s="399"/>
      <c r="D17" s="399"/>
      <c r="E17" s="399"/>
      <c r="F17" s="400"/>
      <c r="G17" s="400"/>
      <c r="H17" s="401">
        <f>H18+H19</f>
        <v>222814.32340060666</v>
      </c>
      <c r="I17" s="402">
        <f>H17/$H$95</f>
        <v>3.0769150791737726E-2</v>
      </c>
    </row>
    <row r="18" spans="1:11" s="411" customFormat="1" ht="25.5" customHeight="1" x14ac:dyDescent="0.2">
      <c r="A18" s="407">
        <v>1</v>
      </c>
      <c r="B18" s="240" t="s">
        <v>202</v>
      </c>
      <c r="C18" s="241"/>
      <c r="D18" s="240"/>
      <c r="E18" s="240"/>
      <c r="F18" s="408">
        <f>'06'!K104</f>
        <v>41848.244045175241</v>
      </c>
      <c r="G18" s="408">
        <f>'06'!M104</f>
        <v>10746.532157431435</v>
      </c>
      <c r="H18" s="409">
        <f>'06'!N104</f>
        <v>52594.776202606678</v>
      </c>
      <c r="I18" s="410">
        <f>H18/$H$17</f>
        <v>0.23604755475277259</v>
      </c>
      <c r="J18" s="412"/>
      <c r="K18" s="412"/>
    </row>
    <row r="19" spans="1:11" s="411" customFormat="1" ht="25.5" customHeight="1" x14ac:dyDescent="0.2">
      <c r="A19" s="407">
        <v>2</v>
      </c>
      <c r="B19" s="240" t="s">
        <v>201</v>
      </c>
      <c r="C19" s="240"/>
      <c r="D19" s="240"/>
      <c r="E19" s="240"/>
      <c r="F19" s="408"/>
      <c r="G19" s="408">
        <f>'07'!M45</f>
        <v>170219.54719799999</v>
      </c>
      <c r="H19" s="409">
        <f>'07'!N45</f>
        <v>170219.54719799999</v>
      </c>
      <c r="I19" s="410">
        <f>H19/$H$17</f>
        <v>0.76395244524722739</v>
      </c>
    </row>
    <row r="20" spans="1:11" s="406" customFormat="1" ht="25.5" customHeight="1" x14ac:dyDescent="0.2">
      <c r="A20" s="89" t="s">
        <v>739</v>
      </c>
      <c r="B20" s="90" t="s">
        <v>997</v>
      </c>
      <c r="C20" s="399"/>
      <c r="D20" s="399"/>
      <c r="E20" s="399"/>
      <c r="F20" s="400"/>
      <c r="G20" s="400"/>
      <c r="H20" s="401">
        <f>H21+H22</f>
        <v>163543.20425915788</v>
      </c>
      <c r="I20" s="402">
        <f>H20/$H$95</f>
        <v>2.2584210189066738E-2</v>
      </c>
    </row>
    <row r="21" spans="1:11" s="411" customFormat="1" ht="25.5" customHeight="1" x14ac:dyDescent="0.2">
      <c r="A21" s="407">
        <v>1</v>
      </c>
      <c r="B21" s="240" t="s">
        <v>998</v>
      </c>
      <c r="C21" s="241"/>
      <c r="D21" s="240"/>
      <c r="E21" s="240"/>
      <c r="F21" s="408">
        <f>'08 - 1'!K120</f>
        <v>82174.307450862383</v>
      </c>
      <c r="G21" s="408">
        <f>'08 - 1'!M120</f>
        <v>24301.55639209551</v>
      </c>
      <c r="H21" s="409">
        <f>'08 - 1'!N120</f>
        <v>106475.86384295789</v>
      </c>
      <c r="I21" s="410">
        <f>H21/$H$20</f>
        <v>0.65105648580928788</v>
      </c>
      <c r="J21" s="412"/>
      <c r="K21" s="412"/>
    </row>
    <row r="22" spans="1:11" s="411" customFormat="1" ht="25.5" customHeight="1" x14ac:dyDescent="0.2">
      <c r="A22" s="407">
        <v>2</v>
      </c>
      <c r="B22" s="240" t="s">
        <v>999</v>
      </c>
      <c r="C22" s="241"/>
      <c r="D22" s="240"/>
      <c r="E22" s="240"/>
      <c r="F22" s="408"/>
      <c r="G22" s="408">
        <f>'09 - 1'!M31</f>
        <v>57067.340416200001</v>
      </c>
      <c r="H22" s="409">
        <f>'09 - 1'!N31</f>
        <v>57067.340416200001</v>
      </c>
      <c r="I22" s="410">
        <f>H22/$H$20</f>
        <v>0.34894351419071218</v>
      </c>
    </row>
    <row r="23" spans="1:11" s="406" customFormat="1" ht="25.5" customHeight="1" x14ac:dyDescent="0.2">
      <c r="A23" s="89" t="s">
        <v>740</v>
      </c>
      <c r="B23" s="90" t="s">
        <v>1000</v>
      </c>
      <c r="C23" s="399"/>
      <c r="D23" s="399"/>
      <c r="E23" s="399"/>
      <c r="F23" s="400"/>
      <c r="G23" s="400"/>
      <c r="H23" s="401">
        <f>H24+H25</f>
        <v>20740.28912014213</v>
      </c>
      <c r="I23" s="402">
        <f>H23/$H$95</f>
        <v>2.8640936258595706E-3</v>
      </c>
    </row>
    <row r="24" spans="1:11" s="411" customFormat="1" ht="25.5" customHeight="1" x14ac:dyDescent="0.2">
      <c r="A24" s="407">
        <v>1</v>
      </c>
      <c r="B24" s="240" t="s">
        <v>1082</v>
      </c>
      <c r="C24" s="241"/>
      <c r="D24" s="240"/>
      <c r="E24" s="240"/>
      <c r="F24" s="408">
        <f>'08 - 2'!K120</f>
        <v>10989.409970753397</v>
      </c>
      <c r="G24" s="408">
        <f>'08 - 2'!M120</f>
        <v>4191.8157244687327</v>
      </c>
      <c r="H24" s="409">
        <f>'08 - 2'!N120</f>
        <v>15181.225695222129</v>
      </c>
      <c r="I24" s="410">
        <f>H24/$H$23</f>
        <v>0.73196789144461527</v>
      </c>
      <c r="J24" s="412"/>
      <c r="K24" s="412"/>
    </row>
    <row r="25" spans="1:11" s="411" customFormat="1" ht="25.5" customHeight="1" x14ac:dyDescent="0.2">
      <c r="A25" s="407">
        <v>2</v>
      </c>
      <c r="B25" s="240" t="s">
        <v>1083</v>
      </c>
      <c r="C25" s="241"/>
      <c r="D25" s="240"/>
      <c r="E25" s="240"/>
      <c r="F25" s="408"/>
      <c r="G25" s="408">
        <f>'09 - 2'!M31</f>
        <v>5559.0634249200002</v>
      </c>
      <c r="H25" s="409">
        <f>'09 - 2'!N31</f>
        <v>5559.0634249200002</v>
      </c>
      <c r="I25" s="410">
        <f>H25/$H$23</f>
        <v>0.26803210855538473</v>
      </c>
    </row>
    <row r="26" spans="1:11" s="406" customFormat="1" ht="25.5" customHeight="1" x14ac:dyDescent="0.2">
      <c r="A26" s="89" t="s">
        <v>741</v>
      </c>
      <c r="B26" s="90" t="s">
        <v>1001</v>
      </c>
      <c r="C26" s="399"/>
      <c r="D26" s="399"/>
      <c r="E26" s="399"/>
      <c r="F26" s="400"/>
      <c r="G26" s="400"/>
      <c r="H26" s="401">
        <f>H27+H28</f>
        <v>148912.71920403038</v>
      </c>
      <c r="I26" s="402">
        <f>H26/$H$95</f>
        <v>2.0563839173653561E-2</v>
      </c>
    </row>
    <row r="27" spans="1:11" s="411" customFormat="1" ht="25.5" customHeight="1" x14ac:dyDescent="0.2">
      <c r="A27" s="407">
        <v>1</v>
      </c>
      <c r="B27" s="240" t="s">
        <v>1084</v>
      </c>
      <c r="C27" s="241"/>
      <c r="D27" s="240"/>
      <c r="E27" s="240"/>
      <c r="F27" s="408">
        <f>'08 - 3'!K120</f>
        <v>81969.32001631477</v>
      </c>
      <c r="G27" s="408">
        <f>'08 - 3'!M120</f>
        <v>22209.944925075604</v>
      </c>
      <c r="H27" s="409">
        <f>'08 - 3'!N120</f>
        <v>104179.26494139037</v>
      </c>
      <c r="I27" s="410">
        <f>H27/$H$26</f>
        <v>0.69959950700148599</v>
      </c>
      <c r="J27" s="412"/>
      <c r="K27" s="412"/>
    </row>
    <row r="28" spans="1:11" s="411" customFormat="1" ht="25.5" customHeight="1" x14ac:dyDescent="0.2">
      <c r="A28" s="407">
        <v>2</v>
      </c>
      <c r="B28" s="240" t="s">
        <v>1085</v>
      </c>
      <c r="C28" s="241"/>
      <c r="D28" s="240"/>
      <c r="E28" s="240"/>
      <c r="F28" s="408"/>
      <c r="G28" s="408">
        <f>'09 - 3'!M31</f>
        <v>44733.454262640007</v>
      </c>
      <c r="H28" s="409">
        <f>'09 - 3'!N31</f>
        <v>44733.454262640007</v>
      </c>
      <c r="I28" s="410">
        <f>H28/$H$26</f>
        <v>0.30040049299851401</v>
      </c>
    </row>
    <row r="29" spans="1:11" s="406" customFormat="1" ht="25.5" customHeight="1" x14ac:dyDescent="0.2">
      <c r="A29" s="89" t="s">
        <v>874</v>
      </c>
      <c r="B29" s="90" t="s">
        <v>1086</v>
      </c>
      <c r="C29" s="399"/>
      <c r="D29" s="399"/>
      <c r="E29" s="399"/>
      <c r="F29" s="400"/>
      <c r="G29" s="400"/>
      <c r="H29" s="401">
        <f>H30+H31</f>
        <v>296588.40419739397</v>
      </c>
      <c r="I29" s="402">
        <f>H29/$H$95</f>
        <v>4.0956852290967335E-2</v>
      </c>
    </row>
    <row r="30" spans="1:11" s="411" customFormat="1" ht="25.5" customHeight="1" x14ac:dyDescent="0.2">
      <c r="A30" s="407">
        <v>1</v>
      </c>
      <c r="B30" s="240" t="s">
        <v>1087</v>
      </c>
      <c r="C30" s="241"/>
      <c r="D30" s="240"/>
      <c r="E30" s="240"/>
      <c r="F30" s="408">
        <f>'08 - 4'!$K$120</f>
        <v>168161.46075982827</v>
      </c>
      <c r="G30" s="408">
        <f>'08 - 4'!$M$120</f>
        <v>44086.698062205724</v>
      </c>
      <c r="H30" s="409">
        <f>'08 - 4'!$N$120</f>
        <v>212248.15882203399</v>
      </c>
      <c r="I30" s="410">
        <f>H30/$H$29</f>
        <v>0.71563202005959925</v>
      </c>
      <c r="J30" s="412"/>
      <c r="K30" s="412"/>
    </row>
    <row r="31" spans="1:11" s="411" customFormat="1" ht="25.5" customHeight="1" x14ac:dyDescent="0.2">
      <c r="A31" s="407">
        <v>2</v>
      </c>
      <c r="B31" s="240" t="s">
        <v>1088</v>
      </c>
      <c r="C31" s="241"/>
      <c r="D31" s="240"/>
      <c r="E31" s="240"/>
      <c r="F31" s="408"/>
      <c r="G31" s="408">
        <f>'09 - 4'!$M$31</f>
        <v>84340.245375359998</v>
      </c>
      <c r="H31" s="409">
        <f>'09 - 4'!$N$31</f>
        <v>84340.245375359998</v>
      </c>
      <c r="I31" s="410">
        <f>H31/$H$29</f>
        <v>0.28436797994040075</v>
      </c>
    </row>
    <row r="32" spans="1:11" s="701" customFormat="1" ht="25.5" customHeight="1" x14ac:dyDescent="0.2">
      <c r="A32" s="89" t="s">
        <v>879</v>
      </c>
      <c r="B32" s="90" t="s">
        <v>1416</v>
      </c>
      <c r="C32" s="399"/>
      <c r="D32" s="241"/>
      <c r="E32" s="241"/>
      <c r="F32" s="408"/>
      <c r="G32" s="408"/>
      <c r="H32" s="401">
        <f>H33+H34</f>
        <v>25137.012819857664</v>
      </c>
      <c r="I32" s="402">
        <f>H32/$H$95</f>
        <v>3.4712514263162443E-3</v>
      </c>
    </row>
    <row r="33" spans="1:11" s="701" customFormat="1" ht="25.5" customHeight="1" x14ac:dyDescent="0.2">
      <c r="A33" s="407">
        <v>1</v>
      </c>
      <c r="B33" s="240" t="s">
        <v>1424</v>
      </c>
      <c r="C33" s="241"/>
      <c r="D33" s="240"/>
      <c r="E33" s="240"/>
      <c r="F33" s="408">
        <f>'08 - 5'!$K$120</f>
        <v>12113.717541471924</v>
      </c>
      <c r="G33" s="408">
        <f>'08 - 5'!$M$120</f>
        <v>4029.3621420257391</v>
      </c>
      <c r="H33" s="409">
        <f>'08 - 5'!$N$120</f>
        <v>16143.079683497663</v>
      </c>
      <c r="I33" s="410">
        <f>H33/$H$29</f>
        <v>5.4429234100311148E-2</v>
      </c>
      <c r="J33" s="702"/>
      <c r="K33" s="702"/>
    </row>
    <row r="34" spans="1:11" s="701" customFormat="1" ht="25.5" customHeight="1" x14ac:dyDescent="0.2">
      <c r="A34" s="407">
        <v>2</v>
      </c>
      <c r="B34" s="240" t="s">
        <v>1423</v>
      </c>
      <c r="C34" s="241"/>
      <c r="D34" s="240"/>
      <c r="E34" s="240"/>
      <c r="F34" s="408"/>
      <c r="G34" s="408">
        <f>'09 - 5'!$M$31</f>
        <v>8993.9331363599995</v>
      </c>
      <c r="H34" s="409">
        <f>'09 - 5'!$N$31</f>
        <v>8993.9331363599995</v>
      </c>
      <c r="I34" s="410">
        <f>H34/$H$29</f>
        <v>3.0324628370750801E-2</v>
      </c>
    </row>
    <row r="35" spans="1:11" s="406" customFormat="1" ht="25.5" hidden="1" customHeight="1" x14ac:dyDescent="0.2">
      <c r="A35" s="89" t="s">
        <v>874</v>
      </c>
      <c r="B35" s="90" t="s">
        <v>1417</v>
      </c>
      <c r="C35" s="399"/>
      <c r="D35" s="399"/>
      <c r="E35" s="399"/>
      <c r="F35" s="400"/>
      <c r="G35" s="400"/>
      <c r="H35" s="401">
        <f>H36+H37</f>
        <v>0</v>
      </c>
      <c r="I35" s="402">
        <f>H35/$H$95</f>
        <v>0</v>
      </c>
    </row>
    <row r="36" spans="1:11" s="411" customFormat="1" ht="25.5" hidden="1" customHeight="1" x14ac:dyDescent="0.2">
      <c r="A36" s="407">
        <v>1</v>
      </c>
      <c r="B36" s="240" t="s">
        <v>1422</v>
      </c>
      <c r="C36" s="241"/>
      <c r="D36" s="240"/>
      <c r="E36" s="240"/>
      <c r="F36" s="408">
        <f>'08 - 6'!$K$120</f>
        <v>0</v>
      </c>
      <c r="G36" s="408">
        <f>'08 - 6'!$M$120</f>
        <v>0</v>
      </c>
      <c r="H36" s="409">
        <f>'08 - 6'!$N$120</f>
        <v>0</v>
      </c>
      <c r="I36" s="410">
        <f>H36/$H$29</f>
        <v>0</v>
      </c>
      <c r="J36" s="412"/>
      <c r="K36" s="412"/>
    </row>
    <row r="37" spans="1:11" s="411" customFormat="1" ht="25.5" hidden="1" customHeight="1" x14ac:dyDescent="0.2">
      <c r="A37" s="407">
        <v>2</v>
      </c>
      <c r="B37" s="240" t="s">
        <v>1421</v>
      </c>
      <c r="C37" s="241"/>
      <c r="D37" s="240"/>
      <c r="E37" s="240"/>
      <c r="F37" s="408"/>
      <c r="G37" s="408">
        <f>'09 - 6'!$M$31</f>
        <v>0</v>
      </c>
      <c r="H37" s="409">
        <f>'09 - 6'!$N$31</f>
        <v>0</v>
      </c>
      <c r="I37" s="410">
        <f>H37/$H$29</f>
        <v>0</v>
      </c>
    </row>
    <row r="38" spans="1:11" s="406" customFormat="1" ht="25.5" hidden="1" customHeight="1" x14ac:dyDescent="0.2">
      <c r="A38" s="89" t="s">
        <v>874</v>
      </c>
      <c r="B38" s="90" t="s">
        <v>1418</v>
      </c>
      <c r="C38" s="399"/>
      <c r="D38" s="399"/>
      <c r="E38" s="399"/>
      <c r="F38" s="400"/>
      <c r="G38" s="400"/>
      <c r="H38" s="401">
        <f>H39+H40</f>
        <v>0</v>
      </c>
      <c r="I38" s="402">
        <f>H38/$H$95</f>
        <v>0</v>
      </c>
    </row>
    <row r="39" spans="1:11" s="411" customFormat="1" ht="25.5" hidden="1" customHeight="1" x14ac:dyDescent="0.2">
      <c r="A39" s="407">
        <v>1</v>
      </c>
      <c r="B39" s="240" t="s">
        <v>1419</v>
      </c>
      <c r="C39" s="241"/>
      <c r="D39" s="240"/>
      <c r="E39" s="240"/>
      <c r="F39" s="408">
        <f>'08 - 7'!$K$120</f>
        <v>0</v>
      </c>
      <c r="G39" s="408">
        <f>'08 - 7'!$M$120</f>
        <v>0</v>
      </c>
      <c r="H39" s="409">
        <f>'08 - 7'!$N$120</f>
        <v>0</v>
      </c>
      <c r="I39" s="410">
        <f>H39/$H$29</f>
        <v>0</v>
      </c>
      <c r="J39" s="412"/>
      <c r="K39" s="412"/>
    </row>
    <row r="40" spans="1:11" s="411" customFormat="1" ht="25.5" hidden="1" customHeight="1" x14ac:dyDescent="0.2">
      <c r="A40" s="407">
        <v>2</v>
      </c>
      <c r="B40" s="240" t="s">
        <v>1420</v>
      </c>
      <c r="C40" s="241"/>
      <c r="D40" s="240"/>
      <c r="E40" s="240"/>
      <c r="F40" s="408"/>
      <c r="G40" s="408">
        <f>'09 - 7'!$M$31</f>
        <v>0</v>
      </c>
      <c r="H40" s="409">
        <f>'09 - 7'!$N$31</f>
        <v>0</v>
      </c>
      <c r="I40" s="410">
        <f>H40/$H$29</f>
        <v>0</v>
      </c>
    </row>
    <row r="41" spans="1:11" s="406" customFormat="1" ht="25.5" customHeight="1" x14ac:dyDescent="0.2">
      <c r="A41" s="89" t="s">
        <v>1002</v>
      </c>
      <c r="B41" s="90" t="s">
        <v>712</v>
      </c>
      <c r="C41" s="399"/>
      <c r="D41" s="399"/>
      <c r="E41" s="399"/>
      <c r="F41" s="400"/>
      <c r="G41" s="400"/>
      <c r="H41" s="401">
        <f>H42+H43</f>
        <v>464197.81002461718</v>
      </c>
      <c r="I41" s="402">
        <f>H41/$H$95</f>
        <v>6.4102577409989703E-2</v>
      </c>
    </row>
    <row r="42" spans="1:11" s="411" customFormat="1" ht="25.5" customHeight="1" x14ac:dyDescent="0.2">
      <c r="A42" s="407">
        <v>1</v>
      </c>
      <c r="B42" s="240" t="s">
        <v>231</v>
      </c>
      <c r="C42" s="241"/>
      <c r="D42" s="240"/>
      <c r="E42" s="240"/>
      <c r="F42" s="408">
        <f>'08 - INT'!K120</f>
        <v>214943.22444289393</v>
      </c>
      <c r="G42" s="408">
        <f>'08 - INT'!M120</f>
        <v>67947.885196243238</v>
      </c>
      <c r="H42" s="408">
        <f>'08 - INT'!N120</f>
        <v>282891.10963913717</v>
      </c>
      <c r="I42" s="410">
        <f>H42/$H$41</f>
        <v>0.60941931118575288</v>
      </c>
      <c r="J42" s="412"/>
      <c r="K42" s="412"/>
    </row>
    <row r="43" spans="1:11" s="411" customFormat="1" ht="25.5" customHeight="1" x14ac:dyDescent="0.2">
      <c r="A43" s="407">
        <v>2</v>
      </c>
      <c r="B43" s="240" t="s">
        <v>230</v>
      </c>
      <c r="C43" s="241"/>
      <c r="D43" s="240"/>
      <c r="E43" s="240"/>
      <c r="F43" s="408"/>
      <c r="G43" s="408">
        <f>'09 - INT'!M31</f>
        <v>181306.70038548001</v>
      </c>
      <c r="H43" s="408">
        <f>'09 - INT'!N31</f>
        <v>181306.70038548001</v>
      </c>
      <c r="I43" s="410">
        <f>H43/$H$41</f>
        <v>0.39058068881424712</v>
      </c>
    </row>
    <row r="44" spans="1:11" s="406" customFormat="1" ht="25.5" customHeight="1" x14ac:dyDescent="0.2">
      <c r="A44" s="89" t="s">
        <v>1003</v>
      </c>
      <c r="B44" s="90" t="s">
        <v>713</v>
      </c>
      <c r="C44" s="399"/>
      <c r="D44" s="399"/>
      <c r="E44" s="399"/>
      <c r="F44" s="400"/>
      <c r="G44" s="400"/>
      <c r="H44" s="401">
        <f>H45+H46</f>
        <v>27733.880325225495</v>
      </c>
      <c r="I44" s="402">
        <f>H44/$H$95</f>
        <v>3.8298612618031893E-3</v>
      </c>
    </row>
    <row r="45" spans="1:11" s="411" customFormat="1" ht="25.5" customHeight="1" x14ac:dyDescent="0.2">
      <c r="A45" s="407">
        <v>1</v>
      </c>
      <c r="B45" s="240" t="s">
        <v>204</v>
      </c>
      <c r="C45" s="241"/>
      <c r="D45" s="240"/>
      <c r="E45" s="240"/>
      <c r="F45" s="408">
        <f>'10 - EMI'!K120</f>
        <v>14810.725836349648</v>
      </c>
      <c r="G45" s="408">
        <f>'10 - EMI'!M120</f>
        <v>4680.9590234358466</v>
      </c>
      <c r="H45" s="408">
        <f>'10 - EMI'!N120</f>
        <v>19491.684859785495</v>
      </c>
      <c r="I45" s="410">
        <f>H45/$H$44</f>
        <v>0.70281131349862835</v>
      </c>
      <c r="J45" s="412"/>
      <c r="K45" s="412"/>
    </row>
    <row r="46" spans="1:11" s="411" customFormat="1" ht="25.5" customHeight="1" x14ac:dyDescent="0.2">
      <c r="A46" s="407">
        <v>2</v>
      </c>
      <c r="B46" s="240" t="s">
        <v>203</v>
      </c>
      <c r="C46" s="241"/>
      <c r="D46" s="240"/>
      <c r="E46" s="240"/>
      <c r="F46" s="408"/>
      <c r="G46" s="408">
        <f>'11 - EMI'!M31</f>
        <v>8242.1954654400015</v>
      </c>
      <c r="H46" s="408">
        <f>'11 - EMI'!N31</f>
        <v>8242.1954654400015</v>
      </c>
      <c r="I46" s="410">
        <f>H46/$H$44</f>
        <v>0.29718868650137176</v>
      </c>
      <c r="J46" s="412"/>
      <c r="K46" s="412"/>
    </row>
    <row r="47" spans="1:11" s="411" customFormat="1" ht="25.5" customHeight="1" x14ac:dyDescent="0.2">
      <c r="A47" s="89" t="s">
        <v>1438</v>
      </c>
      <c r="B47" s="90" t="s">
        <v>609</v>
      </c>
      <c r="C47" s="399"/>
      <c r="D47" s="399"/>
      <c r="E47" s="399"/>
      <c r="F47" s="400"/>
      <c r="G47" s="400"/>
      <c r="H47" s="401">
        <f>SUM(H48:H73)</f>
        <v>2798648.5952098463</v>
      </c>
      <c r="I47" s="402">
        <f>H47/H95</f>
        <v>0.38647443900755196</v>
      </c>
      <c r="J47" s="412"/>
      <c r="K47" s="412"/>
    </row>
    <row r="48" spans="1:11" s="411" customFormat="1" ht="25.5" customHeight="1" x14ac:dyDescent="0.2">
      <c r="A48" s="407">
        <v>1</v>
      </c>
      <c r="B48" s="240" t="s">
        <v>748</v>
      </c>
      <c r="C48" s="241"/>
      <c r="D48" s="240"/>
      <c r="E48" s="240"/>
      <c r="F48" s="408">
        <f>'12'!K62</f>
        <v>47560.210348640256</v>
      </c>
      <c r="G48" s="408">
        <f>'12'!M62</f>
        <v>133977.93528125517</v>
      </c>
      <c r="H48" s="409">
        <f>'12'!N62</f>
        <v>181538.14562989541</v>
      </c>
      <c r="I48" s="410">
        <f>H48/$H$47</f>
        <v>6.4866359406684795E-2</v>
      </c>
      <c r="J48" s="412"/>
      <c r="K48" s="412"/>
    </row>
    <row r="49" spans="1:11" s="411" customFormat="1" ht="25.5" customHeight="1" x14ac:dyDescent="0.2">
      <c r="A49" s="407">
        <v>2</v>
      </c>
      <c r="B49" s="240" t="s">
        <v>620</v>
      </c>
      <c r="C49" s="241"/>
      <c r="D49" s="240"/>
      <c r="E49" s="240"/>
      <c r="F49" s="408">
        <f>'13'!K116</f>
        <v>314553.03437945136</v>
      </c>
      <c r="G49" s="408">
        <f>'13'!M116</f>
        <v>362075.40957705735</v>
      </c>
      <c r="H49" s="409">
        <f>'13'!N116</f>
        <v>676628.44395650877</v>
      </c>
      <c r="I49" s="410">
        <f>H49/$H$47</f>
        <v>0.24176970453333185</v>
      </c>
      <c r="K49" s="412"/>
    </row>
    <row r="50" spans="1:11" s="411" customFormat="1" ht="25.5" customHeight="1" x14ac:dyDescent="0.2">
      <c r="A50" s="407">
        <v>3</v>
      </c>
      <c r="B50" s="240" t="s">
        <v>621</v>
      </c>
      <c r="C50" s="241"/>
      <c r="D50" s="240"/>
      <c r="E50" s="240"/>
      <c r="F50" s="408"/>
      <c r="G50" s="408">
        <f>'14'!M22</f>
        <v>10006.200000000001</v>
      </c>
      <c r="H50" s="409">
        <f>'14'!N22</f>
        <v>10006.200000000001</v>
      </c>
      <c r="I50" s="410">
        <f t="shared" ref="I50:I61" si="0">H50/$H$47</f>
        <v>3.5753684893225128E-3</v>
      </c>
      <c r="J50" s="412"/>
      <c r="K50" s="412"/>
    </row>
    <row r="51" spans="1:11" s="411" customFormat="1" ht="25.5" customHeight="1" x14ac:dyDescent="0.2">
      <c r="A51" s="407">
        <v>4</v>
      </c>
      <c r="B51" s="240" t="s">
        <v>610</v>
      </c>
      <c r="C51" s="241"/>
      <c r="D51" s="240"/>
      <c r="E51" s="241"/>
      <c r="F51" s="408">
        <f>'15'!K138</f>
        <v>33689.492402574971</v>
      </c>
      <c r="G51" s="408">
        <f>'15'!M138</f>
        <v>9083.1877134389997</v>
      </c>
      <c r="H51" s="409">
        <f>'15'!N138</f>
        <v>42772.680116013973</v>
      </c>
      <c r="I51" s="410">
        <f t="shared" si="0"/>
        <v>1.528333360223341E-2</v>
      </c>
    </row>
    <row r="52" spans="1:11" s="411" customFormat="1" ht="25.5" customHeight="1" x14ac:dyDescent="0.2">
      <c r="A52" s="407">
        <v>5</v>
      </c>
      <c r="B52" s="240" t="s">
        <v>611</v>
      </c>
      <c r="C52" s="241"/>
      <c r="D52" s="240"/>
      <c r="E52" s="241"/>
      <c r="F52" s="408"/>
      <c r="G52" s="408">
        <f>'16'!M57</f>
        <v>117000.3081852</v>
      </c>
      <c r="H52" s="409">
        <f>'16'!N57</f>
        <v>117000.3081852</v>
      </c>
      <c r="I52" s="410">
        <f t="shared" si="0"/>
        <v>4.1806001791527943E-2</v>
      </c>
      <c r="J52" s="412"/>
      <c r="K52" s="412"/>
    </row>
    <row r="53" spans="1:11" s="411" customFormat="1" ht="25.5" customHeight="1" x14ac:dyDescent="0.2">
      <c r="A53" s="407">
        <v>6</v>
      </c>
      <c r="B53" s="240" t="s">
        <v>612</v>
      </c>
      <c r="C53" s="241"/>
      <c r="D53" s="240"/>
      <c r="E53" s="240"/>
      <c r="F53" s="408">
        <f>'17'!K95</f>
        <v>161511.54345790306</v>
      </c>
      <c r="G53" s="408">
        <f>'17'!M95</f>
        <v>16143.355957856402</v>
      </c>
      <c r="H53" s="409">
        <f>'17'!N95</f>
        <v>177654.89941575946</v>
      </c>
      <c r="I53" s="410">
        <f t="shared" si="0"/>
        <v>6.3478816068524194E-2</v>
      </c>
    </row>
    <row r="54" spans="1:11" s="411" customFormat="1" ht="25.5" customHeight="1" x14ac:dyDescent="0.2">
      <c r="A54" s="407">
        <v>7</v>
      </c>
      <c r="B54" s="240" t="s">
        <v>613</v>
      </c>
      <c r="C54" s="240"/>
      <c r="D54" s="240"/>
      <c r="E54" s="240"/>
      <c r="F54" s="408"/>
      <c r="G54" s="408">
        <f>'18'!M29</f>
        <v>77001.8745222</v>
      </c>
      <c r="H54" s="409">
        <f>'18'!N29</f>
        <v>77001.8745222</v>
      </c>
      <c r="I54" s="410">
        <f t="shared" si="0"/>
        <v>2.7513948930207258E-2</v>
      </c>
      <c r="J54" s="412"/>
      <c r="K54" s="412"/>
    </row>
    <row r="55" spans="1:11" s="411" customFormat="1" ht="25.5" customHeight="1" x14ac:dyDescent="0.2">
      <c r="A55" s="407">
        <v>8</v>
      </c>
      <c r="B55" s="240" t="s">
        <v>614</v>
      </c>
      <c r="C55" s="241"/>
      <c r="D55" s="241"/>
      <c r="E55" s="240"/>
      <c r="F55" s="408">
        <f>'19'!K178</f>
        <v>36590.204762120848</v>
      </c>
      <c r="G55" s="408">
        <f>'19'!M178</f>
        <v>37602.173148290945</v>
      </c>
      <c r="H55" s="409">
        <f>'19'!N178</f>
        <v>74192.3779104118</v>
      </c>
      <c r="I55" s="410">
        <f t="shared" si="0"/>
        <v>2.6510072767763387E-2</v>
      </c>
    </row>
    <row r="56" spans="1:11" s="411" customFormat="1" ht="25.5" customHeight="1" x14ac:dyDescent="0.2">
      <c r="A56" s="407">
        <v>9</v>
      </c>
      <c r="B56" s="240" t="s">
        <v>615</v>
      </c>
      <c r="C56" s="240"/>
      <c r="D56" s="240"/>
      <c r="E56" s="240"/>
      <c r="F56" s="408"/>
      <c r="G56" s="408">
        <f>'20'!M59</f>
        <v>35906.980850270535</v>
      </c>
      <c r="H56" s="409">
        <f>'20'!N59</f>
        <v>35906.980850270535</v>
      </c>
      <c r="I56" s="410">
        <f t="shared" si="0"/>
        <v>1.2830114117123799E-2</v>
      </c>
      <c r="J56" s="412"/>
      <c r="K56" s="412"/>
    </row>
    <row r="57" spans="1:11" s="411" customFormat="1" ht="25.5" customHeight="1" x14ac:dyDescent="0.2">
      <c r="A57" s="407">
        <v>10</v>
      </c>
      <c r="B57" s="240" t="s">
        <v>918</v>
      </c>
      <c r="C57" s="241"/>
      <c r="D57" s="240"/>
      <c r="E57" s="240"/>
      <c r="F57" s="408">
        <f>'21'!K148</f>
        <v>23085.982362135997</v>
      </c>
      <c r="G57" s="408">
        <f>'21'!M148</f>
        <v>6957.5818514399998</v>
      </c>
      <c r="H57" s="409">
        <f>'21'!N148</f>
        <v>30043.564213575999</v>
      </c>
      <c r="I57" s="410">
        <f t="shared" si="0"/>
        <v>1.0735025563766177E-2</v>
      </c>
    </row>
    <row r="58" spans="1:11" s="411" customFormat="1" ht="25.5" customHeight="1" x14ac:dyDescent="0.2">
      <c r="A58" s="407">
        <v>11</v>
      </c>
      <c r="B58" s="240" t="s">
        <v>919</v>
      </c>
      <c r="C58" s="241"/>
      <c r="D58" s="240"/>
      <c r="E58" s="240"/>
      <c r="F58" s="408"/>
      <c r="G58" s="408">
        <f>'22'!M63</f>
        <v>201433.39262982359</v>
      </c>
      <c r="H58" s="409">
        <f>'22'!N63</f>
        <v>215062.55285689078</v>
      </c>
      <c r="I58" s="410">
        <f t="shared" si="0"/>
        <v>7.6845143482819109E-2</v>
      </c>
      <c r="J58" s="412"/>
      <c r="K58" s="412"/>
    </row>
    <row r="59" spans="1:11" s="411" customFormat="1" ht="25.5" customHeight="1" x14ac:dyDescent="0.2">
      <c r="A59" s="407">
        <v>12</v>
      </c>
      <c r="B59" s="240" t="s">
        <v>770</v>
      </c>
      <c r="C59" s="241"/>
      <c r="D59" s="240"/>
      <c r="E59" s="240"/>
      <c r="F59" s="408">
        <f>'23'!K162</f>
        <v>107539.04056175407</v>
      </c>
      <c r="G59" s="408">
        <f>'23'!M162</f>
        <v>46575.0701453359</v>
      </c>
      <c r="H59" s="409">
        <f>'23'!N162</f>
        <v>154114.11070708997</v>
      </c>
      <c r="I59" s="410">
        <f t="shared" si="0"/>
        <v>5.5067331772510116E-2</v>
      </c>
      <c r="J59" s="412"/>
      <c r="K59" s="412"/>
    </row>
    <row r="60" spans="1:11" s="411" customFormat="1" ht="25.5" customHeight="1" x14ac:dyDescent="0.2">
      <c r="A60" s="407">
        <v>13</v>
      </c>
      <c r="B60" s="240" t="s">
        <v>771</v>
      </c>
      <c r="C60" s="240"/>
      <c r="D60" s="240"/>
      <c r="E60" s="240"/>
      <c r="F60" s="408"/>
      <c r="G60" s="408">
        <f>'24'!M41</f>
        <v>46860.964454592009</v>
      </c>
      <c r="H60" s="409">
        <f>'24'!N41</f>
        <v>46860.964454592009</v>
      </c>
      <c r="I60" s="410">
        <f t="shared" si="0"/>
        <v>1.6744140202095758E-2</v>
      </c>
      <c r="J60" s="412"/>
      <c r="K60" s="412"/>
    </row>
    <row r="61" spans="1:11" s="411" customFormat="1" ht="25.5" customHeight="1" x14ac:dyDescent="0.2">
      <c r="A61" s="407">
        <v>14</v>
      </c>
      <c r="B61" s="240" t="s">
        <v>877</v>
      </c>
      <c r="C61" s="241"/>
      <c r="D61" s="241"/>
      <c r="E61" s="240"/>
      <c r="F61" s="408">
        <f>'25'!K153</f>
        <v>521021.31387793872</v>
      </c>
      <c r="G61" s="408">
        <f>'25'!M153</f>
        <v>74922.243876582143</v>
      </c>
      <c r="H61" s="409">
        <f>'25'!N153</f>
        <v>595943.55775452091</v>
      </c>
      <c r="I61" s="410">
        <f t="shared" si="0"/>
        <v>0.21293975913036567</v>
      </c>
    </row>
    <row r="62" spans="1:11" s="411" customFormat="1" ht="25.5" customHeight="1" x14ac:dyDescent="0.2">
      <c r="A62" s="407">
        <v>15</v>
      </c>
      <c r="B62" s="240" t="s">
        <v>954</v>
      </c>
      <c r="C62" s="241"/>
      <c r="D62" s="241"/>
      <c r="E62" s="240"/>
      <c r="F62" s="408"/>
      <c r="G62" s="408">
        <f>'24 (2)'!M41</f>
        <v>136462.03008220802</v>
      </c>
      <c r="H62" s="408">
        <f>'24 (2)'!N41</f>
        <v>136462.03008220802</v>
      </c>
      <c r="I62" s="410">
        <f>H62/$H$47</f>
        <v>4.8759973051198988E-2</v>
      </c>
      <c r="J62" s="412"/>
      <c r="K62" s="412"/>
    </row>
    <row r="63" spans="1:11" s="411" customFormat="1" ht="25.5" hidden="1" customHeight="1" x14ac:dyDescent="0.2">
      <c r="A63" s="407">
        <v>16</v>
      </c>
      <c r="B63" s="240" t="s">
        <v>878</v>
      </c>
      <c r="C63" s="241"/>
      <c r="D63" s="241"/>
      <c r="E63" s="240"/>
      <c r="F63" s="408">
        <f>'26'!K153</f>
        <v>0</v>
      </c>
      <c r="G63" s="408">
        <f>'26'!M153</f>
        <v>0</v>
      </c>
      <c r="H63" s="408">
        <f>'26'!N153</f>
        <v>0</v>
      </c>
      <c r="I63" s="410">
        <f t="shared" ref="I63:I68" si="1">H63/$H$47</f>
        <v>0</v>
      </c>
      <c r="J63" s="412"/>
      <c r="K63" s="412"/>
    </row>
    <row r="64" spans="1:11" s="411" customFormat="1" ht="25.5" hidden="1" customHeight="1" x14ac:dyDescent="0.2">
      <c r="A64" s="407">
        <v>17</v>
      </c>
      <c r="B64" s="240" t="s">
        <v>955</v>
      </c>
      <c r="C64" s="241"/>
      <c r="D64" s="241"/>
      <c r="E64" s="240"/>
      <c r="F64" s="408"/>
      <c r="G64" s="408">
        <f>'24 (3)'!M41</f>
        <v>0</v>
      </c>
      <c r="H64" s="408">
        <f>'24 (3)'!N41</f>
        <v>0</v>
      </c>
      <c r="I64" s="410">
        <f t="shared" si="1"/>
        <v>0</v>
      </c>
      <c r="J64" s="412"/>
      <c r="K64" s="412"/>
    </row>
    <row r="65" spans="1:11" s="411" customFormat="1" ht="25.5" hidden="1" customHeight="1" x14ac:dyDescent="0.2">
      <c r="A65" s="646">
        <v>18</v>
      </c>
      <c r="B65" s="240" t="s">
        <v>1377</v>
      </c>
      <c r="C65" s="241"/>
      <c r="D65" s="241"/>
      <c r="E65" s="240"/>
      <c r="F65" s="408">
        <f>'26 (2)'!K153</f>
        <v>0</v>
      </c>
      <c r="G65" s="408">
        <f>'26 (2)'!M153</f>
        <v>0</v>
      </c>
      <c r="H65" s="408">
        <f>'26 (2)'!N153</f>
        <v>0</v>
      </c>
      <c r="I65" s="410">
        <f t="shared" si="1"/>
        <v>0</v>
      </c>
      <c r="J65" s="412"/>
      <c r="K65" s="412"/>
    </row>
    <row r="66" spans="1:11" s="411" customFormat="1" ht="25.5" hidden="1" customHeight="1" x14ac:dyDescent="0.2">
      <c r="A66" s="646">
        <v>19</v>
      </c>
      <c r="B66" s="240" t="s">
        <v>1378</v>
      </c>
      <c r="C66" s="241"/>
      <c r="D66" s="241"/>
      <c r="E66" s="240"/>
      <c r="F66" s="408"/>
      <c r="G66" s="408">
        <f>'24 (4)'!M41</f>
        <v>0</v>
      </c>
      <c r="H66" s="408">
        <f>'24 (4)'!N41</f>
        <v>0</v>
      </c>
      <c r="I66" s="410">
        <f t="shared" si="1"/>
        <v>0</v>
      </c>
      <c r="J66" s="412"/>
      <c r="K66" s="412"/>
    </row>
    <row r="67" spans="1:11" s="411" customFormat="1" ht="25.5" hidden="1" customHeight="1" x14ac:dyDescent="0.2">
      <c r="A67" s="703">
        <v>16</v>
      </c>
      <c r="B67" s="240" t="s">
        <v>1379</v>
      </c>
      <c r="C67" s="241"/>
      <c r="D67" s="241"/>
      <c r="E67" s="240"/>
      <c r="F67" s="408">
        <f>'26 (3)'!K148</f>
        <v>0</v>
      </c>
      <c r="G67" s="408">
        <f>'26 (3)'!M148</f>
        <v>0</v>
      </c>
      <c r="H67" s="408">
        <f>'26 (3)'!N148</f>
        <v>0</v>
      </c>
      <c r="I67" s="410">
        <f t="shared" si="1"/>
        <v>0</v>
      </c>
      <c r="J67" s="412"/>
      <c r="K67" s="412"/>
    </row>
    <row r="68" spans="1:11" s="411" customFormat="1" ht="25.5" hidden="1" customHeight="1" x14ac:dyDescent="0.2">
      <c r="A68" s="703">
        <v>17</v>
      </c>
      <c r="B68" s="240" t="s">
        <v>1380</v>
      </c>
      <c r="C68" s="241"/>
      <c r="D68" s="241"/>
      <c r="E68" s="240"/>
      <c r="F68" s="408"/>
      <c r="G68" s="408">
        <f>'24 (5)'!M59</f>
        <v>0</v>
      </c>
      <c r="H68" s="408">
        <f>'24 (5)'!N59</f>
        <v>0</v>
      </c>
      <c r="I68" s="410">
        <f t="shared" si="1"/>
        <v>0</v>
      </c>
      <c r="J68" s="412"/>
      <c r="K68" s="412"/>
    </row>
    <row r="69" spans="1:11" s="411" customFormat="1" ht="25.5" customHeight="1" x14ac:dyDescent="0.2">
      <c r="A69" s="407">
        <v>16</v>
      </c>
      <c r="B69" s="240" t="s">
        <v>616</v>
      </c>
      <c r="C69" s="241"/>
      <c r="D69" s="240"/>
      <c r="E69" s="240"/>
      <c r="F69" s="408">
        <f>'27'!K168</f>
        <v>37575.349413320451</v>
      </c>
      <c r="G69" s="408">
        <f>'27'!M168</f>
        <v>42225.48067706138</v>
      </c>
      <c r="H69" s="409">
        <f>'27'!N168</f>
        <v>79800.830090381831</v>
      </c>
      <c r="I69" s="410">
        <f>H69/$H$47</f>
        <v>2.8514058616350962E-2</v>
      </c>
    </row>
    <row r="70" spans="1:11" s="411" customFormat="1" ht="25.5" customHeight="1" x14ac:dyDescent="0.2">
      <c r="A70" s="407">
        <v>17</v>
      </c>
      <c r="B70" s="240" t="s">
        <v>617</v>
      </c>
      <c r="C70" s="241"/>
      <c r="D70" s="240"/>
      <c r="E70" s="240"/>
      <c r="F70" s="408"/>
      <c r="G70" s="408">
        <f>'28'!M33</f>
        <v>10029.678076799997</v>
      </c>
      <c r="H70" s="409">
        <f>'28'!N33</f>
        <v>10029.678076799997</v>
      </c>
      <c r="I70" s="410">
        <f>H70/$H$47</f>
        <v>3.5837575656932231E-3</v>
      </c>
    </row>
    <row r="71" spans="1:11" s="471" customFormat="1" ht="25.5" customHeight="1" x14ac:dyDescent="0.2">
      <c r="A71" s="407">
        <v>18</v>
      </c>
      <c r="B71" s="240" t="s">
        <v>618</v>
      </c>
      <c r="C71" s="241"/>
      <c r="D71" s="241"/>
      <c r="E71" s="240"/>
      <c r="F71" s="408">
        <f>'29'!K204</f>
        <v>40942.356916051969</v>
      </c>
      <c r="G71" s="408">
        <f>'29'!M204</f>
        <v>25950.269274275019</v>
      </c>
      <c r="H71" s="409">
        <f>'29'!N204</f>
        <v>66892.626190326991</v>
      </c>
      <c r="I71" s="410">
        <f>H71/$H$47</f>
        <v>2.390175969388229E-2</v>
      </c>
    </row>
    <row r="72" spans="1:11" s="473" customFormat="1" ht="25.5" customHeight="1" x14ac:dyDescent="0.2">
      <c r="A72" s="407">
        <v>19</v>
      </c>
      <c r="B72" s="240" t="s">
        <v>619</v>
      </c>
      <c r="C72" s="240"/>
      <c r="D72" s="240"/>
      <c r="E72" s="240"/>
      <c r="F72" s="408"/>
      <c r="G72" s="408">
        <f>'30'!M101</f>
        <v>12211.826641200001</v>
      </c>
      <c r="H72" s="409">
        <f>'30'!N101</f>
        <v>12211.826641200001</v>
      </c>
      <c r="I72" s="410">
        <f>H72/$H$47</f>
        <v>4.3634726639499169E-3</v>
      </c>
      <c r="J72" s="472"/>
      <c r="K72" s="472"/>
    </row>
    <row r="73" spans="1:11" s="474" customFormat="1" ht="25.5" customHeight="1" x14ac:dyDescent="0.2">
      <c r="A73" s="407">
        <v>20</v>
      </c>
      <c r="B73" s="240" t="s">
        <v>757</v>
      </c>
      <c r="C73" s="240"/>
      <c r="D73" s="240"/>
      <c r="E73" s="240"/>
      <c r="F73" s="408">
        <f>'31'!K21</f>
        <v>17842.7009</v>
      </c>
      <c r="G73" s="408">
        <f>'31'!M21</f>
        <v>40682.242656000002</v>
      </c>
      <c r="H73" s="408">
        <f>'31'!N21</f>
        <v>58524.943555999998</v>
      </c>
      <c r="I73" s="410">
        <f>H73/$H$47</f>
        <v>2.0911858550648702E-2</v>
      </c>
    </row>
    <row r="74" spans="1:11" s="473" customFormat="1" ht="25.5" customHeight="1" x14ac:dyDescent="0.2">
      <c r="A74" s="465" t="s">
        <v>1412</v>
      </c>
      <c r="B74" s="466" t="s">
        <v>1411</v>
      </c>
      <c r="C74" s="467"/>
      <c r="D74" s="467"/>
      <c r="E74" s="467"/>
      <c r="F74" s="468"/>
      <c r="G74" s="468"/>
      <c r="H74" s="469">
        <f>SUM(H75:H83)</f>
        <v>627874.70150607883</v>
      </c>
      <c r="I74" s="470">
        <f>H74/H95</f>
        <v>8.6705248900103934E-2</v>
      </c>
      <c r="K74" s="472"/>
    </row>
    <row r="75" spans="1:11" s="474" customFormat="1" ht="25.5" customHeight="1" x14ac:dyDescent="0.2">
      <c r="A75" s="407">
        <v>1</v>
      </c>
      <c r="B75" s="240" t="s">
        <v>449</v>
      </c>
      <c r="C75" s="241"/>
      <c r="D75" s="241"/>
      <c r="E75" s="241"/>
      <c r="F75" s="408">
        <f>'32'!K57</f>
        <v>31214.277262679996</v>
      </c>
      <c r="G75" s="408">
        <f>'32'!M57</f>
        <v>22944.425788439999</v>
      </c>
      <c r="H75" s="408">
        <f>'32'!N57</f>
        <v>54158.703051119999</v>
      </c>
      <c r="I75" s="410">
        <f>H75/$H$74</f>
        <v>8.6257183035420737E-2</v>
      </c>
      <c r="J75" s="475"/>
      <c r="K75" s="475"/>
    </row>
    <row r="76" spans="1:11" s="473" customFormat="1" ht="25.5" customHeight="1" x14ac:dyDescent="0.2">
      <c r="A76" s="407">
        <v>2</v>
      </c>
      <c r="B76" s="240" t="s">
        <v>869</v>
      </c>
      <c r="C76" s="240"/>
      <c r="D76" s="240"/>
      <c r="E76" s="240"/>
      <c r="F76" s="408">
        <f>'33'!K159</f>
        <v>60351.050991120021</v>
      </c>
      <c r="G76" s="408">
        <f>'33'!M159</f>
        <v>76855.666870799992</v>
      </c>
      <c r="H76" s="408">
        <f>'33'!N159</f>
        <v>137206.71786192001</v>
      </c>
      <c r="I76" s="410">
        <f t="shared" ref="I76:I82" si="2">H76/$H$74</f>
        <v>0.21852563502368097</v>
      </c>
    </row>
    <row r="77" spans="1:11" s="474" customFormat="1" ht="25.5" customHeight="1" x14ac:dyDescent="0.2">
      <c r="A77" s="407">
        <v>3</v>
      </c>
      <c r="B77" s="240" t="s">
        <v>610</v>
      </c>
      <c r="C77" s="241"/>
      <c r="D77" s="241"/>
      <c r="E77" s="241"/>
      <c r="F77" s="408">
        <f>'34'!K144</f>
        <v>9010.3875844690829</v>
      </c>
      <c r="G77" s="408">
        <f>'34'!M144</f>
        <v>2488.4133309000003</v>
      </c>
      <c r="H77" s="408">
        <f>'34'!N144</f>
        <v>11498.800915369084</v>
      </c>
      <c r="I77" s="410">
        <f t="shared" si="2"/>
        <v>1.8313846517126725E-2</v>
      </c>
      <c r="J77" s="475"/>
      <c r="K77" s="475"/>
    </row>
    <row r="78" spans="1:11" s="473" customFormat="1" ht="25.5" customHeight="1" x14ac:dyDescent="0.2">
      <c r="A78" s="407">
        <v>4</v>
      </c>
      <c r="B78" s="240" t="s">
        <v>611</v>
      </c>
      <c r="C78" s="241"/>
      <c r="D78" s="240"/>
      <c r="E78" s="240"/>
      <c r="F78" s="408"/>
      <c r="G78" s="408">
        <f>'35'!M266</f>
        <v>27997.673684399993</v>
      </c>
      <c r="H78" s="408">
        <f>'35'!N266</f>
        <v>27997.673684399993</v>
      </c>
      <c r="I78" s="410">
        <f t="shared" si="2"/>
        <v>4.4591179764437334E-2</v>
      </c>
    </row>
    <row r="79" spans="1:11" s="474" customFormat="1" ht="25.5" customHeight="1" x14ac:dyDescent="0.2">
      <c r="A79" s="407">
        <v>5</v>
      </c>
      <c r="B79" s="240" t="s">
        <v>870</v>
      </c>
      <c r="C79" s="240"/>
      <c r="D79" s="240"/>
      <c r="E79" s="240"/>
      <c r="F79" s="408">
        <f>'36'!K68</f>
        <v>4855.7830853599999</v>
      </c>
      <c r="G79" s="408">
        <f>'36'!M68</f>
        <v>9996.1938000000009</v>
      </c>
      <c r="H79" s="408">
        <f>'36'!N68</f>
        <v>14851.97688536</v>
      </c>
      <c r="I79" s="410">
        <f t="shared" si="2"/>
        <v>2.3654364238174692E-2</v>
      </c>
      <c r="J79" s="475"/>
      <c r="K79" s="475"/>
    </row>
    <row r="80" spans="1:11" s="474" customFormat="1" ht="25.5" customHeight="1" x14ac:dyDescent="0.2">
      <c r="A80" s="407">
        <v>6</v>
      </c>
      <c r="B80" s="240" t="s">
        <v>871</v>
      </c>
      <c r="C80" s="241"/>
      <c r="D80" s="240"/>
      <c r="E80" s="240"/>
      <c r="F80" s="408"/>
      <c r="G80" s="408">
        <f>'37'!M66</f>
        <v>234729.58699332003</v>
      </c>
      <c r="H80" s="408">
        <f>'37'!N66</f>
        <v>234729.58699332003</v>
      </c>
      <c r="I80" s="410">
        <f t="shared" si="2"/>
        <v>0.37384781777363502</v>
      </c>
      <c r="J80" s="475"/>
      <c r="K80" s="475"/>
    </row>
    <row r="81" spans="1:11" ht="25.5" customHeight="1" x14ac:dyDescent="0.2">
      <c r="A81" s="407">
        <v>7</v>
      </c>
      <c r="B81" s="240" t="s">
        <v>872</v>
      </c>
      <c r="C81" s="241"/>
      <c r="D81" s="240"/>
      <c r="E81" s="240"/>
      <c r="F81" s="408">
        <f>'38'!K86</f>
        <v>8598.6045075897764</v>
      </c>
      <c r="G81" s="408">
        <f>'38'!M86</f>
        <v>419.003739</v>
      </c>
      <c r="H81" s="408">
        <f>'38'!N86</f>
        <v>9017.6082465897762</v>
      </c>
      <c r="I81" s="410">
        <f t="shared" si="2"/>
        <v>1.4362114327841685E-2</v>
      </c>
    </row>
    <row r="82" spans="1:11" ht="25.5" customHeight="1" x14ac:dyDescent="0.2">
      <c r="A82" s="407">
        <v>8</v>
      </c>
      <c r="B82" s="240" t="s">
        <v>873</v>
      </c>
      <c r="C82" s="241"/>
      <c r="D82" s="240"/>
      <c r="E82" s="240"/>
      <c r="F82" s="408"/>
      <c r="G82" s="408">
        <f>'39'!M53</f>
        <v>26769.987107999994</v>
      </c>
      <c r="H82" s="408">
        <f>'39'!N53</f>
        <v>26769.987107999994</v>
      </c>
      <c r="I82" s="410">
        <f t="shared" si="2"/>
        <v>4.2635874711605681E-2</v>
      </c>
    </row>
    <row r="83" spans="1:11" ht="25.5" customHeight="1" x14ac:dyDescent="0.2">
      <c r="A83" s="407">
        <v>9</v>
      </c>
      <c r="B83" s="240" t="s">
        <v>757</v>
      </c>
      <c r="C83" s="241"/>
      <c r="D83" s="240"/>
      <c r="E83" s="240"/>
      <c r="F83" s="408">
        <f>'40'!K21</f>
        <v>8574.1832880000002</v>
      </c>
      <c r="G83" s="408">
        <f>'40'!M21</f>
        <v>103069.46347199999</v>
      </c>
      <c r="H83" s="408">
        <f>'40'!N21</f>
        <v>111643.64675999999</v>
      </c>
      <c r="I83" s="410">
        <f>H83/$H$74</f>
        <v>0.17781198460807726</v>
      </c>
    </row>
    <row r="84" spans="1:11" s="473" customFormat="1" ht="25.5" hidden="1" customHeight="1" x14ac:dyDescent="0.2">
      <c r="A84" s="465" t="s">
        <v>1412</v>
      </c>
      <c r="B84" s="466" t="s">
        <v>1410</v>
      </c>
      <c r="C84" s="467"/>
      <c r="D84" s="467"/>
      <c r="E84" s="467"/>
      <c r="F84" s="468"/>
      <c r="G84" s="468"/>
      <c r="H84" s="469">
        <f>SUM(H85:H93)</f>
        <v>0</v>
      </c>
      <c r="I84" s="470">
        <f>H84/H95</f>
        <v>0</v>
      </c>
      <c r="K84" s="472"/>
    </row>
    <row r="85" spans="1:11" s="474" customFormat="1" ht="25.5" hidden="1" customHeight="1" x14ac:dyDescent="0.2">
      <c r="A85" s="407">
        <v>1</v>
      </c>
      <c r="B85" s="240" t="s">
        <v>449</v>
      </c>
      <c r="C85" s="241"/>
      <c r="D85" s="241"/>
      <c r="E85" s="241"/>
      <c r="F85" s="408">
        <f>'32 (2)'!K57</f>
        <v>0</v>
      </c>
      <c r="G85" s="408">
        <f>'32 (2)'!M57</f>
        <v>0</v>
      </c>
      <c r="H85" s="408">
        <f>'32 (2)'!N57</f>
        <v>0</v>
      </c>
      <c r="I85" s="410" t="e">
        <f>H85/$H$84</f>
        <v>#DIV/0!</v>
      </c>
      <c r="J85" s="475"/>
      <c r="K85" s="475"/>
    </row>
    <row r="86" spans="1:11" s="473" customFormat="1" ht="25.5" hidden="1" customHeight="1" x14ac:dyDescent="0.2">
      <c r="A86" s="407">
        <v>2</v>
      </c>
      <c r="B86" s="240" t="s">
        <v>869</v>
      </c>
      <c r="C86" s="240"/>
      <c r="D86" s="240"/>
      <c r="E86" s="240"/>
      <c r="F86" s="408">
        <f>'33 (2)'!K159</f>
        <v>0</v>
      </c>
      <c r="G86" s="408">
        <f>'33 (2)'!M159</f>
        <v>0</v>
      </c>
      <c r="H86" s="408">
        <f>'33 (2)'!N159</f>
        <v>0</v>
      </c>
      <c r="I86" s="410" t="e">
        <f t="shared" ref="I86:I93" si="3">H86/$H$84</f>
        <v>#DIV/0!</v>
      </c>
    </row>
    <row r="87" spans="1:11" s="474" customFormat="1" ht="25.5" hidden="1" customHeight="1" x14ac:dyDescent="0.2">
      <c r="A87" s="407">
        <v>3</v>
      </c>
      <c r="B87" s="240" t="s">
        <v>610</v>
      </c>
      <c r="C87" s="241"/>
      <c r="D87" s="241"/>
      <c r="E87" s="241"/>
      <c r="F87" s="408">
        <f>'34 (2)'!K144</f>
        <v>0</v>
      </c>
      <c r="G87" s="408">
        <f>'34 (2)'!M144</f>
        <v>0</v>
      </c>
      <c r="H87" s="408">
        <f>'34 (2)'!N144</f>
        <v>0</v>
      </c>
      <c r="I87" s="410" t="e">
        <f t="shared" si="3"/>
        <v>#DIV/0!</v>
      </c>
      <c r="J87" s="475"/>
      <c r="K87" s="475"/>
    </row>
    <row r="88" spans="1:11" s="473" customFormat="1" ht="25.5" hidden="1" customHeight="1" x14ac:dyDescent="0.2">
      <c r="A88" s="407">
        <v>4</v>
      </c>
      <c r="B88" s="240" t="s">
        <v>611</v>
      </c>
      <c r="C88" s="241"/>
      <c r="D88" s="240"/>
      <c r="E88" s="240"/>
      <c r="F88" s="408">
        <f>'35 (2)'!K266</f>
        <v>0</v>
      </c>
      <c r="G88" s="408">
        <f>'35 (2)'!M266</f>
        <v>0</v>
      </c>
      <c r="H88" s="408">
        <f>'35 (2)'!N266</f>
        <v>0</v>
      </c>
      <c r="I88" s="410" t="e">
        <f t="shared" si="3"/>
        <v>#DIV/0!</v>
      </c>
    </row>
    <row r="89" spans="1:11" s="474" customFormat="1" ht="25.5" hidden="1" customHeight="1" x14ac:dyDescent="0.2">
      <c r="A89" s="407">
        <v>5</v>
      </c>
      <c r="B89" s="240" t="s">
        <v>870</v>
      </c>
      <c r="C89" s="240"/>
      <c r="D89" s="240"/>
      <c r="E89" s="240"/>
      <c r="F89" s="408">
        <f>'36 (2)'!K68</f>
        <v>0</v>
      </c>
      <c r="G89" s="408">
        <f>'36 (2)'!M68</f>
        <v>0</v>
      </c>
      <c r="H89" s="408">
        <f>'36 (2)'!N68</f>
        <v>0</v>
      </c>
      <c r="I89" s="410" t="e">
        <f t="shared" si="3"/>
        <v>#DIV/0!</v>
      </c>
      <c r="J89" s="475"/>
      <c r="K89" s="475"/>
    </row>
    <row r="90" spans="1:11" s="474" customFormat="1" ht="25.5" hidden="1" customHeight="1" x14ac:dyDescent="0.2">
      <c r="A90" s="407">
        <v>6</v>
      </c>
      <c r="B90" s="240" t="s">
        <v>871</v>
      </c>
      <c r="C90" s="241"/>
      <c r="D90" s="240"/>
      <c r="E90" s="240"/>
      <c r="F90" s="408">
        <f>'37 (2)'!K66</f>
        <v>0</v>
      </c>
      <c r="G90" s="408">
        <f>'37 (2)'!M66</f>
        <v>0</v>
      </c>
      <c r="H90" s="408">
        <f>'37 (2)'!N66</f>
        <v>0</v>
      </c>
      <c r="I90" s="410" t="e">
        <f t="shared" si="3"/>
        <v>#DIV/0!</v>
      </c>
      <c r="J90" s="475"/>
      <c r="K90" s="475"/>
    </row>
    <row r="91" spans="1:11" ht="25.5" hidden="1" customHeight="1" x14ac:dyDescent="0.2">
      <c r="A91" s="407">
        <v>7</v>
      </c>
      <c r="B91" s="240" t="s">
        <v>872</v>
      </c>
      <c r="C91" s="241"/>
      <c r="D91" s="240"/>
      <c r="E91" s="240"/>
      <c r="F91" s="408">
        <f>'38 (2)'!K86</f>
        <v>0</v>
      </c>
      <c r="G91" s="408">
        <f>'38 (2)'!M86</f>
        <v>0</v>
      </c>
      <c r="H91" s="408">
        <f>'38 (2)'!N86</f>
        <v>0</v>
      </c>
      <c r="I91" s="410" t="e">
        <f t="shared" si="3"/>
        <v>#DIV/0!</v>
      </c>
    </row>
    <row r="92" spans="1:11" ht="25.5" hidden="1" customHeight="1" x14ac:dyDescent="0.2">
      <c r="A92" s="407">
        <v>8</v>
      </c>
      <c r="B92" s="240" t="s">
        <v>873</v>
      </c>
      <c r="C92" s="241"/>
      <c r="D92" s="240"/>
      <c r="E92" s="240"/>
      <c r="F92" s="408">
        <f>'39 (2)'!K53</f>
        <v>0</v>
      </c>
      <c r="G92" s="408">
        <f>'39 (2)'!M53</f>
        <v>0</v>
      </c>
      <c r="H92" s="408">
        <f>'39 (2)'!N53</f>
        <v>0</v>
      </c>
      <c r="I92" s="410" t="e">
        <f t="shared" si="3"/>
        <v>#DIV/0!</v>
      </c>
    </row>
    <row r="93" spans="1:11" ht="25.5" hidden="1" customHeight="1" x14ac:dyDescent="0.2">
      <c r="A93" s="407">
        <v>9</v>
      </c>
      <c r="B93" s="240" t="s">
        <v>757</v>
      </c>
      <c r="C93" s="241"/>
      <c r="D93" s="240"/>
      <c r="E93" s="240"/>
      <c r="F93" s="408">
        <f>'40 (2)'!K21</f>
        <v>0</v>
      </c>
      <c r="G93" s="408">
        <f>'40 (2)'!M21</f>
        <v>0</v>
      </c>
      <c r="H93" s="408">
        <f>'40 (2)'!N21</f>
        <v>0</v>
      </c>
      <c r="I93" s="410" t="e">
        <f t="shared" si="3"/>
        <v>#DIV/0!</v>
      </c>
    </row>
    <row r="94" spans="1:11" ht="26.25" customHeight="1" x14ac:dyDescent="0.25">
      <c r="A94" s="413"/>
      <c r="B94" s="414"/>
      <c r="C94" s="414"/>
      <c r="D94" s="414"/>
      <c r="E94" s="414"/>
      <c r="F94" s="415"/>
      <c r="G94" s="415"/>
      <c r="H94" s="414"/>
      <c r="I94" s="416"/>
    </row>
    <row r="95" spans="1:11" ht="15" x14ac:dyDescent="0.25">
      <c r="A95" s="417" t="s">
        <v>281</v>
      </c>
      <c r="B95" s="418"/>
      <c r="C95" s="418"/>
      <c r="D95" s="418"/>
      <c r="E95" s="418"/>
      <c r="F95" s="419"/>
      <c r="G95" s="419"/>
      <c r="H95" s="420">
        <f>H10+H11+H12+H14+H17+H20+H23+H26+H29+H32+H35+H38+H41+H44+H47+H74+H84</f>
        <v>7241484.33308201</v>
      </c>
      <c r="I95" s="421">
        <f>I14+I10+I11+I12+I17+I20+I23+I26+I29+I32+I35+I38+I41+I44+I47+I74</f>
        <v>0.99999999999999978</v>
      </c>
    </row>
    <row r="96" spans="1:11" x14ac:dyDescent="0.2">
      <c r="A96" s="422"/>
      <c r="B96" s="184"/>
      <c r="C96" s="184"/>
      <c r="D96" s="184"/>
      <c r="E96" s="184"/>
      <c r="F96" s="184"/>
      <c r="G96" s="184"/>
      <c r="H96" s="184"/>
      <c r="I96" s="184"/>
    </row>
    <row r="97" spans="1:9" ht="15" x14ac:dyDescent="0.25">
      <c r="A97" s="775" t="s">
        <v>778</v>
      </c>
      <c r="B97" s="775"/>
      <c r="C97" s="775"/>
      <c r="D97" s="775"/>
      <c r="E97" s="775"/>
      <c r="F97" s="775"/>
      <c r="G97" s="775"/>
      <c r="H97" s="775"/>
      <c r="I97" s="775"/>
    </row>
    <row r="98" spans="1:9" x14ac:dyDescent="0.2">
      <c r="H98" s="423"/>
    </row>
    <row r="99" spans="1:9" x14ac:dyDescent="0.2">
      <c r="H99" s="423"/>
    </row>
    <row r="208" spans="10:10" x14ac:dyDescent="0.2">
      <c r="J208" s="51" t="e">
        <f>#REF!/#REF!</f>
        <v>#REF!</v>
      </c>
    </row>
  </sheetData>
  <mergeCells count="5">
    <mergeCell ref="A5:B6"/>
    <mergeCell ref="H4:I4"/>
    <mergeCell ref="K10:K12"/>
    <mergeCell ref="A2:I2"/>
    <mergeCell ref="A97:I9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3" firstPageNumber="28" orientation="portrait" r:id="rId1"/>
  <headerFooter alignWithMargins="0">
    <oddHeader>&amp;L&amp;G&amp;R&amp;"Arial,Itálico"&amp;12&amp;K03+000CONSÓRCIO - CODES</oddHeader>
    <oddFooter xml:space="preserve">&amp;C&amp;"Arial,Normal"&amp;K03+000CONSÓRCIO – CODES&amp;"MS Sans Serif,Regular"&amp;K000000
&amp;"Arial,Normal"&amp;8&amp;K03+000Rua Camões, 1484 S.11 e 12 - Hugo Lange – CEP 80040-180Fone/Fax: |041| 3363.0775/3262.1288 – Curitiba/PR&amp;"Cambria,Regular"&amp;K000000
</oddFooter>
  </headerFooter>
  <ignoredErrors>
    <ignoredError sqref="I44 I41 I17" formula="1"/>
    <ignoredError sqref="I85:I93" evalError="1"/>
  </ignoredErrors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X137"/>
  <sheetViews>
    <sheetView view="pageBreakPreview" zoomScaleNormal="100" zoomScaleSheetLayoutView="100" workbookViewId="0">
      <selection activeCell="Z25" sqref="Z25"/>
    </sheetView>
  </sheetViews>
  <sheetFormatPr defaultRowHeight="12.75" x14ac:dyDescent="0.2"/>
  <cols>
    <col min="3" max="3" width="21.28515625" customWidth="1"/>
    <col min="4" max="4" width="19" customWidth="1"/>
    <col min="5" max="5" width="11.42578125" customWidth="1"/>
    <col min="6" max="10" width="12.7109375" customWidth="1"/>
    <col min="11" max="11" width="13.7109375" bestFit="1" customWidth="1"/>
    <col min="12" max="12" width="12.28515625" bestFit="1" customWidth="1"/>
    <col min="13" max="13" width="13.28515625" bestFit="1" customWidth="1"/>
    <col min="14" max="14" width="13.7109375" bestFit="1" customWidth="1"/>
    <col min="15" max="16" width="13.28515625" bestFit="1" customWidth="1"/>
    <col min="17" max="17" width="13.28515625" customWidth="1"/>
    <col min="18" max="18" width="13.28515625" hidden="1" customWidth="1"/>
    <col min="19" max="19" width="12.7109375" hidden="1" customWidth="1"/>
    <col min="20" max="20" width="16.5703125" hidden="1" customWidth="1"/>
    <col min="21" max="21" width="12.7109375" hidden="1" customWidth="1"/>
    <col min="22" max="22" width="13.7109375" hidden="1" customWidth="1"/>
    <col min="23" max="23" width="13.42578125" hidden="1" customWidth="1"/>
    <col min="24" max="24" width="14" customWidth="1"/>
    <col min="27" max="27" width="9.140625" customWidth="1"/>
  </cols>
  <sheetData>
    <row r="2" spans="2:24" ht="13.5" thickBot="1" x14ac:dyDescent="0.25"/>
    <row r="3" spans="2:24" ht="13.5" thickBot="1" x14ac:dyDescent="0.25">
      <c r="B3" s="797" t="s">
        <v>1119</v>
      </c>
      <c r="C3" s="798"/>
      <c r="D3" s="799"/>
      <c r="E3" s="570" t="s">
        <v>1118</v>
      </c>
      <c r="F3" s="814" t="str">
        <f>RESUMO!D4</f>
        <v>SÃO JOSÉ DAS PALMEIRAS</v>
      </c>
      <c r="G3" s="815"/>
      <c r="H3" s="815"/>
      <c r="I3" s="815"/>
      <c r="J3" s="815"/>
      <c r="K3" s="815"/>
      <c r="L3" s="815"/>
      <c r="M3" s="815"/>
      <c r="N3" s="816"/>
      <c r="O3" s="743" t="s">
        <v>1117</v>
      </c>
      <c r="P3" s="569"/>
      <c r="Q3" s="819"/>
      <c r="R3" s="820"/>
      <c r="S3" s="820"/>
      <c r="T3" s="820"/>
      <c r="U3" s="820"/>
      <c r="V3" s="820"/>
      <c r="W3" s="820"/>
      <c r="X3" s="821"/>
    </row>
    <row r="4" spans="2:24" ht="13.5" thickBot="1" x14ac:dyDescent="0.25">
      <c r="B4" s="800"/>
      <c r="C4" s="801"/>
      <c r="D4" s="802"/>
      <c r="E4" s="568" t="s">
        <v>1116</v>
      </c>
      <c r="F4" s="814" t="s">
        <v>1115</v>
      </c>
      <c r="G4" s="815"/>
      <c r="H4" s="815"/>
      <c r="I4" s="815"/>
      <c r="J4" s="815"/>
      <c r="K4" s="815"/>
      <c r="L4" s="815"/>
      <c r="M4" s="815"/>
      <c r="N4" s="816"/>
      <c r="O4" s="744" t="s">
        <v>1434</v>
      </c>
      <c r="P4" s="737">
        <f ca="1">RESUMO!G4</f>
        <v>43657</v>
      </c>
      <c r="Q4" s="822"/>
      <c r="R4" s="823"/>
      <c r="S4" s="823"/>
      <c r="T4" s="823"/>
      <c r="U4" s="823"/>
      <c r="V4" s="823"/>
      <c r="W4" s="823"/>
      <c r="X4" s="824"/>
    </row>
    <row r="5" spans="2:24" x14ac:dyDescent="0.2">
      <c r="B5" s="789" t="s">
        <v>1113</v>
      </c>
      <c r="C5" s="791" t="s">
        <v>1112</v>
      </c>
      <c r="D5" s="791" t="s">
        <v>1091</v>
      </c>
      <c r="E5" s="812" t="s">
        <v>1111</v>
      </c>
      <c r="F5" s="805"/>
      <c r="G5" s="806"/>
      <c r="H5" s="806"/>
      <c r="I5" s="806"/>
      <c r="J5" s="806"/>
      <c r="K5" s="806"/>
      <c r="L5" s="806"/>
      <c r="M5" s="806"/>
      <c r="N5" s="806"/>
      <c r="O5" s="806"/>
      <c r="P5" s="807"/>
      <c r="Q5" s="807"/>
      <c r="R5" s="807"/>
      <c r="S5" s="807"/>
      <c r="T5" s="807"/>
      <c r="U5" s="807"/>
      <c r="V5" s="807"/>
      <c r="W5" s="807"/>
      <c r="X5" s="803" t="s">
        <v>1110</v>
      </c>
    </row>
    <row r="6" spans="2:24" ht="13.5" thickBot="1" x14ac:dyDescent="0.25">
      <c r="B6" s="790"/>
      <c r="C6" s="790"/>
      <c r="D6" s="790"/>
      <c r="E6" s="813"/>
      <c r="F6" s="567">
        <v>1</v>
      </c>
      <c r="G6" s="566">
        <v>2</v>
      </c>
      <c r="H6" s="566">
        <v>3</v>
      </c>
      <c r="I6" s="566">
        <v>4</v>
      </c>
      <c r="J6" s="564">
        <v>5</v>
      </c>
      <c r="K6" s="564">
        <v>6</v>
      </c>
      <c r="L6" s="564">
        <v>7</v>
      </c>
      <c r="M6" s="564">
        <v>8</v>
      </c>
      <c r="N6" s="564">
        <v>9</v>
      </c>
      <c r="O6" s="565">
        <v>10</v>
      </c>
      <c r="P6" s="564">
        <v>11</v>
      </c>
      <c r="Q6" s="563">
        <v>12</v>
      </c>
      <c r="R6" s="563">
        <v>13</v>
      </c>
      <c r="S6" s="563">
        <v>14</v>
      </c>
      <c r="T6" s="563">
        <v>15</v>
      </c>
      <c r="U6" s="563">
        <v>16</v>
      </c>
      <c r="V6" s="563">
        <v>17</v>
      </c>
      <c r="W6" s="565">
        <v>18</v>
      </c>
      <c r="X6" s="804"/>
    </row>
    <row r="7" spans="2:24" ht="13.5" thickBot="1" x14ac:dyDescent="0.25">
      <c r="B7" s="536"/>
      <c r="C7" s="536"/>
      <c r="D7" s="536"/>
      <c r="E7" s="536"/>
      <c r="F7" s="536"/>
      <c r="G7" s="536"/>
      <c r="H7" s="536"/>
      <c r="I7" s="536"/>
      <c r="J7" s="536"/>
      <c r="K7" s="536"/>
      <c r="L7" s="562"/>
      <c r="M7" s="562"/>
      <c r="N7" s="562"/>
      <c r="O7" s="562"/>
      <c r="P7" s="536"/>
      <c r="Q7" s="562"/>
      <c r="X7" s="562"/>
    </row>
    <row r="8" spans="2:24" x14ac:dyDescent="0.2">
      <c r="B8" s="787">
        <v>1</v>
      </c>
      <c r="C8" s="788" t="str">
        <f>RESUMO!B10</f>
        <v>CANTEIRO DE OBRAS</v>
      </c>
      <c r="D8" s="561"/>
      <c r="E8" s="561"/>
      <c r="F8" s="720"/>
      <c r="G8" s="721"/>
      <c r="H8" s="535"/>
      <c r="I8" s="535"/>
      <c r="J8" s="561"/>
      <c r="K8" s="561"/>
      <c r="L8" s="561"/>
      <c r="M8" s="561"/>
      <c r="N8" s="561"/>
      <c r="O8" s="561"/>
      <c r="P8" s="535"/>
      <c r="Q8" s="561"/>
      <c r="R8" s="561"/>
      <c r="S8" s="561"/>
      <c r="T8" s="561"/>
      <c r="U8" s="561"/>
      <c r="V8" s="561"/>
      <c r="W8" s="561"/>
      <c r="X8" s="560"/>
    </row>
    <row r="9" spans="2:24" x14ac:dyDescent="0.2">
      <c r="B9" s="776"/>
      <c r="C9" s="784"/>
      <c r="D9" s="544">
        <f>RESUMO!H10</f>
        <v>70614.951996000003</v>
      </c>
      <c r="E9" s="757" t="s">
        <v>625</v>
      </c>
      <c r="F9" s="542">
        <f>$D$9</f>
        <v>70614.951996000003</v>
      </c>
      <c r="G9" s="542"/>
      <c r="H9" s="529"/>
      <c r="I9" s="529"/>
      <c r="J9" s="757"/>
      <c r="K9" s="757"/>
      <c r="L9" s="757"/>
      <c r="M9" s="757"/>
      <c r="N9" s="757"/>
      <c r="O9" s="757"/>
      <c r="P9" s="529"/>
      <c r="Q9" s="757"/>
      <c r="R9" s="757"/>
      <c r="S9" s="757"/>
      <c r="T9" s="757"/>
      <c r="U9" s="757"/>
      <c r="V9" s="757"/>
      <c r="W9" s="555"/>
      <c r="X9" s="559">
        <f>SUM(F9:W9)</f>
        <v>70614.951996000003</v>
      </c>
    </row>
    <row r="10" spans="2:24" ht="13.5" thickBot="1" x14ac:dyDescent="0.25">
      <c r="B10" s="776"/>
      <c r="C10" s="784"/>
      <c r="D10" s="549"/>
      <c r="E10" s="549" t="s">
        <v>15</v>
      </c>
      <c r="F10" s="538">
        <v>100</v>
      </c>
      <c r="G10" s="538"/>
      <c r="H10" s="538"/>
      <c r="I10" s="538"/>
      <c r="J10" s="546"/>
      <c r="K10" s="546"/>
      <c r="L10" s="546"/>
      <c r="M10" s="546"/>
      <c r="N10" s="546"/>
      <c r="O10" s="546"/>
      <c r="P10" s="546"/>
      <c r="Q10" s="546"/>
      <c r="R10" s="546"/>
      <c r="S10" s="546"/>
      <c r="T10" s="546"/>
      <c r="U10" s="546"/>
      <c r="V10" s="546"/>
      <c r="W10" s="546"/>
      <c r="X10" s="559">
        <f t="shared" ref="X10:X73" si="0">SUM(F10:W10)</f>
        <v>100</v>
      </c>
    </row>
    <row r="11" spans="2:24" x14ac:dyDescent="0.2">
      <c r="B11" s="776">
        <v>2</v>
      </c>
      <c r="C11" s="788" t="str">
        <f>RESUMO!B11</f>
        <v>PLACA DE OBRA</v>
      </c>
      <c r="D11" s="757"/>
      <c r="E11" s="757"/>
      <c r="F11" s="552"/>
      <c r="G11" s="529"/>
      <c r="H11" s="529"/>
      <c r="I11" s="529"/>
      <c r="J11" s="757"/>
      <c r="K11" s="757"/>
      <c r="L11" s="757"/>
      <c r="M11" s="757"/>
      <c r="N11" s="757"/>
      <c r="O11" s="757"/>
      <c r="P11" s="529"/>
      <c r="Q11" s="757"/>
      <c r="R11" s="757"/>
      <c r="S11" s="757"/>
      <c r="T11" s="757"/>
      <c r="U11" s="757"/>
      <c r="V11" s="757"/>
      <c r="W11" s="757"/>
      <c r="X11" s="559">
        <f t="shared" si="0"/>
        <v>0</v>
      </c>
    </row>
    <row r="12" spans="2:24" x14ac:dyDescent="0.2">
      <c r="B12" s="776"/>
      <c r="C12" s="784"/>
      <c r="D12" s="544">
        <f>RESUMO!H11</f>
        <v>3863.5199999999995</v>
      </c>
      <c r="E12" s="757" t="str">
        <f>E9</f>
        <v>R$</v>
      </c>
      <c r="F12" s="542">
        <f>D12</f>
        <v>3863.5199999999995</v>
      </c>
      <c r="G12" s="529"/>
      <c r="H12" s="529"/>
      <c r="I12" s="529"/>
      <c r="J12" s="757"/>
      <c r="K12" s="757"/>
      <c r="L12" s="757"/>
      <c r="M12" s="757"/>
      <c r="N12" s="757"/>
      <c r="O12" s="757"/>
      <c r="P12" s="529"/>
      <c r="Q12" s="757"/>
      <c r="R12" s="757"/>
      <c r="S12" s="757"/>
      <c r="T12" s="757"/>
      <c r="U12" s="757"/>
      <c r="V12" s="757"/>
      <c r="W12" s="757"/>
      <c r="X12" s="559">
        <f t="shared" si="0"/>
        <v>3863.5199999999995</v>
      </c>
    </row>
    <row r="13" spans="2:24" x14ac:dyDescent="0.2">
      <c r="B13" s="776"/>
      <c r="C13" s="784"/>
      <c r="D13" s="549"/>
      <c r="E13" s="549" t="s">
        <v>15</v>
      </c>
      <c r="F13" s="538">
        <v>100</v>
      </c>
      <c r="G13" s="538"/>
      <c r="H13" s="538"/>
      <c r="I13" s="538"/>
      <c r="J13" s="546"/>
      <c r="K13" s="546"/>
      <c r="L13" s="546"/>
      <c r="M13" s="546"/>
      <c r="N13" s="546"/>
      <c r="O13" s="546"/>
      <c r="P13" s="546"/>
      <c r="Q13" s="546"/>
      <c r="R13" s="546"/>
      <c r="S13" s="546"/>
      <c r="T13" s="546"/>
      <c r="U13" s="546"/>
      <c r="V13" s="546"/>
      <c r="W13" s="546"/>
      <c r="X13" s="559">
        <f t="shared" si="0"/>
        <v>100</v>
      </c>
    </row>
    <row r="14" spans="2:24" x14ac:dyDescent="0.2">
      <c r="B14" s="776">
        <v>3</v>
      </c>
      <c r="C14" s="777" t="str">
        <f>RESUMO!B12</f>
        <v>ADMINISTRAÇÃO LOCAL DA OBRA</v>
      </c>
      <c r="D14" s="757"/>
      <c r="E14" s="757"/>
      <c r="F14" s="552"/>
      <c r="G14" s="552"/>
      <c r="H14" s="552"/>
      <c r="I14" s="552"/>
      <c r="J14" s="545"/>
      <c r="K14" s="545"/>
      <c r="L14" s="545"/>
      <c r="M14" s="545"/>
      <c r="N14" s="545"/>
      <c r="O14" s="545"/>
      <c r="P14" s="552"/>
      <c r="Q14" s="552"/>
      <c r="R14" s="552"/>
      <c r="S14" s="552"/>
      <c r="T14" s="552"/>
      <c r="U14" s="556"/>
      <c r="V14" s="556"/>
      <c r="W14" s="556"/>
      <c r="X14" s="559">
        <f t="shared" si="0"/>
        <v>0</v>
      </c>
    </row>
    <row r="15" spans="2:24" x14ac:dyDescent="0.2">
      <c r="B15" s="776"/>
      <c r="C15" s="777"/>
      <c r="D15" s="544">
        <f>RESUMO!H12</f>
        <v>181770.11532000001</v>
      </c>
      <c r="E15" s="757" t="str">
        <f>E9</f>
        <v>R$</v>
      </c>
      <c r="F15" s="542">
        <f>$D$15/12</f>
        <v>15147.509610000001</v>
      </c>
      <c r="G15" s="542">
        <f t="shared" ref="G15:Q15" si="1">$D$15/12</f>
        <v>15147.509610000001</v>
      </c>
      <c r="H15" s="542">
        <f t="shared" si="1"/>
        <v>15147.509610000001</v>
      </c>
      <c r="I15" s="542">
        <f t="shared" si="1"/>
        <v>15147.509610000001</v>
      </c>
      <c r="J15" s="542">
        <f t="shared" si="1"/>
        <v>15147.509610000001</v>
      </c>
      <c r="K15" s="542">
        <f t="shared" si="1"/>
        <v>15147.509610000001</v>
      </c>
      <c r="L15" s="542">
        <f t="shared" si="1"/>
        <v>15147.509610000001</v>
      </c>
      <c r="M15" s="542">
        <f t="shared" si="1"/>
        <v>15147.509610000001</v>
      </c>
      <c r="N15" s="542">
        <f t="shared" si="1"/>
        <v>15147.509610000001</v>
      </c>
      <c r="O15" s="542">
        <f t="shared" si="1"/>
        <v>15147.509610000001</v>
      </c>
      <c r="P15" s="542">
        <f t="shared" si="1"/>
        <v>15147.509610000001</v>
      </c>
      <c r="Q15" s="542">
        <f t="shared" si="1"/>
        <v>15147.509610000001</v>
      </c>
      <c r="R15" s="542"/>
      <c r="S15" s="542"/>
      <c r="T15" s="542"/>
      <c r="U15" s="542"/>
      <c r="V15" s="542"/>
      <c r="W15" s="542"/>
      <c r="X15" s="559">
        <f t="shared" si="0"/>
        <v>181770.11532000007</v>
      </c>
    </row>
    <row r="16" spans="2:24" ht="13.5" thickBot="1" x14ac:dyDescent="0.25">
      <c r="B16" s="785"/>
      <c r="C16" s="786"/>
      <c r="D16" s="554"/>
      <c r="E16" s="554" t="s">
        <v>15</v>
      </c>
      <c r="F16" s="537">
        <f>100/12</f>
        <v>8.3333333333333339</v>
      </c>
      <c r="G16" s="537">
        <f t="shared" ref="G16:Q16" si="2">100/12</f>
        <v>8.3333333333333339</v>
      </c>
      <c r="H16" s="537">
        <f t="shared" si="2"/>
        <v>8.3333333333333339</v>
      </c>
      <c r="I16" s="537">
        <f t="shared" si="2"/>
        <v>8.3333333333333339</v>
      </c>
      <c r="J16" s="537">
        <f t="shared" si="2"/>
        <v>8.3333333333333339</v>
      </c>
      <c r="K16" s="537">
        <f t="shared" si="2"/>
        <v>8.3333333333333339</v>
      </c>
      <c r="L16" s="537">
        <f t="shared" si="2"/>
        <v>8.3333333333333339</v>
      </c>
      <c r="M16" s="537">
        <f t="shared" si="2"/>
        <v>8.3333333333333339</v>
      </c>
      <c r="N16" s="537">
        <f t="shared" si="2"/>
        <v>8.3333333333333339</v>
      </c>
      <c r="O16" s="537">
        <f t="shared" si="2"/>
        <v>8.3333333333333339</v>
      </c>
      <c r="P16" s="537">
        <f t="shared" si="2"/>
        <v>8.3333333333333339</v>
      </c>
      <c r="Q16" s="537">
        <f t="shared" si="2"/>
        <v>8.3333333333333339</v>
      </c>
      <c r="R16" s="537"/>
      <c r="S16" s="537"/>
      <c r="T16" s="537"/>
      <c r="U16" s="537"/>
      <c r="V16" s="537"/>
      <c r="W16" s="537"/>
      <c r="X16" s="559">
        <f t="shared" si="0"/>
        <v>99.999999999999986</v>
      </c>
    </row>
    <row r="17" spans="2:24" x14ac:dyDescent="0.2">
      <c r="B17" s="787">
        <v>4</v>
      </c>
      <c r="C17" s="796" t="str">
        <f>RESUMO!B14</f>
        <v>REDE COLETORA DE ESGOTOS</v>
      </c>
      <c r="D17" s="561"/>
      <c r="E17" s="561"/>
      <c r="F17" s="535"/>
      <c r="G17" s="719"/>
      <c r="H17" s="719"/>
      <c r="I17" s="719"/>
      <c r="J17" s="719"/>
      <c r="K17" s="722"/>
      <c r="L17" s="722"/>
      <c r="M17" s="722"/>
      <c r="N17" s="722"/>
      <c r="O17" s="722"/>
      <c r="P17" s="719"/>
      <c r="Q17" s="719"/>
      <c r="R17" s="720"/>
      <c r="S17" s="720"/>
      <c r="T17" s="720"/>
      <c r="U17" s="721"/>
      <c r="V17" s="721"/>
      <c r="W17" s="721"/>
      <c r="X17" s="559">
        <f t="shared" si="0"/>
        <v>0</v>
      </c>
    </row>
    <row r="18" spans="2:24" x14ac:dyDescent="0.2">
      <c r="B18" s="776"/>
      <c r="C18" s="777"/>
      <c r="D18" s="544">
        <f>RESUMO!H14</f>
        <v>2189044.8056990518</v>
      </c>
      <c r="E18" s="757" t="str">
        <f>E15</f>
        <v>R$</v>
      </c>
      <c r="F18" s="542"/>
      <c r="G18" s="542"/>
      <c r="H18" s="542"/>
      <c r="I18" s="542"/>
      <c r="J18" s="542"/>
      <c r="K18" s="542">
        <f>$D$18/5</f>
        <v>437808.96113981039</v>
      </c>
      <c r="L18" s="542">
        <f t="shared" ref="L18:O18" si="3">$D$18/5</f>
        <v>437808.96113981039</v>
      </c>
      <c r="M18" s="542">
        <f t="shared" si="3"/>
        <v>437808.96113981039</v>
      </c>
      <c r="N18" s="542">
        <f t="shared" si="3"/>
        <v>437808.96113981039</v>
      </c>
      <c r="O18" s="542">
        <f t="shared" si="3"/>
        <v>437808.96113981039</v>
      </c>
      <c r="P18" s="542"/>
      <c r="Q18" s="542"/>
      <c r="R18" s="542"/>
      <c r="S18" s="542"/>
      <c r="T18" s="542"/>
      <c r="U18" s="542"/>
      <c r="V18" s="542"/>
      <c r="W18" s="542"/>
      <c r="X18" s="559">
        <f t="shared" si="0"/>
        <v>2189044.8056990518</v>
      </c>
    </row>
    <row r="19" spans="2:24" x14ac:dyDescent="0.2">
      <c r="B19" s="776"/>
      <c r="C19" s="777"/>
      <c r="D19" s="549"/>
      <c r="E19" s="549" t="s">
        <v>15</v>
      </c>
      <c r="F19" s="538"/>
      <c r="G19" s="538"/>
      <c r="H19" s="538"/>
      <c r="I19" s="538"/>
      <c r="J19" s="538"/>
      <c r="K19" s="538">
        <f>100/5</f>
        <v>20</v>
      </c>
      <c r="L19" s="538">
        <f t="shared" ref="L19:O19" si="4">100/5</f>
        <v>20</v>
      </c>
      <c r="M19" s="538">
        <f t="shared" si="4"/>
        <v>20</v>
      </c>
      <c r="N19" s="538">
        <f t="shared" si="4"/>
        <v>20</v>
      </c>
      <c r="O19" s="538">
        <f t="shared" si="4"/>
        <v>20</v>
      </c>
      <c r="P19" s="538"/>
      <c r="Q19" s="538"/>
      <c r="R19" s="538"/>
      <c r="S19" s="538"/>
      <c r="T19" s="538"/>
      <c r="U19" s="538"/>
      <c r="V19" s="538"/>
      <c r="W19" s="538"/>
      <c r="X19" s="559">
        <f>SUM(F19:W19)</f>
        <v>100</v>
      </c>
    </row>
    <row r="20" spans="2:24" x14ac:dyDescent="0.2">
      <c r="B20" s="776">
        <v>5</v>
      </c>
      <c r="C20" s="784" t="str">
        <f>RESUMO!B17</f>
        <v>LIGAÇÕES PREDIAIS</v>
      </c>
      <c r="D20" s="757"/>
      <c r="E20" s="757"/>
      <c r="F20" s="529"/>
      <c r="G20" s="556"/>
      <c r="H20" s="556"/>
      <c r="I20" s="556"/>
      <c r="J20" s="556"/>
      <c r="K20" s="545"/>
      <c r="L20" s="545"/>
      <c r="M20" s="545"/>
      <c r="N20" s="545"/>
      <c r="O20" s="545"/>
      <c r="P20" s="556"/>
      <c r="Q20" s="556"/>
      <c r="R20" s="552"/>
      <c r="S20" s="552"/>
      <c r="T20" s="552"/>
      <c r="U20" s="557"/>
      <c r="V20" s="557"/>
      <c r="W20" s="557"/>
      <c r="X20" s="559">
        <f t="shared" si="0"/>
        <v>0</v>
      </c>
    </row>
    <row r="21" spans="2:24" x14ac:dyDescent="0.2">
      <c r="B21" s="776"/>
      <c r="C21" s="784"/>
      <c r="D21" s="544">
        <f>RESUMO!H17</f>
        <v>222814.32340060666</v>
      </c>
      <c r="E21" s="757" t="str">
        <f>E18</f>
        <v>R$</v>
      </c>
      <c r="F21" s="542"/>
      <c r="G21" s="542"/>
      <c r="H21" s="542"/>
      <c r="I21" s="542"/>
      <c r="J21" s="542"/>
      <c r="K21" s="542">
        <f>$D$21/5</f>
        <v>44562.864680121333</v>
      </c>
      <c r="L21" s="542">
        <f t="shared" ref="L21:O21" si="5">$D$21/5</f>
        <v>44562.864680121333</v>
      </c>
      <c r="M21" s="542">
        <f t="shared" si="5"/>
        <v>44562.864680121333</v>
      </c>
      <c r="N21" s="542">
        <f t="shared" si="5"/>
        <v>44562.864680121333</v>
      </c>
      <c r="O21" s="542">
        <f t="shared" si="5"/>
        <v>44562.864680121333</v>
      </c>
      <c r="P21" s="542"/>
      <c r="Q21" s="542"/>
      <c r="R21" s="542"/>
      <c r="S21" s="542"/>
      <c r="T21" s="542"/>
      <c r="U21" s="542"/>
      <c r="V21" s="542"/>
      <c r="W21" s="542"/>
      <c r="X21" s="559">
        <f t="shared" si="0"/>
        <v>222814.32340060666</v>
      </c>
    </row>
    <row r="22" spans="2:24" x14ac:dyDescent="0.2">
      <c r="B22" s="776"/>
      <c r="C22" s="784"/>
      <c r="D22" s="549"/>
      <c r="E22" s="549" t="s">
        <v>15</v>
      </c>
      <c r="F22" s="538"/>
      <c r="G22" s="538"/>
      <c r="H22" s="538"/>
      <c r="I22" s="538"/>
      <c r="J22" s="538"/>
      <c r="K22" s="538">
        <f>100/5</f>
        <v>20</v>
      </c>
      <c r="L22" s="538">
        <f t="shared" ref="L22:O22" si="6">100/5</f>
        <v>20</v>
      </c>
      <c r="M22" s="538">
        <f t="shared" si="6"/>
        <v>20</v>
      </c>
      <c r="N22" s="538">
        <f t="shared" si="6"/>
        <v>20</v>
      </c>
      <c r="O22" s="538">
        <f t="shared" si="6"/>
        <v>20</v>
      </c>
      <c r="P22" s="538"/>
      <c r="Q22" s="538"/>
      <c r="R22" s="538"/>
      <c r="S22" s="538"/>
      <c r="T22" s="538"/>
      <c r="U22" s="538"/>
      <c r="V22" s="538"/>
      <c r="W22" s="538"/>
      <c r="X22" s="559">
        <f t="shared" si="0"/>
        <v>100</v>
      </c>
    </row>
    <row r="23" spans="2:24" x14ac:dyDescent="0.2">
      <c r="B23" s="776">
        <v>6</v>
      </c>
      <c r="C23" s="784" t="str">
        <f>RESUMO!B20</f>
        <v>COLETOR 01</v>
      </c>
      <c r="D23" s="757"/>
      <c r="E23" s="757"/>
      <c r="F23" s="556"/>
      <c r="G23" s="556"/>
      <c r="H23" s="545"/>
      <c r="I23" s="556"/>
      <c r="J23" s="556"/>
      <c r="K23" s="556"/>
      <c r="L23" s="757"/>
      <c r="M23" s="757"/>
      <c r="N23" s="757"/>
      <c r="O23" s="757"/>
      <c r="P23" s="557"/>
      <c r="Q23" s="556"/>
      <c r="R23" s="556"/>
      <c r="S23" s="757"/>
      <c r="T23" s="757"/>
      <c r="U23" s="757"/>
      <c r="V23" s="757"/>
      <c r="W23" s="757"/>
      <c r="X23" s="559">
        <f t="shared" si="0"/>
        <v>0</v>
      </c>
    </row>
    <row r="24" spans="2:24" x14ac:dyDescent="0.2">
      <c r="B24" s="776"/>
      <c r="C24" s="784"/>
      <c r="D24" s="544">
        <f>RESUMO!H20</f>
        <v>163543.20425915788</v>
      </c>
      <c r="E24" s="757" t="str">
        <f>E21</f>
        <v>R$</v>
      </c>
      <c r="F24" s="542"/>
      <c r="G24" s="542"/>
      <c r="H24" s="542">
        <f>$D$24</f>
        <v>163543.20425915788</v>
      </c>
      <c r="I24" s="542"/>
      <c r="J24" s="542"/>
      <c r="K24" s="542"/>
      <c r="L24" s="542"/>
      <c r="M24" s="542"/>
      <c r="N24" s="542"/>
      <c r="O24" s="542"/>
      <c r="P24" s="542"/>
      <c r="Q24" s="542"/>
      <c r="R24" s="542"/>
      <c r="S24" s="542"/>
      <c r="T24" s="542"/>
      <c r="U24" s="542"/>
      <c r="V24" s="542"/>
      <c r="W24" s="757"/>
      <c r="X24" s="559">
        <f t="shared" si="0"/>
        <v>163543.20425915788</v>
      </c>
    </row>
    <row r="25" spans="2:24" x14ac:dyDescent="0.2">
      <c r="B25" s="776"/>
      <c r="C25" s="784"/>
      <c r="D25" s="549"/>
      <c r="E25" s="549" t="s">
        <v>15</v>
      </c>
      <c r="F25" s="538"/>
      <c r="G25" s="538"/>
      <c r="H25" s="538">
        <f>100</f>
        <v>100</v>
      </c>
      <c r="I25" s="538"/>
      <c r="J25" s="538"/>
      <c r="K25" s="538"/>
      <c r="L25" s="538"/>
      <c r="M25" s="538"/>
      <c r="N25" s="538"/>
      <c r="O25" s="538"/>
      <c r="P25" s="538"/>
      <c r="Q25" s="538"/>
      <c r="R25" s="538"/>
      <c r="S25" s="538"/>
      <c r="T25" s="538"/>
      <c r="U25" s="538"/>
      <c r="V25" s="538"/>
      <c r="W25" s="546"/>
      <c r="X25" s="559">
        <f t="shared" si="0"/>
        <v>100</v>
      </c>
    </row>
    <row r="26" spans="2:24" x14ac:dyDescent="0.2">
      <c r="B26" s="776">
        <v>7</v>
      </c>
      <c r="C26" s="784" t="str">
        <f>RESUMO!B23</f>
        <v>COLETOR 02</v>
      </c>
      <c r="D26" s="757"/>
      <c r="E26" s="757"/>
      <c r="F26" s="529"/>
      <c r="G26" s="529"/>
      <c r="H26" s="556"/>
      <c r="I26" s="545"/>
      <c r="J26" s="556"/>
      <c r="K26" s="757"/>
      <c r="L26" s="757"/>
      <c r="M26" s="757"/>
      <c r="N26" s="557"/>
      <c r="O26" s="557"/>
      <c r="P26" s="529"/>
      <c r="Q26" s="556"/>
      <c r="R26" s="757"/>
      <c r="S26" s="757"/>
      <c r="T26" s="757"/>
      <c r="U26" s="757"/>
      <c r="V26" s="757"/>
      <c r="W26" s="757"/>
      <c r="X26" s="559">
        <f t="shared" si="0"/>
        <v>0</v>
      </c>
    </row>
    <row r="27" spans="2:24" x14ac:dyDescent="0.2">
      <c r="B27" s="776"/>
      <c r="C27" s="784"/>
      <c r="D27" s="544">
        <f>RESUMO!H23</f>
        <v>20740.28912014213</v>
      </c>
      <c r="E27" s="757" t="str">
        <f>E24</f>
        <v>R$</v>
      </c>
      <c r="F27" s="542"/>
      <c r="G27" s="542"/>
      <c r="H27" s="542"/>
      <c r="I27" s="542">
        <f>$D$27</f>
        <v>20740.28912014213</v>
      </c>
      <c r="J27" s="542"/>
      <c r="K27" s="542"/>
      <c r="L27" s="542"/>
      <c r="M27" s="542"/>
      <c r="N27" s="542"/>
      <c r="O27" s="542"/>
      <c r="P27" s="542"/>
      <c r="Q27" s="542"/>
      <c r="R27" s="542"/>
      <c r="S27" s="542"/>
      <c r="T27" s="542"/>
      <c r="U27" s="542"/>
      <c r="V27" s="542"/>
      <c r="W27" s="555"/>
      <c r="X27" s="559">
        <f t="shared" si="0"/>
        <v>20740.28912014213</v>
      </c>
    </row>
    <row r="28" spans="2:24" x14ac:dyDescent="0.2">
      <c r="B28" s="776"/>
      <c r="C28" s="784"/>
      <c r="D28" s="549"/>
      <c r="E28" s="549" t="s">
        <v>15</v>
      </c>
      <c r="F28" s="538"/>
      <c r="G28" s="538"/>
      <c r="H28" s="538"/>
      <c r="I28" s="538">
        <v>100</v>
      </c>
      <c r="J28" s="538"/>
      <c r="K28" s="538"/>
      <c r="L28" s="538"/>
      <c r="M28" s="538"/>
      <c r="N28" s="538"/>
      <c r="O28" s="538"/>
      <c r="P28" s="538"/>
      <c r="Q28" s="538"/>
      <c r="R28" s="538"/>
      <c r="S28" s="538"/>
      <c r="T28" s="538"/>
      <c r="U28" s="538"/>
      <c r="V28" s="538"/>
      <c r="W28" s="546"/>
      <c r="X28" s="559">
        <f t="shared" si="0"/>
        <v>100</v>
      </c>
    </row>
    <row r="29" spans="2:24" x14ac:dyDescent="0.2">
      <c r="B29" s="776">
        <v>8</v>
      </c>
      <c r="C29" s="784" t="str">
        <f>RESUMO!B26</f>
        <v>COLETOR 03</v>
      </c>
      <c r="D29" s="757"/>
      <c r="E29" s="757"/>
      <c r="F29" s="529"/>
      <c r="G29" s="529"/>
      <c r="H29" s="557"/>
      <c r="I29" s="557"/>
      <c r="J29" s="552"/>
      <c r="K29" s="557"/>
      <c r="L29" s="557"/>
      <c r="M29" s="557"/>
      <c r="N29" s="757"/>
      <c r="O29" s="757"/>
      <c r="P29" s="557"/>
      <c r="Q29" s="757"/>
      <c r="R29" s="757"/>
      <c r="S29" s="757"/>
      <c r="T29" s="757"/>
      <c r="U29" s="757"/>
      <c r="V29" s="757"/>
      <c r="W29" s="757"/>
      <c r="X29" s="559">
        <f t="shared" si="0"/>
        <v>0</v>
      </c>
    </row>
    <row r="30" spans="2:24" x14ac:dyDescent="0.2">
      <c r="B30" s="776"/>
      <c r="C30" s="784"/>
      <c r="D30" s="544">
        <f>RESUMO!H26</f>
        <v>148912.71920403038</v>
      </c>
      <c r="E30" s="757" t="str">
        <f>E27</f>
        <v>R$</v>
      </c>
      <c r="F30" s="542"/>
      <c r="G30" s="542"/>
      <c r="H30" s="542"/>
      <c r="I30" s="542"/>
      <c r="J30" s="542">
        <f>$D$30</f>
        <v>148912.71920403038</v>
      </c>
      <c r="K30" s="542"/>
      <c r="L30" s="542"/>
      <c r="M30" s="542"/>
      <c r="N30" s="542"/>
      <c r="O30" s="542"/>
      <c r="P30" s="542"/>
      <c r="Q30" s="542"/>
      <c r="R30" s="542"/>
      <c r="S30" s="542"/>
      <c r="T30" s="542"/>
      <c r="U30" s="542"/>
      <c r="V30" s="542"/>
      <c r="W30" s="757"/>
      <c r="X30" s="559">
        <f t="shared" si="0"/>
        <v>148912.71920403038</v>
      </c>
    </row>
    <row r="31" spans="2:24" x14ac:dyDescent="0.2">
      <c r="B31" s="776"/>
      <c r="C31" s="784"/>
      <c r="D31" s="549"/>
      <c r="E31" s="549" t="s">
        <v>15</v>
      </c>
      <c r="F31" s="538"/>
      <c r="G31" s="538"/>
      <c r="H31" s="538"/>
      <c r="I31" s="538"/>
      <c r="J31" s="538">
        <f>100</f>
        <v>100</v>
      </c>
      <c r="K31" s="538"/>
      <c r="L31" s="538"/>
      <c r="M31" s="538"/>
      <c r="N31" s="538"/>
      <c r="O31" s="538"/>
      <c r="P31" s="538"/>
      <c r="Q31" s="538"/>
      <c r="R31" s="538"/>
      <c r="S31" s="538"/>
      <c r="T31" s="538"/>
      <c r="U31" s="538"/>
      <c r="V31" s="538"/>
      <c r="W31" s="546"/>
      <c r="X31" s="559">
        <f t="shared" si="0"/>
        <v>100</v>
      </c>
    </row>
    <row r="32" spans="2:24" x14ac:dyDescent="0.2">
      <c r="B32" s="778">
        <v>9</v>
      </c>
      <c r="C32" s="784" t="s">
        <v>1086</v>
      </c>
      <c r="D32" s="556"/>
      <c r="E32" s="556"/>
      <c r="F32" s="571"/>
      <c r="G32" s="571"/>
      <c r="H32" s="742"/>
      <c r="I32" s="742"/>
      <c r="J32" s="571"/>
      <c r="K32" s="571"/>
      <c r="L32" s="571"/>
      <c r="M32" s="571"/>
      <c r="N32" s="571"/>
      <c r="O32" s="571"/>
      <c r="P32" s="571"/>
      <c r="Q32" s="571"/>
      <c r="R32" s="571"/>
      <c r="S32" s="571"/>
      <c r="T32" s="571"/>
      <c r="U32" s="538"/>
      <c r="V32" s="538"/>
      <c r="W32" s="546"/>
      <c r="X32" s="559">
        <f t="shared" si="0"/>
        <v>0</v>
      </c>
    </row>
    <row r="33" spans="2:24" x14ac:dyDescent="0.2">
      <c r="B33" s="779"/>
      <c r="C33" s="784"/>
      <c r="D33" s="573">
        <f>RESUMO!H29</f>
        <v>296588.40419739397</v>
      </c>
      <c r="E33" s="556" t="str">
        <f>E30</f>
        <v>R$</v>
      </c>
      <c r="F33" s="571"/>
      <c r="G33" s="571"/>
      <c r="H33" s="571">
        <f>$D$33/2</f>
        <v>148294.20209869699</v>
      </c>
      <c r="I33" s="571">
        <f>$D$33/2</f>
        <v>148294.20209869699</v>
      </c>
      <c r="J33" s="571"/>
      <c r="K33" s="571"/>
      <c r="L33" s="571"/>
      <c r="M33" s="571"/>
      <c r="N33" s="571"/>
      <c r="O33" s="571"/>
      <c r="P33" s="571"/>
      <c r="Q33" s="571"/>
      <c r="R33" s="571"/>
      <c r="S33" s="571"/>
      <c r="T33" s="571"/>
      <c r="U33" s="538"/>
      <c r="V33" s="538"/>
      <c r="W33" s="546"/>
      <c r="X33" s="559">
        <f t="shared" si="0"/>
        <v>296588.40419739397</v>
      </c>
    </row>
    <row r="34" spans="2:24" x14ac:dyDescent="0.2">
      <c r="B34" s="780"/>
      <c r="C34" s="784"/>
      <c r="D34" s="549"/>
      <c r="E34" s="549" t="str">
        <f>E31</f>
        <v>%</v>
      </c>
      <c r="F34" s="538"/>
      <c r="G34" s="538"/>
      <c r="H34" s="538">
        <f>100/2</f>
        <v>50</v>
      </c>
      <c r="I34" s="538">
        <f>100/2</f>
        <v>50</v>
      </c>
      <c r="J34" s="538"/>
      <c r="K34" s="538"/>
      <c r="L34" s="538"/>
      <c r="M34" s="538"/>
      <c r="N34" s="538"/>
      <c r="O34" s="538"/>
      <c r="P34" s="538"/>
      <c r="Q34" s="538"/>
      <c r="R34" s="538"/>
      <c r="S34" s="538"/>
      <c r="T34" s="538"/>
      <c r="U34" s="538"/>
      <c r="V34" s="538"/>
      <c r="W34" s="546"/>
      <c r="X34" s="559">
        <f t="shared" si="0"/>
        <v>100</v>
      </c>
    </row>
    <row r="35" spans="2:24" x14ac:dyDescent="0.2">
      <c r="B35" s="778">
        <v>10</v>
      </c>
      <c r="C35" s="784" t="s">
        <v>1416</v>
      </c>
      <c r="D35" s="556"/>
      <c r="E35" s="556"/>
      <c r="F35" s="571"/>
      <c r="G35" s="571"/>
      <c r="H35" s="571"/>
      <c r="I35" s="742"/>
      <c r="J35" s="571"/>
      <c r="K35" s="571"/>
      <c r="L35" s="571"/>
      <c r="M35" s="571"/>
      <c r="N35" s="571"/>
      <c r="O35" s="571"/>
      <c r="P35" s="571"/>
      <c r="Q35" s="571"/>
      <c r="R35" s="538"/>
      <c r="S35" s="538"/>
      <c r="T35" s="538"/>
      <c r="U35" s="538"/>
      <c r="V35" s="538"/>
      <c r="W35" s="546"/>
      <c r="X35" s="559">
        <f t="shared" si="0"/>
        <v>0</v>
      </c>
    </row>
    <row r="36" spans="2:24" x14ac:dyDescent="0.2">
      <c r="B36" s="779"/>
      <c r="C36" s="784"/>
      <c r="D36" s="573">
        <f>RESUMO!H32</f>
        <v>25137.012819857664</v>
      </c>
      <c r="E36" s="556" t="str">
        <f>E33</f>
        <v>R$</v>
      </c>
      <c r="F36" s="571"/>
      <c r="G36" s="571"/>
      <c r="H36" s="571"/>
      <c r="I36" s="571">
        <f>$D$36</f>
        <v>25137.012819857664</v>
      </c>
      <c r="J36" s="571"/>
      <c r="K36" s="571"/>
      <c r="L36" s="571"/>
      <c r="M36" s="571"/>
      <c r="N36" s="571"/>
      <c r="O36" s="571"/>
      <c r="P36" s="571"/>
      <c r="Q36" s="571"/>
      <c r="R36" s="538"/>
      <c r="S36" s="538"/>
      <c r="T36" s="538"/>
      <c r="U36" s="538"/>
      <c r="V36" s="538"/>
      <c r="W36" s="546"/>
      <c r="X36" s="559">
        <f t="shared" si="0"/>
        <v>25137.012819857664</v>
      </c>
    </row>
    <row r="37" spans="2:24" x14ac:dyDescent="0.2">
      <c r="B37" s="780"/>
      <c r="C37" s="784"/>
      <c r="D37" s="549"/>
      <c r="E37" s="549" t="str">
        <f>E34</f>
        <v>%</v>
      </c>
      <c r="F37" s="538"/>
      <c r="G37" s="538"/>
      <c r="H37" s="538"/>
      <c r="I37" s="538">
        <f>100</f>
        <v>100</v>
      </c>
      <c r="J37" s="538"/>
      <c r="K37" s="538"/>
      <c r="L37" s="538"/>
      <c r="M37" s="538"/>
      <c r="N37" s="538"/>
      <c r="O37" s="538"/>
      <c r="P37" s="538"/>
      <c r="Q37" s="538"/>
      <c r="R37" s="538"/>
      <c r="S37" s="538"/>
      <c r="T37" s="538"/>
      <c r="U37" s="538"/>
      <c r="V37" s="538"/>
      <c r="W37" s="546"/>
      <c r="X37" s="559">
        <f t="shared" si="0"/>
        <v>100</v>
      </c>
    </row>
    <row r="38" spans="2:24" hidden="1" x14ac:dyDescent="0.2">
      <c r="B38" s="778">
        <v>8</v>
      </c>
      <c r="C38" s="784" t="s">
        <v>1418</v>
      </c>
      <c r="D38" s="549"/>
      <c r="E38" s="549"/>
      <c r="F38" s="538"/>
      <c r="G38" s="538"/>
      <c r="H38" s="538"/>
      <c r="I38" s="538"/>
      <c r="J38" s="538"/>
      <c r="K38" s="538"/>
      <c r="L38" s="538"/>
      <c r="M38" s="538"/>
      <c r="N38" s="538"/>
      <c r="O38" s="538"/>
      <c r="P38" s="538"/>
      <c r="Q38" s="538"/>
      <c r="R38" s="538"/>
      <c r="S38" s="538"/>
      <c r="T38" s="538"/>
      <c r="U38" s="538"/>
      <c r="V38" s="538"/>
      <c r="W38" s="546"/>
      <c r="X38" s="559">
        <f t="shared" si="0"/>
        <v>0</v>
      </c>
    </row>
    <row r="39" spans="2:24" hidden="1" x14ac:dyDescent="0.2">
      <c r="B39" s="779"/>
      <c r="C39" s="784"/>
      <c r="D39" s="549"/>
      <c r="E39" s="549"/>
      <c r="F39" s="538"/>
      <c r="G39" s="538"/>
      <c r="H39" s="538"/>
      <c r="I39" s="538"/>
      <c r="J39" s="538"/>
      <c r="K39" s="538"/>
      <c r="L39" s="538"/>
      <c r="M39" s="538"/>
      <c r="N39" s="538"/>
      <c r="O39" s="538"/>
      <c r="P39" s="538"/>
      <c r="Q39" s="538"/>
      <c r="R39" s="538"/>
      <c r="S39" s="538"/>
      <c r="T39" s="538"/>
      <c r="U39" s="538"/>
      <c r="V39" s="538"/>
      <c r="W39" s="546"/>
      <c r="X39" s="559">
        <f t="shared" si="0"/>
        <v>0</v>
      </c>
    </row>
    <row r="40" spans="2:24" hidden="1" x14ac:dyDescent="0.2">
      <c r="B40" s="780"/>
      <c r="C40" s="784"/>
      <c r="D40" s="549"/>
      <c r="E40" s="549"/>
      <c r="F40" s="538"/>
      <c r="G40" s="538"/>
      <c r="H40" s="538"/>
      <c r="I40" s="538"/>
      <c r="J40" s="538"/>
      <c r="K40" s="538"/>
      <c r="L40" s="538"/>
      <c r="M40" s="538"/>
      <c r="N40" s="538"/>
      <c r="O40" s="538"/>
      <c r="P40" s="538"/>
      <c r="Q40" s="538"/>
      <c r="R40" s="538"/>
      <c r="S40" s="538"/>
      <c r="T40" s="538"/>
      <c r="U40" s="538"/>
      <c r="V40" s="538"/>
      <c r="W40" s="546"/>
      <c r="X40" s="559">
        <f t="shared" si="0"/>
        <v>0</v>
      </c>
    </row>
    <row r="41" spans="2:24" hidden="1" x14ac:dyDescent="0.2">
      <c r="B41" s="778">
        <v>9</v>
      </c>
      <c r="C41" s="784"/>
      <c r="D41" s="556"/>
      <c r="E41" s="556"/>
      <c r="F41" s="571"/>
      <c r="G41" s="571"/>
      <c r="H41" s="571"/>
      <c r="I41" s="571"/>
      <c r="J41" s="571"/>
      <c r="K41" s="571"/>
      <c r="L41" s="571"/>
      <c r="M41" s="571"/>
      <c r="N41" s="571"/>
      <c r="O41" s="571"/>
      <c r="P41" s="571"/>
      <c r="Q41" s="571"/>
      <c r="R41" s="571"/>
      <c r="S41" s="571"/>
      <c r="T41" s="571"/>
      <c r="U41" s="571"/>
      <c r="V41" s="571"/>
      <c r="W41" s="572"/>
      <c r="X41" s="559">
        <f t="shared" si="0"/>
        <v>0</v>
      </c>
    </row>
    <row r="42" spans="2:24" hidden="1" x14ac:dyDescent="0.2">
      <c r="B42" s="779"/>
      <c r="C42" s="784"/>
      <c r="D42" s="573"/>
      <c r="E42" s="757" t="str">
        <f>E27</f>
        <v>R$</v>
      </c>
      <c r="F42" s="571"/>
      <c r="G42" s="571"/>
      <c r="H42" s="571"/>
      <c r="I42" s="571"/>
      <c r="J42" s="571"/>
      <c r="K42" s="571"/>
      <c r="L42" s="571"/>
      <c r="M42" s="571"/>
      <c r="N42" s="571"/>
      <c r="O42" s="571"/>
      <c r="P42" s="574"/>
      <c r="Q42" s="571"/>
      <c r="R42" s="571"/>
      <c r="S42" s="571"/>
      <c r="T42" s="571"/>
      <c r="U42" s="571"/>
      <c r="V42" s="571"/>
      <c r="W42" s="572"/>
      <c r="X42" s="559">
        <f t="shared" si="0"/>
        <v>0</v>
      </c>
    </row>
    <row r="43" spans="2:24" hidden="1" x14ac:dyDescent="0.2">
      <c r="B43" s="780"/>
      <c r="C43" s="784"/>
      <c r="D43" s="549"/>
      <c r="E43" s="549" t="str">
        <f>E31</f>
        <v>%</v>
      </c>
      <c r="F43" s="538"/>
      <c r="G43" s="538"/>
      <c r="H43" s="538"/>
      <c r="I43" s="538"/>
      <c r="J43" s="538"/>
      <c r="K43" s="538"/>
      <c r="L43" s="538"/>
      <c r="M43" s="538"/>
      <c r="N43" s="538"/>
      <c r="O43" s="538"/>
      <c r="P43" s="538"/>
      <c r="Q43" s="538"/>
      <c r="R43" s="538"/>
      <c r="S43" s="538"/>
      <c r="T43" s="538"/>
      <c r="U43" s="538"/>
      <c r="V43" s="538"/>
      <c r="W43" s="546"/>
      <c r="X43" s="559">
        <f t="shared" si="0"/>
        <v>0</v>
      </c>
    </row>
    <row r="44" spans="2:24" x14ac:dyDescent="0.2">
      <c r="B44" s="776">
        <v>11</v>
      </c>
      <c r="C44" s="784" t="s">
        <v>712</v>
      </c>
      <c r="D44" s="757"/>
      <c r="E44" s="757"/>
      <c r="F44" s="552"/>
      <c r="G44" s="552"/>
      <c r="H44" s="557"/>
      <c r="I44" s="557"/>
      <c r="J44" s="557"/>
      <c r="K44" s="556"/>
      <c r="L44" s="556"/>
      <c r="M44" s="556"/>
      <c r="N44" s="556"/>
      <c r="O44" s="556"/>
      <c r="P44" s="529"/>
      <c r="Q44" s="757"/>
      <c r="R44" s="757"/>
      <c r="S44" s="757"/>
      <c r="T44" s="757"/>
      <c r="U44" s="757"/>
      <c r="V44" s="757"/>
      <c r="W44" s="757"/>
      <c r="X44" s="559">
        <f t="shared" si="0"/>
        <v>0</v>
      </c>
    </row>
    <row r="45" spans="2:24" x14ac:dyDescent="0.2">
      <c r="B45" s="776"/>
      <c r="C45" s="784"/>
      <c r="D45" s="544">
        <f>RESUMO!H41</f>
        <v>464197.81002461718</v>
      </c>
      <c r="E45" s="757" t="str">
        <f>E30</f>
        <v>R$</v>
      </c>
      <c r="F45" s="542">
        <f>$D$45/2</f>
        <v>232098.90501230859</v>
      </c>
      <c r="G45" s="542">
        <f>$D$45/2</f>
        <v>232098.90501230859</v>
      </c>
      <c r="H45" s="542"/>
      <c r="I45" s="542"/>
      <c r="J45" s="542"/>
      <c r="K45" s="574"/>
      <c r="L45" s="574"/>
      <c r="M45" s="574"/>
      <c r="N45" s="574"/>
      <c r="O45" s="574"/>
      <c r="P45" s="542"/>
      <c r="Q45" s="542"/>
      <c r="R45" s="542"/>
      <c r="S45" s="542"/>
      <c r="T45" s="542"/>
      <c r="U45" s="542"/>
      <c r="V45" s="542"/>
      <c r="W45" s="555"/>
      <c r="X45" s="559">
        <f t="shared" si="0"/>
        <v>464197.81002461718</v>
      </c>
    </row>
    <row r="46" spans="2:24" x14ac:dyDescent="0.2">
      <c r="B46" s="776"/>
      <c r="C46" s="784"/>
      <c r="D46" s="549"/>
      <c r="E46" s="549" t="s">
        <v>15</v>
      </c>
      <c r="F46" s="538">
        <f>100/2</f>
        <v>50</v>
      </c>
      <c r="G46" s="538">
        <f>100/2</f>
        <v>50</v>
      </c>
      <c r="H46" s="538"/>
      <c r="I46" s="538"/>
      <c r="J46" s="538"/>
      <c r="K46" s="538"/>
      <c r="L46" s="538"/>
      <c r="M46" s="538"/>
      <c r="N46" s="538"/>
      <c r="O46" s="538"/>
      <c r="P46" s="538"/>
      <c r="Q46" s="538"/>
      <c r="R46" s="538"/>
      <c r="S46" s="538"/>
      <c r="T46" s="538"/>
      <c r="U46" s="538"/>
      <c r="V46" s="538"/>
      <c r="W46" s="546"/>
      <c r="X46" s="559">
        <f t="shared" si="0"/>
        <v>100</v>
      </c>
    </row>
    <row r="47" spans="2:24" x14ac:dyDescent="0.2">
      <c r="B47" s="776">
        <v>12</v>
      </c>
      <c r="C47" s="784" t="s">
        <v>713</v>
      </c>
      <c r="D47" s="757"/>
      <c r="E47" s="757"/>
      <c r="F47" s="557"/>
      <c r="G47" s="557"/>
      <c r="H47" s="557"/>
      <c r="I47" s="557"/>
      <c r="J47" s="545"/>
      <c r="K47" s="556"/>
      <c r="L47" s="556"/>
      <c r="M47" s="556"/>
      <c r="N47" s="757"/>
      <c r="O47" s="757"/>
      <c r="P47" s="529"/>
      <c r="Q47" s="757"/>
      <c r="R47" s="757"/>
      <c r="S47" s="757"/>
      <c r="T47" s="757"/>
      <c r="U47" s="757"/>
      <c r="V47" s="757"/>
      <c r="W47" s="757"/>
      <c r="X47" s="559">
        <f t="shared" si="0"/>
        <v>0</v>
      </c>
    </row>
    <row r="48" spans="2:24" x14ac:dyDescent="0.2">
      <c r="B48" s="776"/>
      <c r="C48" s="784"/>
      <c r="D48" s="544">
        <f>RESUMO!H44</f>
        <v>27733.880325225495</v>
      </c>
      <c r="E48" s="757" t="str">
        <f>E45</f>
        <v>R$</v>
      </c>
      <c r="F48" s="542"/>
      <c r="G48" s="542"/>
      <c r="H48" s="542"/>
      <c r="I48" s="542"/>
      <c r="J48" s="542">
        <f>$D$48</f>
        <v>27733.880325225495</v>
      </c>
      <c r="K48" s="542"/>
      <c r="L48" s="542"/>
      <c r="M48" s="542"/>
      <c r="N48" s="542"/>
      <c r="O48" s="542"/>
      <c r="P48" s="542"/>
      <c r="Q48" s="542"/>
      <c r="R48" s="542"/>
      <c r="S48" s="542"/>
      <c r="T48" s="542"/>
      <c r="U48" s="542"/>
      <c r="V48" s="542"/>
      <c r="W48" s="757"/>
      <c r="X48" s="559">
        <f t="shared" si="0"/>
        <v>27733.880325225495</v>
      </c>
    </row>
    <row r="49" spans="2:24" ht="13.5" thickBot="1" x14ac:dyDescent="0.25">
      <c r="B49" s="778"/>
      <c r="C49" s="795"/>
      <c r="D49" s="749"/>
      <c r="E49" s="749" t="s">
        <v>15</v>
      </c>
      <c r="F49" s="750"/>
      <c r="G49" s="750"/>
      <c r="H49" s="750"/>
      <c r="I49" s="750"/>
      <c r="J49" s="750">
        <f>100</f>
        <v>100</v>
      </c>
      <c r="K49" s="750"/>
      <c r="L49" s="750"/>
      <c r="M49" s="750"/>
      <c r="N49" s="750"/>
      <c r="O49" s="750"/>
      <c r="P49" s="750"/>
      <c r="Q49" s="750"/>
      <c r="R49" s="750"/>
      <c r="S49" s="750"/>
      <c r="T49" s="750"/>
      <c r="U49" s="750"/>
      <c r="V49" s="750"/>
      <c r="W49" s="751"/>
      <c r="X49" s="752">
        <f t="shared" si="0"/>
        <v>100</v>
      </c>
    </row>
    <row r="50" spans="2:24" x14ac:dyDescent="0.2">
      <c r="B50" s="787">
        <v>13</v>
      </c>
      <c r="C50" s="796" t="s">
        <v>1109</v>
      </c>
      <c r="D50" s="561"/>
      <c r="E50" s="561"/>
      <c r="F50" s="720"/>
      <c r="G50" s="721"/>
      <c r="H50" s="535"/>
      <c r="I50" s="535"/>
      <c r="J50" s="561"/>
      <c r="K50" s="561"/>
      <c r="L50" s="561"/>
      <c r="M50" s="561"/>
      <c r="N50" s="561"/>
      <c r="O50" s="561"/>
      <c r="P50" s="535"/>
      <c r="Q50" s="561"/>
      <c r="R50" s="561"/>
      <c r="S50" s="561"/>
      <c r="T50" s="561"/>
      <c r="U50" s="561"/>
      <c r="V50" s="561"/>
      <c r="W50" s="561"/>
      <c r="X50" s="725">
        <f t="shared" si="0"/>
        <v>0</v>
      </c>
    </row>
    <row r="51" spans="2:24" x14ac:dyDescent="0.2">
      <c r="B51" s="776"/>
      <c r="C51" s="777"/>
      <c r="D51" s="544">
        <f>RESUMO!H48</f>
        <v>181538.14562989541</v>
      </c>
      <c r="E51" s="757" t="str">
        <f>E48</f>
        <v>R$</v>
      </c>
      <c r="F51" s="542">
        <f>$D$51</f>
        <v>181538.14562989541</v>
      </c>
      <c r="G51" s="542"/>
      <c r="H51" s="542"/>
      <c r="I51" s="542"/>
      <c r="J51" s="542"/>
      <c r="K51" s="542"/>
      <c r="L51" s="542"/>
      <c r="M51" s="542"/>
      <c r="N51" s="542"/>
      <c r="O51" s="542"/>
      <c r="P51" s="542"/>
      <c r="Q51" s="542"/>
      <c r="R51" s="542"/>
      <c r="S51" s="542"/>
      <c r="T51" s="542"/>
      <c r="U51" s="542"/>
      <c r="V51" s="542"/>
      <c r="W51" s="555"/>
      <c r="X51" s="559">
        <f t="shared" si="0"/>
        <v>181538.14562989541</v>
      </c>
    </row>
    <row r="52" spans="2:24" x14ac:dyDescent="0.2">
      <c r="B52" s="776"/>
      <c r="C52" s="777"/>
      <c r="D52" s="549"/>
      <c r="E52" s="549" t="s">
        <v>15</v>
      </c>
      <c r="F52" s="538">
        <f>100</f>
        <v>100</v>
      </c>
      <c r="G52" s="538"/>
      <c r="H52" s="538"/>
      <c r="I52" s="538"/>
      <c r="J52" s="538"/>
      <c r="K52" s="538"/>
      <c r="L52" s="538"/>
      <c r="M52" s="538"/>
      <c r="N52" s="538"/>
      <c r="O52" s="538"/>
      <c r="P52" s="538"/>
      <c r="Q52" s="538"/>
      <c r="R52" s="538"/>
      <c r="S52" s="538"/>
      <c r="T52" s="538"/>
      <c r="U52" s="538"/>
      <c r="V52" s="538"/>
      <c r="W52" s="546"/>
      <c r="X52" s="559">
        <f t="shared" si="0"/>
        <v>100</v>
      </c>
    </row>
    <row r="53" spans="2:24" x14ac:dyDescent="0.2">
      <c r="B53" s="776">
        <v>14</v>
      </c>
      <c r="C53" s="777" t="s">
        <v>1108</v>
      </c>
      <c r="D53" s="757"/>
      <c r="E53" s="757"/>
      <c r="F53" s="529"/>
      <c r="G53" s="529"/>
      <c r="H53" s="529"/>
      <c r="I53" s="529"/>
      <c r="J53" s="757"/>
      <c r="K53" s="545"/>
      <c r="L53" s="545"/>
      <c r="M53" s="556"/>
      <c r="N53" s="557"/>
      <c r="O53" s="557"/>
      <c r="P53" s="557"/>
      <c r="Q53" s="558"/>
      <c r="R53" s="757"/>
      <c r="S53" s="757"/>
      <c r="T53" s="757"/>
      <c r="U53" s="757"/>
      <c r="V53" s="757"/>
      <c r="W53" s="757"/>
      <c r="X53" s="559">
        <f t="shared" si="0"/>
        <v>0</v>
      </c>
    </row>
    <row r="54" spans="2:24" x14ac:dyDescent="0.2">
      <c r="B54" s="776"/>
      <c r="C54" s="777"/>
      <c r="D54" s="544">
        <f>RESUMO!H49+RESUMO!H50</f>
        <v>686634.64395650872</v>
      </c>
      <c r="E54" s="757" t="str">
        <f>E51</f>
        <v>R$</v>
      </c>
      <c r="F54" s="542"/>
      <c r="G54" s="542"/>
      <c r="H54" s="542"/>
      <c r="I54" s="542"/>
      <c r="J54" s="542"/>
      <c r="K54" s="542">
        <f>$D$54/2</f>
        <v>343317.32197825436</v>
      </c>
      <c r="L54" s="542">
        <f>$D$54/2</f>
        <v>343317.32197825436</v>
      </c>
      <c r="M54" s="542"/>
      <c r="N54" s="542"/>
      <c r="O54" s="542"/>
      <c r="P54" s="542"/>
      <c r="Q54" s="542"/>
      <c r="R54" s="542"/>
      <c r="S54" s="542"/>
      <c r="T54" s="542"/>
      <c r="U54" s="542"/>
      <c r="V54" s="542"/>
      <c r="W54" s="757"/>
      <c r="X54" s="559">
        <f t="shared" si="0"/>
        <v>686634.64395650872</v>
      </c>
    </row>
    <row r="55" spans="2:24" x14ac:dyDescent="0.2">
      <c r="B55" s="776"/>
      <c r="C55" s="777"/>
      <c r="D55" s="549"/>
      <c r="E55" s="549" t="s">
        <v>15</v>
      </c>
      <c r="F55" s="538"/>
      <c r="G55" s="538"/>
      <c r="H55" s="538"/>
      <c r="I55" s="538"/>
      <c r="J55" s="538"/>
      <c r="K55" s="538">
        <f>100/2</f>
        <v>50</v>
      </c>
      <c r="L55" s="538">
        <f>100/2</f>
        <v>50</v>
      </c>
      <c r="M55" s="538"/>
      <c r="N55" s="538"/>
      <c r="O55" s="538"/>
      <c r="P55" s="538"/>
      <c r="Q55" s="538"/>
      <c r="R55" s="538"/>
      <c r="S55" s="538"/>
      <c r="T55" s="538"/>
      <c r="U55" s="538"/>
      <c r="V55" s="538"/>
      <c r="W55" s="546"/>
      <c r="X55" s="559">
        <f t="shared" si="0"/>
        <v>100</v>
      </c>
    </row>
    <row r="56" spans="2:24" x14ac:dyDescent="0.2">
      <c r="B56" s="776">
        <v>15</v>
      </c>
      <c r="C56" s="777" t="s">
        <v>1107</v>
      </c>
      <c r="D56" s="757"/>
      <c r="E56" s="757"/>
      <c r="F56" s="529"/>
      <c r="G56" s="529"/>
      <c r="H56" s="529"/>
      <c r="I56" s="529"/>
      <c r="J56" s="545"/>
      <c r="K56" s="545"/>
      <c r="L56" s="556"/>
      <c r="M56" s="557"/>
      <c r="N56" s="556"/>
      <c r="O56" s="757"/>
      <c r="P56" s="529"/>
      <c r="Q56" s="757"/>
      <c r="R56" s="757"/>
      <c r="S56" s="757"/>
      <c r="T56" s="757"/>
      <c r="U56" s="757"/>
      <c r="V56" s="757"/>
      <c r="W56" s="757"/>
      <c r="X56" s="559">
        <f t="shared" si="0"/>
        <v>0</v>
      </c>
    </row>
    <row r="57" spans="2:24" x14ac:dyDescent="0.2">
      <c r="B57" s="776"/>
      <c r="C57" s="777"/>
      <c r="D57" s="544">
        <f>RESUMO!H51+RESUMO!H52</f>
        <v>159772.98830121398</v>
      </c>
      <c r="E57" s="757" t="str">
        <f>E54</f>
        <v>R$</v>
      </c>
      <c r="F57" s="542"/>
      <c r="G57" s="542"/>
      <c r="H57" s="542"/>
      <c r="I57" s="542"/>
      <c r="J57" s="542">
        <f>$D$57/2</f>
        <v>79886.494150606988</v>
      </c>
      <c r="K57" s="542">
        <f>$D$57/2</f>
        <v>79886.494150606988</v>
      </c>
      <c r="L57" s="542"/>
      <c r="M57" s="574"/>
      <c r="N57" s="542"/>
      <c r="O57" s="542"/>
      <c r="P57" s="542"/>
      <c r="Q57" s="542"/>
      <c r="R57" s="542"/>
      <c r="S57" s="542"/>
      <c r="T57" s="542"/>
      <c r="U57" s="542"/>
      <c r="V57" s="542"/>
      <c r="W57" s="555"/>
      <c r="X57" s="559">
        <f t="shared" si="0"/>
        <v>159772.98830121398</v>
      </c>
    </row>
    <row r="58" spans="2:24" x14ac:dyDescent="0.2">
      <c r="B58" s="776"/>
      <c r="C58" s="777"/>
      <c r="D58" s="549"/>
      <c r="E58" s="549" t="s">
        <v>15</v>
      </c>
      <c r="F58" s="538"/>
      <c r="G58" s="538"/>
      <c r="H58" s="538"/>
      <c r="I58" s="538"/>
      <c r="J58" s="538">
        <f>100/2</f>
        <v>50</v>
      </c>
      <c r="K58" s="538">
        <f>100/2</f>
        <v>50</v>
      </c>
      <c r="L58" s="538"/>
      <c r="M58" s="538"/>
      <c r="N58" s="538"/>
      <c r="O58" s="538"/>
      <c r="P58" s="538"/>
      <c r="Q58" s="538"/>
      <c r="R58" s="538"/>
      <c r="S58" s="538"/>
      <c r="T58" s="538"/>
      <c r="U58" s="538"/>
      <c r="V58" s="538"/>
      <c r="W58" s="546"/>
      <c r="X58" s="559">
        <f t="shared" si="0"/>
        <v>100</v>
      </c>
    </row>
    <row r="59" spans="2:24" x14ac:dyDescent="0.2">
      <c r="B59" s="776">
        <v>16</v>
      </c>
      <c r="C59" s="777" t="s">
        <v>1106</v>
      </c>
      <c r="D59" s="757"/>
      <c r="E59" s="757"/>
      <c r="F59" s="529"/>
      <c r="G59" s="529"/>
      <c r="H59" s="529"/>
      <c r="I59" s="529"/>
      <c r="J59" s="757"/>
      <c r="K59" s="545"/>
      <c r="L59" s="556"/>
      <c r="M59" s="557"/>
      <c r="N59" s="557"/>
      <c r="O59" s="556"/>
      <c r="P59" s="529"/>
      <c r="Q59" s="757"/>
      <c r="R59" s="757"/>
      <c r="S59" s="757"/>
      <c r="T59" s="757"/>
      <c r="U59" s="757"/>
      <c r="V59" s="757"/>
      <c r="W59" s="757"/>
      <c r="X59" s="559">
        <f t="shared" si="0"/>
        <v>0</v>
      </c>
    </row>
    <row r="60" spans="2:24" x14ac:dyDescent="0.2">
      <c r="B60" s="776"/>
      <c r="C60" s="777"/>
      <c r="D60" s="544">
        <f>RESUMO!H53+RESUMO!H54</f>
        <v>254656.77393795946</v>
      </c>
      <c r="E60" s="757" t="str">
        <f>E54</f>
        <v>R$</v>
      </c>
      <c r="F60" s="542"/>
      <c r="G60" s="542"/>
      <c r="H60" s="542"/>
      <c r="I60" s="542"/>
      <c r="J60" s="542"/>
      <c r="K60" s="542">
        <f>$D$60</f>
        <v>254656.77393795946</v>
      </c>
      <c r="L60" s="542"/>
      <c r="M60" s="542"/>
      <c r="N60" s="542"/>
      <c r="O60" s="542"/>
      <c r="P60" s="542"/>
      <c r="Q60" s="542"/>
      <c r="R60" s="542"/>
      <c r="S60" s="542"/>
      <c r="T60" s="542"/>
      <c r="U60" s="542"/>
      <c r="V60" s="542"/>
      <c r="W60" s="555"/>
      <c r="X60" s="559">
        <f t="shared" si="0"/>
        <v>254656.77393795946</v>
      </c>
    </row>
    <row r="61" spans="2:24" x14ac:dyDescent="0.2">
      <c r="B61" s="776"/>
      <c r="C61" s="777"/>
      <c r="D61" s="549"/>
      <c r="E61" s="549" t="s">
        <v>15</v>
      </c>
      <c r="F61" s="538"/>
      <c r="G61" s="538"/>
      <c r="H61" s="538"/>
      <c r="I61" s="538"/>
      <c r="J61" s="538"/>
      <c r="K61" s="538">
        <v>100</v>
      </c>
      <c r="L61" s="538"/>
      <c r="M61" s="538"/>
      <c r="N61" s="538"/>
      <c r="O61" s="538"/>
      <c r="P61" s="538"/>
      <c r="Q61" s="538"/>
      <c r="R61" s="538"/>
      <c r="S61" s="538"/>
      <c r="T61" s="538"/>
      <c r="U61" s="538"/>
      <c r="V61" s="538"/>
      <c r="W61" s="546"/>
      <c r="X61" s="559">
        <f t="shared" si="0"/>
        <v>100</v>
      </c>
    </row>
    <row r="62" spans="2:24" x14ac:dyDescent="0.2">
      <c r="B62" s="776">
        <v>17</v>
      </c>
      <c r="C62" s="777" t="s">
        <v>1105</v>
      </c>
      <c r="D62" s="757"/>
      <c r="E62" s="757"/>
      <c r="F62" s="552"/>
      <c r="G62" s="529"/>
      <c r="H62" s="529"/>
      <c r="I62" s="529"/>
      <c r="J62" s="757"/>
      <c r="K62" s="757"/>
      <c r="L62" s="757"/>
      <c r="M62" s="757"/>
      <c r="N62" s="757"/>
      <c r="O62" s="757"/>
      <c r="P62" s="529"/>
      <c r="Q62" s="757"/>
      <c r="R62" s="757"/>
      <c r="S62" s="757"/>
      <c r="T62" s="757"/>
      <c r="U62" s="757"/>
      <c r="V62" s="757"/>
      <c r="W62" s="757"/>
      <c r="X62" s="559">
        <f t="shared" si="0"/>
        <v>0</v>
      </c>
    </row>
    <row r="63" spans="2:24" x14ac:dyDescent="0.2">
      <c r="B63" s="776"/>
      <c r="C63" s="777"/>
      <c r="D63" s="544">
        <f>RESUMO!H55+RESUMO!H56</f>
        <v>110099.35876068234</v>
      </c>
      <c r="E63" s="757" t="str">
        <f>$E$60</f>
        <v>R$</v>
      </c>
      <c r="F63" s="542">
        <f>D63/1</f>
        <v>110099.35876068234</v>
      </c>
      <c r="G63" s="542"/>
      <c r="H63" s="542"/>
      <c r="I63" s="542"/>
      <c r="J63" s="542"/>
      <c r="K63" s="542"/>
      <c r="L63" s="542"/>
      <c r="M63" s="542"/>
      <c r="N63" s="542"/>
      <c r="O63" s="542"/>
      <c r="P63" s="542"/>
      <c r="Q63" s="542"/>
      <c r="R63" s="542"/>
      <c r="S63" s="542"/>
      <c r="T63" s="542"/>
      <c r="U63" s="542"/>
      <c r="V63" s="542"/>
      <c r="W63" s="757"/>
      <c r="X63" s="559">
        <f t="shared" si="0"/>
        <v>110099.35876068234</v>
      </c>
    </row>
    <row r="64" spans="2:24" x14ac:dyDescent="0.2">
      <c r="B64" s="776"/>
      <c r="C64" s="777"/>
      <c r="D64" s="549"/>
      <c r="E64" s="549" t="s">
        <v>15</v>
      </c>
      <c r="F64" s="538">
        <v>100</v>
      </c>
      <c r="G64" s="538"/>
      <c r="H64" s="538"/>
      <c r="I64" s="538"/>
      <c r="J64" s="538"/>
      <c r="K64" s="538"/>
      <c r="L64" s="538"/>
      <c r="M64" s="538"/>
      <c r="N64" s="538"/>
      <c r="O64" s="538"/>
      <c r="P64" s="538"/>
      <c r="Q64" s="538"/>
      <c r="R64" s="538"/>
      <c r="S64" s="538"/>
      <c r="T64" s="538"/>
      <c r="U64" s="538"/>
      <c r="V64" s="538"/>
      <c r="W64" s="546"/>
      <c r="X64" s="559">
        <f t="shared" si="0"/>
        <v>100</v>
      </c>
    </row>
    <row r="65" spans="2:24" ht="12.75" customHeight="1" x14ac:dyDescent="0.2">
      <c r="B65" s="776">
        <v>18</v>
      </c>
      <c r="C65" s="777" t="s">
        <v>1104</v>
      </c>
      <c r="D65" s="757"/>
      <c r="E65" s="757"/>
      <c r="F65" s="529"/>
      <c r="G65" s="552"/>
      <c r="H65" s="529"/>
      <c r="I65" s="529"/>
      <c r="J65" s="757"/>
      <c r="K65" s="757"/>
      <c r="L65" s="757"/>
      <c r="M65" s="757"/>
      <c r="N65" s="757"/>
      <c r="O65" s="757"/>
      <c r="P65" s="529"/>
      <c r="Q65" s="757"/>
      <c r="R65" s="757"/>
      <c r="S65" s="757"/>
      <c r="T65" s="757"/>
      <c r="U65" s="757"/>
      <c r="V65" s="757"/>
      <c r="W65" s="757"/>
      <c r="X65" s="559">
        <f t="shared" si="0"/>
        <v>0</v>
      </c>
    </row>
    <row r="66" spans="2:24" ht="12.75" customHeight="1" x14ac:dyDescent="0.2">
      <c r="B66" s="776"/>
      <c r="C66" s="777"/>
      <c r="D66" s="544">
        <f>RESUMO!H57+RESUMO!H58</f>
        <v>245106.11707046677</v>
      </c>
      <c r="E66" s="757" t="str">
        <f>$E$60</f>
        <v>R$</v>
      </c>
      <c r="F66" s="542"/>
      <c r="G66" s="542">
        <f>D66</f>
        <v>245106.11707046677</v>
      </c>
      <c r="H66" s="542"/>
      <c r="I66" s="542"/>
      <c r="J66" s="542"/>
      <c r="K66" s="542"/>
      <c r="L66" s="542"/>
      <c r="M66" s="542"/>
      <c r="N66" s="542"/>
      <c r="O66" s="542"/>
      <c r="P66" s="542"/>
      <c r="Q66" s="542"/>
      <c r="R66" s="542"/>
      <c r="S66" s="542"/>
      <c r="T66" s="542"/>
      <c r="U66" s="542"/>
      <c r="V66" s="542"/>
      <c r="W66" s="555"/>
      <c r="X66" s="559">
        <f t="shared" si="0"/>
        <v>245106.11707046677</v>
      </c>
    </row>
    <row r="67" spans="2:24" ht="12.75" customHeight="1" x14ac:dyDescent="0.2">
      <c r="B67" s="776"/>
      <c r="C67" s="777"/>
      <c r="D67" s="549"/>
      <c r="E67" s="549" t="s">
        <v>15</v>
      </c>
      <c r="F67" s="538"/>
      <c r="G67" s="538">
        <v>100</v>
      </c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8"/>
      <c r="S67" s="538"/>
      <c r="T67" s="538"/>
      <c r="U67" s="538"/>
      <c r="V67" s="538"/>
      <c r="W67" s="546"/>
      <c r="X67" s="559">
        <f t="shared" si="0"/>
        <v>100</v>
      </c>
    </row>
    <row r="68" spans="2:24" x14ac:dyDescent="0.2">
      <c r="B68" s="776">
        <v>19</v>
      </c>
      <c r="C68" s="777" t="s">
        <v>1103</v>
      </c>
      <c r="D68" s="757"/>
      <c r="E68" s="757"/>
      <c r="F68" s="529"/>
      <c r="G68" s="552"/>
      <c r="H68" s="557"/>
      <c r="I68" s="557"/>
      <c r="J68" s="552"/>
      <c r="K68" s="557"/>
      <c r="L68" s="757"/>
      <c r="M68" s="757"/>
      <c r="N68" s="757"/>
      <c r="O68" s="757"/>
      <c r="P68" s="529"/>
      <c r="Q68" s="757"/>
      <c r="R68" s="757"/>
      <c r="S68" s="757"/>
      <c r="T68" s="757"/>
      <c r="U68" s="757"/>
      <c r="V68" s="757"/>
      <c r="W68" s="757"/>
      <c r="X68" s="559">
        <f t="shared" si="0"/>
        <v>0</v>
      </c>
    </row>
    <row r="69" spans="2:24" x14ac:dyDescent="0.2">
      <c r="B69" s="776"/>
      <c r="C69" s="777"/>
      <c r="D69" s="544">
        <f>RESUMO!H59+RESUMO!H60</f>
        <v>200975.07516168198</v>
      </c>
      <c r="E69" s="757" t="str">
        <f>$E$60</f>
        <v>R$</v>
      </c>
      <c r="F69" s="542"/>
      <c r="G69" s="542">
        <f>$D$69/2</f>
        <v>100487.53758084099</v>
      </c>
      <c r="H69" s="542"/>
      <c r="I69" s="542"/>
      <c r="J69" s="542">
        <f>$D$69/2</f>
        <v>100487.53758084099</v>
      </c>
      <c r="K69" s="542"/>
      <c r="L69" s="542"/>
      <c r="M69" s="542"/>
      <c r="N69" s="542"/>
      <c r="O69" s="542"/>
      <c r="P69" s="542"/>
      <c r="Q69" s="542"/>
      <c r="R69" s="542"/>
      <c r="S69" s="542"/>
      <c r="T69" s="542"/>
      <c r="U69" s="542"/>
      <c r="V69" s="542"/>
      <c r="W69" s="757"/>
      <c r="X69" s="559">
        <f t="shared" si="0"/>
        <v>200975.07516168198</v>
      </c>
    </row>
    <row r="70" spans="2:24" x14ac:dyDescent="0.2">
      <c r="B70" s="776"/>
      <c r="C70" s="777"/>
      <c r="D70" s="549"/>
      <c r="E70" s="549" t="s">
        <v>15</v>
      </c>
      <c r="F70" s="538"/>
      <c r="G70" s="538">
        <f>100/2</f>
        <v>50</v>
      </c>
      <c r="H70" s="538"/>
      <c r="I70" s="538"/>
      <c r="J70" s="538">
        <f>100/2</f>
        <v>50</v>
      </c>
      <c r="K70" s="538"/>
      <c r="L70" s="538"/>
      <c r="M70" s="538"/>
      <c r="N70" s="538"/>
      <c r="O70" s="538"/>
      <c r="P70" s="538"/>
      <c r="Q70" s="538"/>
      <c r="R70" s="538"/>
      <c r="S70" s="538"/>
      <c r="T70" s="538"/>
      <c r="U70" s="538"/>
      <c r="V70" s="538"/>
      <c r="W70" s="546"/>
      <c r="X70" s="559">
        <f t="shared" si="0"/>
        <v>100</v>
      </c>
    </row>
    <row r="71" spans="2:24" x14ac:dyDescent="0.2">
      <c r="B71" s="776">
        <v>20</v>
      </c>
      <c r="C71" s="777" t="s">
        <v>1102</v>
      </c>
      <c r="D71" s="757"/>
      <c r="E71" s="757"/>
      <c r="F71" s="529"/>
      <c r="G71" s="557"/>
      <c r="H71" s="552"/>
      <c r="I71" s="552"/>
      <c r="J71" s="552"/>
      <c r="K71" s="557"/>
      <c r="L71" s="757"/>
      <c r="M71" s="757"/>
      <c r="N71" s="757"/>
      <c r="O71" s="757"/>
      <c r="P71" s="529"/>
      <c r="Q71" s="757"/>
      <c r="R71" s="757"/>
      <c r="S71" s="757"/>
      <c r="T71" s="757"/>
      <c r="U71" s="757"/>
      <c r="V71" s="757"/>
      <c r="W71" s="757"/>
      <c r="X71" s="559">
        <f t="shared" si="0"/>
        <v>0</v>
      </c>
    </row>
    <row r="72" spans="2:24" x14ac:dyDescent="0.2">
      <c r="B72" s="776"/>
      <c r="C72" s="777"/>
      <c r="D72" s="544">
        <f>RESUMO!H61+RESUMO!H62</f>
        <v>732405.5878367289</v>
      </c>
      <c r="E72" s="757" t="str">
        <f>$E$60</f>
        <v>R$</v>
      </c>
      <c r="F72" s="542"/>
      <c r="G72" s="542"/>
      <c r="H72" s="542">
        <f>$D$72/3</f>
        <v>244135.1959455763</v>
      </c>
      <c r="I72" s="542">
        <f>$D$72/3</f>
        <v>244135.1959455763</v>
      </c>
      <c r="J72" s="542">
        <f>$D$72/3</f>
        <v>244135.1959455763</v>
      </c>
      <c r="K72" s="542"/>
      <c r="L72" s="542"/>
      <c r="M72" s="542"/>
      <c r="N72" s="542"/>
      <c r="O72" s="542"/>
      <c r="P72" s="542"/>
      <c r="Q72" s="542"/>
      <c r="R72" s="542"/>
      <c r="S72" s="542"/>
      <c r="T72" s="542"/>
      <c r="U72" s="542"/>
      <c r="V72" s="542"/>
      <c r="W72" s="555"/>
      <c r="X72" s="559">
        <f t="shared" si="0"/>
        <v>732405.5878367289</v>
      </c>
    </row>
    <row r="73" spans="2:24" x14ac:dyDescent="0.2">
      <c r="B73" s="776"/>
      <c r="C73" s="777"/>
      <c r="D73" s="549"/>
      <c r="E73" s="549" t="s">
        <v>15</v>
      </c>
      <c r="F73" s="538"/>
      <c r="G73" s="538"/>
      <c r="H73" s="538">
        <f>100/3</f>
        <v>33.333333333333336</v>
      </c>
      <c r="I73" s="538">
        <f>100/3</f>
        <v>33.333333333333336</v>
      </c>
      <c r="J73" s="538">
        <f>100/3</f>
        <v>33.333333333333336</v>
      </c>
      <c r="K73" s="538"/>
      <c r="L73" s="538"/>
      <c r="M73" s="538"/>
      <c r="N73" s="538"/>
      <c r="O73" s="538"/>
      <c r="P73" s="538"/>
      <c r="Q73" s="538"/>
      <c r="R73" s="538"/>
      <c r="S73" s="538"/>
      <c r="T73" s="538"/>
      <c r="U73" s="538"/>
      <c r="V73" s="538"/>
      <c r="W73" s="546"/>
      <c r="X73" s="559">
        <f t="shared" si="0"/>
        <v>100</v>
      </c>
    </row>
    <row r="74" spans="2:24" hidden="1" x14ac:dyDescent="0.2">
      <c r="B74" s="776">
        <v>18</v>
      </c>
      <c r="C74" s="777" t="s">
        <v>1101</v>
      </c>
      <c r="D74" s="555"/>
      <c r="E74" s="555"/>
      <c r="F74" s="739"/>
      <c r="G74" s="739"/>
      <c r="H74" s="739"/>
      <c r="I74" s="740"/>
      <c r="J74" s="740"/>
      <c r="K74" s="740"/>
      <c r="L74" s="739"/>
      <c r="M74" s="739"/>
      <c r="N74" s="739"/>
      <c r="O74" s="739"/>
      <c r="P74" s="739"/>
      <c r="Q74" s="739"/>
      <c r="R74" s="555"/>
      <c r="S74" s="555"/>
      <c r="T74" s="555"/>
      <c r="U74" s="555"/>
      <c r="V74" s="555"/>
      <c r="W74" s="757"/>
      <c r="X74" s="559">
        <f t="shared" ref="X74:X132" si="7">SUM(F74:W74)</f>
        <v>0</v>
      </c>
    </row>
    <row r="75" spans="2:24" hidden="1" x14ac:dyDescent="0.2">
      <c r="B75" s="776"/>
      <c r="C75" s="777"/>
      <c r="D75" s="738">
        <f>RESUMO!H63+RESUMO!H64</f>
        <v>0</v>
      </c>
      <c r="E75" s="739" t="str">
        <f>E72</f>
        <v>R$</v>
      </c>
      <c r="F75" s="739"/>
      <c r="G75" s="739"/>
      <c r="H75" s="739"/>
      <c r="I75" s="738">
        <f>$D$75/3</f>
        <v>0</v>
      </c>
      <c r="J75" s="738">
        <f t="shared" ref="J75:K75" si="8">$D$75/3</f>
        <v>0</v>
      </c>
      <c r="K75" s="738">
        <f t="shared" si="8"/>
        <v>0</v>
      </c>
      <c r="L75" s="739"/>
      <c r="M75" s="739"/>
      <c r="N75" s="739"/>
      <c r="O75" s="739"/>
      <c r="P75" s="739"/>
      <c r="Q75" s="739"/>
      <c r="R75" s="555"/>
      <c r="S75" s="555"/>
      <c r="T75" s="555"/>
      <c r="U75" s="555"/>
      <c r="V75" s="555"/>
      <c r="W75" s="757"/>
      <c r="X75" s="559">
        <f t="shared" si="7"/>
        <v>0</v>
      </c>
    </row>
    <row r="76" spans="2:24" hidden="1" x14ac:dyDescent="0.2">
      <c r="B76" s="776"/>
      <c r="C76" s="777"/>
      <c r="D76" s="546"/>
      <c r="E76" s="546" t="str">
        <f>E73</f>
        <v>%</v>
      </c>
      <c r="F76" s="546"/>
      <c r="G76" s="546"/>
      <c r="H76" s="546"/>
      <c r="I76" s="546"/>
      <c r="J76" s="546"/>
      <c r="K76" s="546"/>
      <c r="L76" s="546"/>
      <c r="M76" s="546"/>
      <c r="N76" s="546"/>
      <c r="O76" s="546"/>
      <c r="P76" s="546"/>
      <c r="Q76" s="546"/>
      <c r="R76" s="546"/>
      <c r="S76" s="546"/>
      <c r="T76" s="546"/>
      <c r="U76" s="546"/>
      <c r="V76" s="546"/>
      <c r="W76" s="546"/>
      <c r="X76" s="559">
        <f t="shared" si="7"/>
        <v>0</v>
      </c>
    </row>
    <row r="77" spans="2:24" hidden="1" x14ac:dyDescent="0.2">
      <c r="B77" s="778"/>
      <c r="C77" s="781" t="s">
        <v>1433</v>
      </c>
      <c r="D77" s="572"/>
      <c r="E77" s="572"/>
      <c r="F77" s="572"/>
      <c r="G77" s="572"/>
      <c r="H77" s="572"/>
      <c r="I77" s="572"/>
      <c r="J77" s="572"/>
      <c r="K77" s="572"/>
      <c r="L77" s="572"/>
      <c r="M77" s="572"/>
      <c r="N77" s="572"/>
      <c r="O77" s="572"/>
      <c r="P77" s="572"/>
      <c r="Q77" s="572"/>
      <c r="R77" s="572"/>
      <c r="S77" s="572"/>
      <c r="T77" s="572"/>
      <c r="U77" s="572"/>
      <c r="V77" s="572"/>
      <c r="W77" s="572"/>
      <c r="X77" s="559">
        <f t="shared" si="7"/>
        <v>0</v>
      </c>
    </row>
    <row r="78" spans="2:24" hidden="1" x14ac:dyDescent="0.2">
      <c r="B78" s="779"/>
      <c r="C78" s="782"/>
      <c r="D78" s="572">
        <f>RESUMO!H65+RESUMO!H66</f>
        <v>0</v>
      </c>
      <c r="E78" s="572"/>
      <c r="F78" s="572"/>
      <c r="G78" s="572"/>
      <c r="H78" s="572"/>
      <c r="I78" s="572"/>
      <c r="J78" s="572"/>
      <c r="K78" s="572"/>
      <c r="L78" s="572"/>
      <c r="M78" s="572"/>
      <c r="N78" s="572"/>
      <c r="O78" s="572"/>
      <c r="P78" s="572"/>
      <c r="Q78" s="572"/>
      <c r="R78" s="572"/>
      <c r="S78" s="572"/>
      <c r="T78" s="572"/>
      <c r="U78" s="572"/>
      <c r="V78" s="572"/>
      <c r="W78" s="572"/>
      <c r="X78" s="559">
        <f t="shared" si="7"/>
        <v>0</v>
      </c>
    </row>
    <row r="79" spans="2:24" hidden="1" x14ac:dyDescent="0.2">
      <c r="B79" s="780"/>
      <c r="C79" s="783"/>
      <c r="D79" s="546"/>
      <c r="E79" s="546"/>
      <c r="F79" s="546"/>
      <c r="G79" s="546"/>
      <c r="H79" s="546"/>
      <c r="I79" s="546"/>
      <c r="J79" s="546"/>
      <c r="K79" s="546"/>
      <c r="L79" s="546"/>
      <c r="M79" s="546"/>
      <c r="N79" s="546"/>
      <c r="O79" s="546"/>
      <c r="P79" s="546"/>
      <c r="Q79" s="546"/>
      <c r="R79" s="546"/>
      <c r="S79" s="546"/>
      <c r="T79" s="546"/>
      <c r="U79" s="546"/>
      <c r="V79" s="546"/>
      <c r="W79" s="546"/>
      <c r="X79" s="559">
        <f t="shared" si="7"/>
        <v>0</v>
      </c>
    </row>
    <row r="80" spans="2:24" ht="12" customHeight="1" x14ac:dyDescent="0.2">
      <c r="B80" s="776">
        <v>21</v>
      </c>
      <c r="C80" s="777" t="s">
        <v>1100</v>
      </c>
      <c r="D80" s="757"/>
      <c r="E80" s="757"/>
      <c r="F80" s="739"/>
      <c r="G80" s="739"/>
      <c r="H80" s="739"/>
      <c r="I80" s="739"/>
      <c r="J80" s="740"/>
      <c r="K80" s="740"/>
      <c r="L80" s="741"/>
      <c r="M80" s="757"/>
      <c r="N80" s="757"/>
      <c r="O80" s="757"/>
      <c r="P80" s="739"/>
      <c r="Q80" s="757"/>
      <c r="R80" s="757"/>
      <c r="S80" s="757"/>
      <c r="T80" s="757"/>
      <c r="U80" s="757"/>
      <c r="V80" s="757"/>
      <c r="W80" s="757"/>
      <c r="X80" s="559">
        <f t="shared" si="7"/>
        <v>0</v>
      </c>
    </row>
    <row r="81" spans="1:24" x14ac:dyDescent="0.2">
      <c r="B81" s="776"/>
      <c r="C81" s="777"/>
      <c r="D81" s="544">
        <f>RESUMO!H69+RESUMO!H70</f>
        <v>89830.508167181833</v>
      </c>
      <c r="E81" s="757" t="str">
        <f>$E$60</f>
        <v>R$</v>
      </c>
      <c r="F81" s="542"/>
      <c r="G81" s="542"/>
      <c r="H81" s="542"/>
      <c r="I81" s="542"/>
      <c r="J81" s="542">
        <f>$D$81/2</f>
        <v>44915.254083590917</v>
      </c>
      <c r="K81" s="542">
        <f>$D$81/2</f>
        <v>44915.254083590917</v>
      </c>
      <c r="L81" s="542"/>
      <c r="M81" s="542"/>
      <c r="N81" s="542"/>
      <c r="O81" s="542"/>
      <c r="P81" s="542"/>
      <c r="Q81" s="542"/>
      <c r="R81" s="542"/>
      <c r="S81" s="542"/>
      <c r="T81" s="542"/>
      <c r="U81" s="542"/>
      <c r="V81" s="542"/>
      <c r="W81" s="555"/>
      <c r="X81" s="559">
        <f t="shared" si="7"/>
        <v>89830.508167181833</v>
      </c>
    </row>
    <row r="82" spans="1:24" x14ac:dyDescent="0.2">
      <c r="B82" s="776"/>
      <c r="C82" s="777"/>
      <c r="D82" s="549"/>
      <c r="E82" s="549" t="s">
        <v>15</v>
      </c>
      <c r="F82" s="538"/>
      <c r="G82" s="538"/>
      <c r="H82" s="538"/>
      <c r="I82" s="538"/>
      <c r="J82" s="538">
        <f>100/2</f>
        <v>50</v>
      </c>
      <c r="K82" s="538">
        <f>100/2</f>
        <v>50</v>
      </c>
      <c r="L82" s="538"/>
      <c r="M82" s="538"/>
      <c r="N82" s="538"/>
      <c r="O82" s="538"/>
      <c r="P82" s="538"/>
      <c r="Q82" s="538"/>
      <c r="R82" s="538"/>
      <c r="S82" s="538"/>
      <c r="T82" s="538"/>
      <c r="U82" s="538"/>
      <c r="V82" s="538"/>
      <c r="W82" s="546"/>
      <c r="X82" s="559">
        <f t="shared" si="7"/>
        <v>100</v>
      </c>
    </row>
    <row r="83" spans="1:24" x14ac:dyDescent="0.2">
      <c r="B83" s="776">
        <v>22</v>
      </c>
      <c r="C83" s="777" t="s">
        <v>1099</v>
      </c>
      <c r="D83" s="757"/>
      <c r="E83" s="757"/>
      <c r="F83" s="552"/>
      <c r="G83" s="552"/>
      <c r="H83" s="557"/>
      <c r="I83" s="529"/>
      <c r="J83" s="757"/>
      <c r="K83" s="757"/>
      <c r="L83" s="557"/>
      <c r="M83" s="557"/>
      <c r="N83" s="757"/>
      <c r="O83" s="757"/>
      <c r="P83" s="529"/>
      <c r="Q83" s="757"/>
      <c r="R83" s="757"/>
      <c r="S83" s="757"/>
      <c r="T83" s="757"/>
      <c r="U83" s="757"/>
      <c r="V83" s="757"/>
      <c r="W83" s="757"/>
      <c r="X83" s="559">
        <f t="shared" si="7"/>
        <v>0</v>
      </c>
    </row>
    <row r="84" spans="1:24" x14ac:dyDescent="0.2">
      <c r="B84" s="776"/>
      <c r="C84" s="777"/>
      <c r="D84" s="544">
        <f>RESUMO!H71+RESUMO!H72</f>
        <v>79104.452831526985</v>
      </c>
      <c r="E84" s="757" t="str">
        <f>$E$60</f>
        <v>R$</v>
      </c>
      <c r="F84" s="542">
        <f>$D$84/2</f>
        <v>39552.226415763493</v>
      </c>
      <c r="G84" s="542">
        <f>$D$84/2</f>
        <v>39552.226415763493</v>
      </c>
      <c r="H84" s="542"/>
      <c r="I84" s="542"/>
      <c r="J84" s="542"/>
      <c r="K84" s="542"/>
      <c r="L84" s="542"/>
      <c r="M84" s="542"/>
      <c r="N84" s="542"/>
      <c r="O84" s="542"/>
      <c r="P84" s="542"/>
      <c r="Q84" s="542"/>
      <c r="R84" s="542"/>
      <c r="S84" s="542"/>
      <c r="T84" s="542"/>
      <c r="U84" s="542"/>
      <c r="V84" s="542"/>
      <c r="W84" s="757"/>
      <c r="X84" s="559">
        <f t="shared" si="7"/>
        <v>79104.452831526985</v>
      </c>
    </row>
    <row r="85" spans="1:24" x14ac:dyDescent="0.2">
      <c r="B85" s="776"/>
      <c r="C85" s="777"/>
      <c r="D85" s="549"/>
      <c r="E85" s="549" t="s">
        <v>15</v>
      </c>
      <c r="F85" s="538">
        <f>100/2</f>
        <v>50</v>
      </c>
      <c r="G85" s="538">
        <f>100/2</f>
        <v>50</v>
      </c>
      <c r="H85" s="538"/>
      <c r="I85" s="538"/>
      <c r="J85" s="538"/>
      <c r="K85" s="538"/>
      <c r="L85" s="538"/>
      <c r="M85" s="538"/>
      <c r="N85" s="538"/>
      <c r="O85" s="538"/>
      <c r="P85" s="538"/>
      <c r="Q85" s="538"/>
      <c r="R85" s="538"/>
      <c r="S85" s="538"/>
      <c r="T85" s="538"/>
      <c r="U85" s="538"/>
      <c r="V85" s="538"/>
      <c r="W85" s="546"/>
      <c r="X85" s="559">
        <f t="shared" si="7"/>
        <v>100</v>
      </c>
    </row>
    <row r="86" spans="1:24" hidden="1" x14ac:dyDescent="0.2">
      <c r="B86" s="753"/>
      <c r="C86" s="745"/>
      <c r="D86" s="556"/>
      <c r="E86" s="556"/>
      <c r="F86" s="571"/>
      <c r="G86" s="571"/>
      <c r="H86" s="571"/>
      <c r="I86" s="571"/>
      <c r="J86" s="571"/>
      <c r="K86" s="571"/>
      <c r="L86" s="571"/>
      <c r="M86" s="571"/>
      <c r="N86" s="571"/>
      <c r="O86" s="571"/>
      <c r="P86" s="571"/>
      <c r="Q86" s="571"/>
      <c r="R86" s="571"/>
      <c r="S86" s="571"/>
      <c r="T86" s="571"/>
      <c r="U86" s="571"/>
      <c r="V86" s="571"/>
      <c r="W86" s="572"/>
      <c r="X86" s="754"/>
    </row>
    <row r="87" spans="1:24" hidden="1" x14ac:dyDescent="0.2">
      <c r="B87" s="753"/>
      <c r="C87" s="745"/>
      <c r="D87" s="556"/>
      <c r="E87" s="556"/>
      <c r="F87" s="571"/>
      <c r="G87" s="571"/>
      <c r="H87" s="571"/>
      <c r="I87" s="571"/>
      <c r="J87" s="571"/>
      <c r="K87" s="571"/>
      <c r="L87" s="571"/>
      <c r="M87" s="571"/>
      <c r="N87" s="571"/>
      <c r="O87" s="571"/>
      <c r="P87" s="571"/>
      <c r="Q87" s="571"/>
      <c r="R87" s="571"/>
      <c r="S87" s="571"/>
      <c r="T87" s="571"/>
      <c r="U87" s="571"/>
      <c r="V87" s="571"/>
      <c r="W87" s="572"/>
      <c r="X87" s="754"/>
    </row>
    <row r="88" spans="1:24" hidden="1" x14ac:dyDescent="0.2">
      <c r="A88" s="730"/>
      <c r="B88" s="753"/>
      <c r="C88" s="745"/>
      <c r="D88" s="556"/>
      <c r="E88" s="556"/>
      <c r="F88" s="571"/>
      <c r="G88" s="571"/>
      <c r="H88" s="571"/>
      <c r="I88" s="571"/>
      <c r="J88" s="571"/>
      <c r="K88" s="571"/>
      <c r="L88" s="571"/>
      <c r="M88" s="571"/>
      <c r="N88" s="571"/>
      <c r="O88" s="571"/>
      <c r="P88" s="571"/>
      <c r="Q88" s="571"/>
      <c r="R88" s="571"/>
      <c r="S88" s="571"/>
      <c r="T88" s="571"/>
      <c r="U88" s="571"/>
      <c r="V88" s="571"/>
      <c r="W88" s="572"/>
      <c r="X88" s="754"/>
    </row>
    <row r="89" spans="1:24" hidden="1" x14ac:dyDescent="0.2">
      <c r="B89" s="793" t="s">
        <v>1119</v>
      </c>
      <c r="C89" s="794"/>
      <c r="D89" s="794"/>
      <c r="E89" s="746" t="s">
        <v>1118</v>
      </c>
      <c r="F89" s="808" t="str">
        <f>F3</f>
        <v>SÃO JOSÉ DAS PALMEIRAS</v>
      </c>
      <c r="G89" s="808"/>
      <c r="H89" s="808"/>
      <c r="I89" s="808"/>
      <c r="J89" s="808"/>
      <c r="K89" s="808"/>
      <c r="L89" s="808"/>
      <c r="M89" s="808"/>
      <c r="N89" s="747" t="s">
        <v>1117</v>
      </c>
      <c r="O89" s="747"/>
      <c r="P89" s="809"/>
      <c r="Q89" s="809"/>
      <c r="R89" s="809"/>
      <c r="S89" s="809"/>
      <c r="T89" s="809"/>
      <c r="U89" s="809"/>
      <c r="V89" s="809"/>
      <c r="W89" s="809"/>
      <c r="X89" s="810"/>
    </row>
    <row r="90" spans="1:24" hidden="1" x14ac:dyDescent="0.2">
      <c r="B90" s="793"/>
      <c r="C90" s="794"/>
      <c r="D90" s="794"/>
      <c r="E90" s="746" t="s">
        <v>1116</v>
      </c>
      <c r="F90" s="808" t="s">
        <v>1115</v>
      </c>
      <c r="G90" s="808"/>
      <c r="H90" s="808"/>
      <c r="I90" s="808"/>
      <c r="J90" s="808"/>
      <c r="K90" s="808"/>
      <c r="L90" s="808"/>
      <c r="M90" s="808"/>
      <c r="N90" s="811" t="s">
        <v>1114</v>
      </c>
      <c r="O90" s="811"/>
      <c r="P90" s="809"/>
      <c r="Q90" s="809"/>
      <c r="R90" s="809"/>
      <c r="S90" s="809"/>
      <c r="T90" s="809"/>
      <c r="U90" s="809"/>
      <c r="V90" s="809"/>
      <c r="W90" s="809"/>
      <c r="X90" s="810"/>
    </row>
    <row r="91" spans="1:24" hidden="1" x14ac:dyDescent="0.2">
      <c r="B91" s="792" t="s">
        <v>1113</v>
      </c>
      <c r="C91" s="794" t="s">
        <v>1112</v>
      </c>
      <c r="D91" s="794" t="s">
        <v>1091</v>
      </c>
      <c r="E91" s="817" t="s">
        <v>1111</v>
      </c>
      <c r="F91" s="818"/>
      <c r="G91" s="818"/>
      <c r="H91" s="818"/>
      <c r="I91" s="818"/>
      <c r="J91" s="818"/>
      <c r="K91" s="818"/>
      <c r="L91" s="818"/>
      <c r="M91" s="818"/>
      <c r="N91" s="818"/>
      <c r="O91" s="818"/>
      <c r="P91" s="818"/>
      <c r="Q91" s="818"/>
      <c r="R91" s="818"/>
      <c r="S91" s="818"/>
      <c r="T91" s="818"/>
      <c r="U91" s="818"/>
      <c r="V91" s="818"/>
      <c r="W91" s="818"/>
      <c r="X91" s="825" t="s">
        <v>1110</v>
      </c>
    </row>
    <row r="92" spans="1:24" hidden="1" x14ac:dyDescent="0.2">
      <c r="B92" s="793"/>
      <c r="C92" s="794"/>
      <c r="D92" s="794"/>
      <c r="E92" s="817"/>
      <c r="F92" s="739">
        <v>1</v>
      </c>
      <c r="G92" s="739">
        <v>2</v>
      </c>
      <c r="H92" s="739">
        <v>3</v>
      </c>
      <c r="I92" s="739">
        <v>4</v>
      </c>
      <c r="J92" s="757">
        <v>5</v>
      </c>
      <c r="K92" s="757">
        <v>6</v>
      </c>
      <c r="L92" s="757">
        <v>7</v>
      </c>
      <c r="M92" s="757">
        <v>8</v>
      </c>
      <c r="N92" s="757">
        <v>9</v>
      </c>
      <c r="O92" s="757">
        <v>10</v>
      </c>
      <c r="P92" s="757">
        <v>11</v>
      </c>
      <c r="Q92" s="757">
        <v>12</v>
      </c>
      <c r="R92" s="757">
        <v>13</v>
      </c>
      <c r="S92" s="757">
        <v>14</v>
      </c>
      <c r="T92" s="757">
        <v>15</v>
      </c>
      <c r="U92" s="757">
        <v>16</v>
      </c>
      <c r="V92" s="757">
        <v>17</v>
      </c>
      <c r="W92" s="757">
        <v>18</v>
      </c>
      <c r="X92" s="825"/>
    </row>
    <row r="93" spans="1:24" hidden="1" x14ac:dyDescent="0.2">
      <c r="B93" s="755"/>
      <c r="C93" s="748"/>
      <c r="D93" s="748"/>
      <c r="E93" s="748"/>
      <c r="F93" s="741"/>
      <c r="G93" s="741"/>
      <c r="H93" s="741"/>
      <c r="I93" s="741"/>
      <c r="J93" s="556"/>
      <c r="K93" s="556"/>
      <c r="L93" s="556"/>
      <c r="M93" s="556"/>
      <c r="N93" s="556"/>
      <c r="O93" s="556"/>
      <c r="P93" s="556"/>
      <c r="Q93" s="556"/>
      <c r="R93" s="556"/>
      <c r="S93" s="556"/>
      <c r="T93" s="556"/>
      <c r="U93" s="556"/>
      <c r="V93" s="556"/>
      <c r="W93" s="556"/>
      <c r="X93" s="756"/>
    </row>
    <row r="94" spans="1:24" x14ac:dyDescent="0.2">
      <c r="B94" s="776">
        <v>23</v>
      </c>
      <c r="C94" s="777" t="s">
        <v>1098</v>
      </c>
      <c r="D94" s="757"/>
      <c r="E94" s="757"/>
      <c r="F94" s="529"/>
      <c r="G94" s="529"/>
      <c r="H94" s="529"/>
      <c r="I94" s="529"/>
      <c r="J94" s="757"/>
      <c r="K94" s="757"/>
      <c r="L94" s="557"/>
      <c r="M94" s="552"/>
      <c r="N94" s="757"/>
      <c r="O94" s="757"/>
      <c r="P94" s="557"/>
      <c r="Q94" s="556"/>
      <c r="R94" s="757"/>
      <c r="S94" s="757"/>
      <c r="T94" s="757"/>
      <c r="U94" s="757"/>
      <c r="V94" s="757"/>
      <c r="W94" s="757"/>
      <c r="X94" s="559">
        <f t="shared" si="7"/>
        <v>0</v>
      </c>
    </row>
    <row r="95" spans="1:24" x14ac:dyDescent="0.2">
      <c r="B95" s="776"/>
      <c r="C95" s="777"/>
      <c r="D95" s="544">
        <f>RESUMO!H73</f>
        <v>58524.943555999998</v>
      </c>
      <c r="E95" s="757" t="str">
        <f>$E$60</f>
        <v>R$</v>
      </c>
      <c r="F95" s="542"/>
      <c r="G95" s="542"/>
      <c r="H95" s="542"/>
      <c r="I95" s="542"/>
      <c r="J95" s="542"/>
      <c r="K95" s="542"/>
      <c r="L95" s="542"/>
      <c r="M95" s="542">
        <f>D95</f>
        <v>58524.943555999998</v>
      </c>
      <c r="N95" s="542"/>
      <c r="O95" s="542"/>
      <c r="P95" s="542"/>
      <c r="Q95" s="542"/>
      <c r="R95" s="542"/>
      <c r="S95" s="542"/>
      <c r="T95" s="542"/>
      <c r="U95" s="542"/>
      <c r="V95" s="542"/>
      <c r="W95" s="555"/>
      <c r="X95" s="559">
        <f t="shared" si="7"/>
        <v>58524.943555999998</v>
      </c>
    </row>
    <row r="96" spans="1:24" ht="13.5" thickBot="1" x14ac:dyDescent="0.25">
      <c r="B96" s="785"/>
      <c r="C96" s="786"/>
      <c r="D96" s="554"/>
      <c r="E96" s="554" t="s">
        <v>15</v>
      </c>
      <c r="F96" s="537"/>
      <c r="G96" s="537"/>
      <c r="H96" s="537"/>
      <c r="I96" s="537"/>
      <c r="J96" s="537"/>
      <c r="K96" s="537"/>
      <c r="L96" s="537"/>
      <c r="M96" s="537">
        <f>100</f>
        <v>100</v>
      </c>
      <c r="N96" s="537"/>
      <c r="O96" s="537"/>
      <c r="P96" s="537"/>
      <c r="Q96" s="537"/>
      <c r="R96" s="537"/>
      <c r="S96" s="537"/>
      <c r="T96" s="537"/>
      <c r="U96" s="537"/>
      <c r="V96" s="537"/>
      <c r="W96" s="758"/>
      <c r="X96" s="735">
        <f t="shared" si="7"/>
        <v>100</v>
      </c>
    </row>
    <row r="97" spans="2:24" x14ac:dyDescent="0.2">
      <c r="B97" s="724"/>
      <c r="C97" s="731"/>
      <c r="D97" s="724"/>
      <c r="E97" s="724"/>
      <c r="F97" s="732"/>
      <c r="G97" s="732"/>
      <c r="H97" s="732"/>
      <c r="I97" s="732"/>
      <c r="J97" s="732"/>
      <c r="K97" s="732"/>
      <c r="L97" s="732"/>
      <c r="M97" s="732"/>
      <c r="N97" s="732"/>
      <c r="O97" s="732"/>
      <c r="P97" s="732"/>
      <c r="Q97" s="732"/>
      <c r="R97" s="732"/>
      <c r="S97" s="732"/>
      <c r="T97" s="732"/>
      <c r="U97" s="732"/>
      <c r="V97" s="732"/>
      <c r="W97" s="733"/>
      <c r="X97" s="734"/>
    </row>
    <row r="98" spans="2:24" x14ac:dyDescent="0.2">
      <c r="B98" s="724"/>
      <c r="C98" s="731"/>
      <c r="D98" s="724"/>
      <c r="E98" s="724"/>
      <c r="F98" s="732"/>
      <c r="G98" s="732"/>
      <c r="H98" s="732"/>
      <c r="I98" s="732"/>
      <c r="J98" s="732"/>
      <c r="K98" s="732"/>
      <c r="L98" s="732"/>
      <c r="M98" s="732"/>
      <c r="N98" s="732"/>
      <c r="O98" s="732"/>
      <c r="P98" s="732"/>
      <c r="Q98" s="732"/>
      <c r="R98" s="732"/>
      <c r="S98" s="732"/>
      <c r="T98" s="732"/>
      <c r="U98" s="732"/>
      <c r="V98" s="732"/>
      <c r="W98" s="733"/>
      <c r="X98" s="734"/>
    </row>
    <row r="99" spans="2:24" ht="13.5" thickBot="1" x14ac:dyDescent="0.25">
      <c r="B99" s="724"/>
      <c r="C99" s="731"/>
      <c r="D99" s="724"/>
      <c r="E99" s="724"/>
      <c r="F99" s="732"/>
      <c r="G99" s="732"/>
      <c r="H99" s="732"/>
      <c r="I99" s="732"/>
      <c r="J99" s="732"/>
      <c r="K99" s="732"/>
      <c r="L99" s="732"/>
      <c r="M99" s="732"/>
      <c r="N99" s="732"/>
      <c r="O99" s="732"/>
      <c r="P99" s="732"/>
      <c r="Q99" s="732"/>
      <c r="R99" s="732"/>
      <c r="S99" s="732"/>
      <c r="T99" s="732"/>
      <c r="U99" s="732"/>
      <c r="V99" s="732"/>
      <c r="W99" s="733"/>
      <c r="X99" s="734"/>
    </row>
    <row r="100" spans="2:24" hidden="1" x14ac:dyDescent="0.2">
      <c r="B100" s="724"/>
      <c r="C100" s="731"/>
      <c r="D100" s="724"/>
      <c r="E100" s="724"/>
      <c r="F100" s="732"/>
      <c r="G100" s="732"/>
      <c r="H100" s="732"/>
      <c r="I100" s="732"/>
      <c r="J100" s="732"/>
      <c r="K100" s="732"/>
      <c r="L100" s="732"/>
      <c r="M100" s="732"/>
      <c r="N100" s="732"/>
      <c r="O100" s="732"/>
      <c r="P100" s="732"/>
      <c r="Q100" s="732"/>
      <c r="R100" s="732"/>
      <c r="S100" s="732"/>
      <c r="T100" s="732"/>
      <c r="U100" s="732"/>
      <c r="V100" s="732"/>
      <c r="W100" s="733"/>
      <c r="X100" s="734"/>
    </row>
    <row r="101" spans="2:24" hidden="1" x14ac:dyDescent="0.2">
      <c r="B101" s="724"/>
      <c r="C101" s="731"/>
      <c r="D101" s="724"/>
      <c r="E101" s="724"/>
      <c r="F101" s="732"/>
      <c r="G101" s="732"/>
      <c r="H101" s="732"/>
      <c r="I101" s="732"/>
      <c r="J101" s="732"/>
      <c r="K101" s="732"/>
      <c r="L101" s="732"/>
      <c r="M101" s="732"/>
      <c r="N101" s="732"/>
      <c r="O101" s="732"/>
      <c r="P101" s="732"/>
      <c r="Q101" s="732"/>
      <c r="R101" s="732"/>
      <c r="S101" s="732"/>
      <c r="T101" s="732"/>
      <c r="U101" s="732"/>
      <c r="V101" s="732"/>
      <c r="W101" s="733"/>
      <c r="X101" s="734"/>
    </row>
    <row r="102" spans="2:24" hidden="1" x14ac:dyDescent="0.2">
      <c r="B102" s="724"/>
      <c r="C102" s="731"/>
      <c r="D102" s="724"/>
      <c r="E102" s="724"/>
      <c r="F102" s="732"/>
      <c r="G102" s="732"/>
      <c r="H102" s="732"/>
      <c r="I102" s="732"/>
      <c r="J102" s="732"/>
      <c r="K102" s="732"/>
      <c r="L102" s="732"/>
      <c r="M102" s="732"/>
      <c r="N102" s="732"/>
      <c r="O102" s="732"/>
      <c r="P102" s="732"/>
      <c r="Q102" s="732"/>
      <c r="R102" s="732"/>
      <c r="S102" s="732"/>
      <c r="T102" s="732"/>
      <c r="U102" s="732"/>
      <c r="V102" s="732"/>
      <c r="W102" s="733"/>
      <c r="X102" s="734"/>
    </row>
    <row r="103" spans="2:24" hidden="1" x14ac:dyDescent="0.2">
      <c r="B103" s="724"/>
      <c r="C103" s="731"/>
      <c r="D103" s="724"/>
      <c r="E103" s="724"/>
      <c r="F103" s="732"/>
      <c r="G103" s="732"/>
      <c r="H103" s="732"/>
      <c r="I103" s="732"/>
      <c r="J103" s="732"/>
      <c r="K103" s="732"/>
      <c r="L103" s="732"/>
      <c r="M103" s="732"/>
      <c r="N103" s="732"/>
      <c r="O103" s="732"/>
      <c r="P103" s="732"/>
      <c r="Q103" s="732"/>
      <c r="R103" s="732"/>
      <c r="S103" s="732"/>
      <c r="T103" s="732"/>
      <c r="U103" s="732"/>
      <c r="V103" s="732"/>
      <c r="W103" s="733"/>
      <c r="X103" s="734"/>
    </row>
    <row r="104" spans="2:24" hidden="1" x14ac:dyDescent="0.2">
      <c r="B104" s="724"/>
      <c r="C104" s="731"/>
      <c r="D104" s="724"/>
      <c r="E104" s="724"/>
      <c r="F104" s="732"/>
      <c r="G104" s="732"/>
      <c r="H104" s="732"/>
      <c r="I104" s="732"/>
      <c r="J104" s="732"/>
      <c r="K104" s="732"/>
      <c r="L104" s="732"/>
      <c r="M104" s="732"/>
      <c r="N104" s="732"/>
      <c r="O104" s="732"/>
      <c r="P104" s="732"/>
      <c r="Q104" s="732"/>
      <c r="R104" s="732"/>
      <c r="S104" s="732"/>
      <c r="T104" s="732"/>
      <c r="U104" s="732"/>
      <c r="V104" s="732"/>
      <c r="W104" s="733"/>
      <c r="X104" s="734"/>
    </row>
    <row r="105" spans="2:24" hidden="1" x14ac:dyDescent="0.2">
      <c r="B105" s="724"/>
      <c r="C105" s="731"/>
      <c r="D105" s="724"/>
      <c r="E105" s="724"/>
      <c r="F105" s="732"/>
      <c r="G105" s="732"/>
      <c r="H105" s="732"/>
      <c r="I105" s="732"/>
      <c r="J105" s="732"/>
      <c r="K105" s="732"/>
      <c r="L105" s="732"/>
      <c r="M105" s="732"/>
      <c r="N105" s="732"/>
      <c r="O105" s="732"/>
      <c r="P105" s="732"/>
      <c r="Q105" s="732"/>
      <c r="R105" s="732"/>
      <c r="S105" s="732"/>
      <c r="T105" s="732"/>
      <c r="U105" s="732"/>
      <c r="V105" s="732"/>
      <c r="W105" s="733"/>
      <c r="X105" s="734"/>
    </row>
    <row r="106" spans="2:24" hidden="1" x14ac:dyDescent="0.2">
      <c r="B106" s="724"/>
      <c r="C106" s="731"/>
      <c r="D106" s="724"/>
      <c r="E106" s="724"/>
      <c r="F106" s="732"/>
      <c r="G106" s="732"/>
      <c r="H106" s="732"/>
      <c r="I106" s="732"/>
      <c r="J106" s="732"/>
      <c r="K106" s="732"/>
      <c r="L106" s="732"/>
      <c r="M106" s="732"/>
      <c r="N106" s="732"/>
      <c r="O106" s="732"/>
      <c r="P106" s="732"/>
      <c r="Q106" s="732"/>
      <c r="R106" s="732"/>
      <c r="S106" s="732"/>
      <c r="T106" s="732"/>
      <c r="U106" s="732"/>
      <c r="V106" s="732"/>
      <c r="W106" s="733"/>
      <c r="X106" s="734"/>
    </row>
    <row r="107" spans="2:24" hidden="1" x14ac:dyDescent="0.2">
      <c r="B107" s="724"/>
      <c r="C107" s="731"/>
      <c r="D107" s="724"/>
      <c r="E107" s="724"/>
      <c r="F107" s="732"/>
      <c r="G107" s="732"/>
      <c r="H107" s="732"/>
      <c r="I107" s="732"/>
      <c r="J107" s="732"/>
      <c r="K107" s="732"/>
      <c r="L107" s="732"/>
      <c r="M107" s="732"/>
      <c r="N107" s="732"/>
      <c r="O107" s="732"/>
      <c r="P107" s="732"/>
      <c r="Q107" s="732"/>
      <c r="R107" s="732"/>
      <c r="S107" s="732"/>
      <c r="T107" s="732"/>
      <c r="U107" s="732"/>
      <c r="V107" s="732"/>
      <c r="W107" s="733"/>
      <c r="X107" s="734"/>
    </row>
    <row r="108" spans="2:24" hidden="1" x14ac:dyDescent="0.2">
      <c r="B108" s="724"/>
      <c r="C108" s="731"/>
      <c r="D108" s="724"/>
      <c r="E108" s="724"/>
      <c r="F108" s="732"/>
      <c r="G108" s="732"/>
      <c r="H108" s="732"/>
      <c r="I108" s="732"/>
      <c r="J108" s="732"/>
      <c r="K108" s="732"/>
      <c r="L108" s="732"/>
      <c r="M108" s="732"/>
      <c r="N108" s="732"/>
      <c r="O108" s="732"/>
      <c r="P108" s="732"/>
      <c r="Q108" s="732"/>
      <c r="R108" s="732"/>
      <c r="S108" s="732"/>
      <c r="T108" s="732"/>
      <c r="U108" s="732"/>
      <c r="V108" s="732"/>
      <c r="W108" s="733"/>
      <c r="X108" s="734"/>
    </row>
    <row r="109" spans="2:24" ht="13.5" hidden="1" thickBot="1" x14ac:dyDescent="0.25">
      <c r="B109" s="724"/>
      <c r="C109" s="731"/>
      <c r="D109" s="724"/>
      <c r="E109" s="724"/>
      <c r="F109" s="732"/>
      <c r="G109" s="732"/>
      <c r="H109" s="732"/>
      <c r="I109" s="732"/>
      <c r="J109" s="732"/>
      <c r="K109" s="732"/>
      <c r="L109" s="732"/>
      <c r="M109" s="732"/>
      <c r="N109" s="732"/>
      <c r="O109" s="732"/>
      <c r="P109" s="732"/>
      <c r="Q109" s="732"/>
      <c r="R109" s="732"/>
      <c r="S109" s="732"/>
      <c r="T109" s="732"/>
      <c r="U109" s="732"/>
      <c r="V109" s="732"/>
      <c r="W109" s="733"/>
      <c r="X109" s="734"/>
    </row>
    <row r="110" spans="2:24" ht="13.5" thickBot="1" x14ac:dyDescent="0.25">
      <c r="B110" s="797" t="s">
        <v>1119</v>
      </c>
      <c r="C110" s="798"/>
      <c r="D110" s="799"/>
      <c r="E110" s="570" t="s">
        <v>1118</v>
      </c>
      <c r="F110" s="814" t="str">
        <f>F3</f>
        <v>SÃO JOSÉ DAS PALMEIRAS</v>
      </c>
      <c r="G110" s="815"/>
      <c r="H110" s="815"/>
      <c r="I110" s="815"/>
      <c r="J110" s="815"/>
      <c r="K110" s="815"/>
      <c r="L110" s="815"/>
      <c r="M110" s="815"/>
      <c r="N110" s="816"/>
      <c r="O110" s="743" t="s">
        <v>1117</v>
      </c>
      <c r="P110" s="569"/>
      <c r="Q110" s="819"/>
      <c r="R110" s="820"/>
      <c r="S110" s="820"/>
      <c r="T110" s="820"/>
      <c r="U110" s="820"/>
      <c r="V110" s="820"/>
      <c r="W110" s="820"/>
      <c r="X110" s="821"/>
    </row>
    <row r="111" spans="2:24" ht="12.75" customHeight="1" thickBot="1" x14ac:dyDescent="0.25">
      <c r="B111" s="800"/>
      <c r="C111" s="801"/>
      <c r="D111" s="802"/>
      <c r="E111" s="568" t="s">
        <v>1116</v>
      </c>
      <c r="F111" s="814" t="s">
        <v>1115</v>
      </c>
      <c r="G111" s="815"/>
      <c r="H111" s="815"/>
      <c r="I111" s="815"/>
      <c r="J111" s="815"/>
      <c r="K111" s="815"/>
      <c r="L111" s="815"/>
      <c r="M111" s="815"/>
      <c r="N111" s="816"/>
      <c r="O111" s="744" t="s">
        <v>1434</v>
      </c>
      <c r="P111" s="737">
        <f ca="1">P4</f>
        <v>43657</v>
      </c>
      <c r="Q111" s="822"/>
      <c r="R111" s="823"/>
      <c r="S111" s="823"/>
      <c r="T111" s="823"/>
      <c r="U111" s="823"/>
      <c r="V111" s="823"/>
      <c r="W111" s="823"/>
      <c r="X111" s="824"/>
    </row>
    <row r="112" spans="2:24" x14ac:dyDescent="0.2">
      <c r="B112" s="789" t="s">
        <v>1113</v>
      </c>
      <c r="C112" s="791" t="s">
        <v>1112</v>
      </c>
      <c r="D112" s="791" t="s">
        <v>1091</v>
      </c>
      <c r="E112" s="812" t="s">
        <v>1111</v>
      </c>
      <c r="F112" s="805"/>
      <c r="G112" s="806"/>
      <c r="H112" s="806"/>
      <c r="I112" s="806"/>
      <c r="J112" s="806"/>
      <c r="K112" s="806"/>
      <c r="L112" s="806"/>
      <c r="M112" s="806"/>
      <c r="N112" s="806"/>
      <c r="O112" s="806"/>
      <c r="P112" s="807"/>
      <c r="Q112" s="807"/>
      <c r="R112" s="807"/>
      <c r="S112" s="807"/>
      <c r="T112" s="807"/>
      <c r="U112" s="807"/>
      <c r="V112" s="807"/>
      <c r="W112" s="807"/>
      <c r="X112" s="803" t="s">
        <v>1110</v>
      </c>
    </row>
    <row r="113" spans="2:24" ht="13.5" thickBot="1" x14ac:dyDescent="0.25">
      <c r="B113" s="790"/>
      <c r="C113" s="790"/>
      <c r="D113" s="790"/>
      <c r="E113" s="813"/>
      <c r="F113" s="567">
        <v>1</v>
      </c>
      <c r="G113" s="566">
        <v>2</v>
      </c>
      <c r="H113" s="566">
        <v>3</v>
      </c>
      <c r="I113" s="566">
        <v>4</v>
      </c>
      <c r="J113" s="564">
        <v>5</v>
      </c>
      <c r="K113" s="564">
        <v>6</v>
      </c>
      <c r="L113" s="564">
        <v>7</v>
      </c>
      <c r="M113" s="564">
        <v>8</v>
      </c>
      <c r="N113" s="564">
        <v>9</v>
      </c>
      <c r="O113" s="565">
        <v>10</v>
      </c>
      <c r="P113" s="564">
        <v>11</v>
      </c>
      <c r="Q113" s="563">
        <v>12</v>
      </c>
      <c r="R113" s="563">
        <v>13</v>
      </c>
      <c r="S113" s="563">
        <v>14</v>
      </c>
      <c r="T113" s="563">
        <v>15</v>
      </c>
      <c r="U113" s="563">
        <v>16</v>
      </c>
      <c r="V113" s="563">
        <v>17</v>
      </c>
      <c r="W113" s="565">
        <v>18</v>
      </c>
      <c r="X113" s="804"/>
    </row>
    <row r="114" spans="2:24" ht="13.5" thickBot="1" x14ac:dyDescent="0.25">
      <c r="B114" s="724"/>
      <c r="C114" s="731"/>
      <c r="D114" s="724"/>
      <c r="E114" s="724"/>
      <c r="F114" s="732"/>
      <c r="G114" s="732"/>
      <c r="H114" s="732"/>
      <c r="I114" s="732"/>
      <c r="J114" s="732"/>
      <c r="K114" s="732"/>
      <c r="L114" s="732"/>
      <c r="M114" s="732"/>
      <c r="N114" s="732"/>
      <c r="O114" s="732"/>
      <c r="P114" s="732"/>
      <c r="Q114" s="732"/>
      <c r="R114" s="732"/>
      <c r="S114" s="732"/>
      <c r="T114" s="732"/>
      <c r="U114" s="732"/>
      <c r="V114" s="732"/>
      <c r="W114" s="733"/>
      <c r="X114" s="734"/>
    </row>
    <row r="115" spans="2:24" x14ac:dyDescent="0.2">
      <c r="B115" s="787">
        <v>24</v>
      </c>
      <c r="C115" s="788" t="s">
        <v>1097</v>
      </c>
      <c r="D115" s="561"/>
      <c r="E115" s="561"/>
      <c r="F115" s="535"/>
      <c r="G115" s="535"/>
      <c r="H115" s="535"/>
      <c r="I115" s="535"/>
      <c r="J115" s="561"/>
      <c r="K115" s="561"/>
      <c r="L115" s="561"/>
      <c r="M115" s="561"/>
      <c r="N115" s="561"/>
      <c r="O115" s="719"/>
      <c r="P115" s="721"/>
      <c r="Q115" s="720"/>
      <c r="R115" s="721"/>
      <c r="S115" s="721"/>
      <c r="T115" s="561"/>
      <c r="U115" s="561"/>
      <c r="V115" s="535"/>
      <c r="W115" s="719"/>
      <c r="X115" s="725">
        <f t="shared" si="7"/>
        <v>0</v>
      </c>
    </row>
    <row r="116" spans="2:24" x14ac:dyDescent="0.2">
      <c r="B116" s="776"/>
      <c r="C116" s="784"/>
      <c r="D116" s="544">
        <f>RESUMO!H75</f>
        <v>54158.703051119999</v>
      </c>
      <c r="E116" s="543" t="str">
        <f>E21</f>
        <v>R$</v>
      </c>
      <c r="F116" s="542"/>
      <c r="G116" s="542"/>
      <c r="H116" s="542"/>
      <c r="I116" s="542"/>
      <c r="J116" s="550"/>
      <c r="K116" s="550"/>
      <c r="L116" s="550"/>
      <c r="M116" s="550"/>
      <c r="N116" s="550"/>
      <c r="O116" s="550"/>
      <c r="P116" s="553"/>
      <c r="Q116" s="553">
        <f>$D$116</f>
        <v>54158.703051119999</v>
      </c>
      <c r="R116" s="553"/>
      <c r="S116" s="553"/>
      <c r="T116" s="542"/>
      <c r="U116" s="542"/>
      <c r="V116" s="553"/>
      <c r="W116" s="553"/>
      <c r="X116" s="559">
        <f t="shared" si="7"/>
        <v>54158.703051119999</v>
      </c>
    </row>
    <row r="117" spans="2:24" x14ac:dyDescent="0.2">
      <c r="B117" s="776"/>
      <c r="C117" s="784"/>
      <c r="D117" s="549"/>
      <c r="E117" s="549" t="s">
        <v>15</v>
      </c>
      <c r="F117" s="538"/>
      <c r="G117" s="538"/>
      <c r="H117" s="538"/>
      <c r="I117" s="538"/>
      <c r="J117" s="546"/>
      <c r="K117" s="546"/>
      <c r="L117" s="546"/>
      <c r="M117" s="546"/>
      <c r="N117" s="546"/>
      <c r="O117" s="546"/>
      <c r="P117" s="547"/>
      <c r="Q117" s="547">
        <f>100</f>
        <v>100</v>
      </c>
      <c r="R117" s="547"/>
      <c r="S117" s="547"/>
      <c r="T117" s="538"/>
      <c r="U117" s="538"/>
      <c r="V117" s="546"/>
      <c r="W117" s="546"/>
      <c r="X117" s="559">
        <f t="shared" si="7"/>
        <v>100</v>
      </c>
    </row>
    <row r="118" spans="2:24" x14ac:dyDescent="0.2">
      <c r="B118" s="776">
        <v>25</v>
      </c>
      <c r="C118" s="784" t="s">
        <v>1096</v>
      </c>
      <c r="D118" s="543"/>
      <c r="E118" s="543"/>
      <c r="F118" s="529"/>
      <c r="G118" s="529"/>
      <c r="H118" s="529"/>
      <c r="I118" s="529"/>
      <c r="J118" s="543"/>
      <c r="K118" s="556"/>
      <c r="L118" s="556"/>
      <c r="M118" s="545"/>
      <c r="N118" s="545"/>
      <c r="O118" s="556"/>
      <c r="P118" s="556"/>
      <c r="Q118" s="556"/>
      <c r="R118" s="543"/>
      <c r="S118" s="543"/>
      <c r="T118" s="543"/>
      <c r="U118" s="543"/>
      <c r="V118" s="543"/>
      <c r="W118" s="543"/>
      <c r="X118" s="559">
        <f t="shared" si="7"/>
        <v>0</v>
      </c>
    </row>
    <row r="119" spans="2:24" x14ac:dyDescent="0.2">
      <c r="B119" s="776"/>
      <c r="C119" s="784"/>
      <c r="D119" s="544">
        <f>RESUMO!H76</f>
        <v>137206.71786192001</v>
      </c>
      <c r="E119" s="543" t="str">
        <f>E116</f>
        <v>R$</v>
      </c>
      <c r="F119" s="542"/>
      <c r="G119" s="542"/>
      <c r="H119" s="542"/>
      <c r="I119" s="542"/>
      <c r="J119" s="542"/>
      <c r="K119" s="542"/>
      <c r="L119" s="550"/>
      <c r="M119" s="550">
        <f>$D$119/2</f>
        <v>68603.358930960007</v>
      </c>
      <c r="N119" s="550">
        <f>$D$119/2</f>
        <v>68603.358930960007</v>
      </c>
      <c r="O119" s="550"/>
      <c r="P119" s="542"/>
      <c r="Q119" s="542"/>
      <c r="R119" s="542"/>
      <c r="S119" s="542"/>
      <c r="T119" s="542"/>
      <c r="U119" s="542"/>
      <c r="V119" s="542"/>
      <c r="W119" s="555"/>
      <c r="X119" s="559">
        <f t="shared" si="7"/>
        <v>137206.71786192001</v>
      </c>
    </row>
    <row r="120" spans="2:24" x14ac:dyDescent="0.2">
      <c r="B120" s="776"/>
      <c r="C120" s="784"/>
      <c r="D120" s="549"/>
      <c r="E120" s="549" t="s">
        <v>15</v>
      </c>
      <c r="F120" s="538"/>
      <c r="G120" s="538"/>
      <c r="H120" s="538"/>
      <c r="I120" s="538"/>
      <c r="J120" s="538"/>
      <c r="K120" s="538"/>
      <c r="L120" s="547"/>
      <c r="M120" s="547">
        <f t="shared" ref="M120:N120" si="9">100/2</f>
        <v>50</v>
      </c>
      <c r="N120" s="547">
        <f t="shared" si="9"/>
        <v>50</v>
      </c>
      <c r="O120" s="547"/>
      <c r="P120" s="538"/>
      <c r="Q120" s="538"/>
      <c r="R120" s="538"/>
      <c r="S120" s="538"/>
      <c r="T120" s="538"/>
      <c r="U120" s="538"/>
      <c r="V120" s="538"/>
      <c r="W120" s="546"/>
      <c r="X120" s="559">
        <f t="shared" si="7"/>
        <v>100</v>
      </c>
    </row>
    <row r="121" spans="2:24" x14ac:dyDescent="0.2">
      <c r="B121" s="776">
        <v>26</v>
      </c>
      <c r="C121" s="784" t="s">
        <v>1095</v>
      </c>
      <c r="D121" s="543"/>
      <c r="E121" s="543"/>
      <c r="F121" s="529"/>
      <c r="G121" s="529"/>
      <c r="H121" s="529"/>
      <c r="I121" s="529"/>
      <c r="J121" s="543"/>
      <c r="K121" s="543"/>
      <c r="L121" s="556"/>
      <c r="M121" s="556"/>
      <c r="N121" s="545"/>
      <c r="O121" s="545"/>
      <c r="P121" s="556"/>
      <c r="Q121" s="556"/>
      <c r="R121" s="556"/>
      <c r="S121" s="543"/>
      <c r="T121" s="543"/>
      <c r="U121" s="543"/>
      <c r="V121" s="543"/>
      <c r="W121" s="543"/>
      <c r="X121" s="559">
        <f t="shared" si="7"/>
        <v>0</v>
      </c>
    </row>
    <row r="122" spans="2:24" x14ac:dyDescent="0.2">
      <c r="B122" s="776"/>
      <c r="C122" s="784"/>
      <c r="D122" s="544">
        <f>RESUMO!H77+RESUMO!H78</f>
        <v>39496.474599769077</v>
      </c>
      <c r="E122" s="543" t="str">
        <f>E119</f>
        <v>R$</v>
      </c>
      <c r="F122" s="542"/>
      <c r="G122" s="542"/>
      <c r="H122" s="542"/>
      <c r="I122" s="542"/>
      <c r="J122" s="550"/>
      <c r="K122" s="550"/>
      <c r="L122" s="718"/>
      <c r="M122" s="550"/>
      <c r="N122" s="550">
        <f>$D$122/2</f>
        <v>19748.237299884539</v>
      </c>
      <c r="O122" s="550">
        <f>$D$122/2</f>
        <v>19748.237299884539</v>
      </c>
      <c r="P122" s="550"/>
      <c r="Q122" s="550"/>
      <c r="R122" s="550"/>
      <c r="S122" s="542"/>
      <c r="T122" s="542"/>
      <c r="U122" s="542"/>
      <c r="V122" s="542"/>
      <c r="W122" s="555"/>
      <c r="X122" s="559">
        <f t="shared" si="7"/>
        <v>39496.474599769077</v>
      </c>
    </row>
    <row r="123" spans="2:24" x14ac:dyDescent="0.2">
      <c r="B123" s="776"/>
      <c r="C123" s="784"/>
      <c r="D123" s="549"/>
      <c r="E123" s="549" t="s">
        <v>15</v>
      </c>
      <c r="F123" s="548"/>
      <c r="G123" s="548"/>
      <c r="H123" s="548"/>
      <c r="I123" s="548"/>
      <c r="J123" s="547"/>
      <c r="K123" s="547"/>
      <c r="L123" s="547"/>
      <c r="M123" s="547"/>
      <c r="N123" s="547">
        <f>100/2</f>
        <v>50</v>
      </c>
      <c r="O123" s="547">
        <f>100/2</f>
        <v>50</v>
      </c>
      <c r="P123" s="547"/>
      <c r="Q123" s="547"/>
      <c r="R123" s="547"/>
      <c r="S123" s="538"/>
      <c r="T123" s="538"/>
      <c r="U123" s="538"/>
      <c r="V123" s="538"/>
      <c r="W123" s="546"/>
      <c r="X123" s="559">
        <f t="shared" si="7"/>
        <v>100</v>
      </c>
    </row>
    <row r="124" spans="2:24" x14ac:dyDescent="0.2">
      <c r="B124" s="776">
        <v>27</v>
      </c>
      <c r="C124" s="784" t="s">
        <v>1094</v>
      </c>
      <c r="D124" s="543"/>
      <c r="E124" s="543"/>
      <c r="F124" s="529"/>
      <c r="G124" s="529"/>
      <c r="H124" s="529"/>
      <c r="I124" s="529"/>
      <c r="J124" s="543"/>
      <c r="K124" s="543"/>
      <c r="L124" s="543"/>
      <c r="M124" s="556"/>
      <c r="N124" s="556"/>
      <c r="O124" s="545"/>
      <c r="P124" s="556"/>
      <c r="Q124" s="543"/>
      <c r="R124" s="543"/>
      <c r="S124" s="556"/>
      <c r="T124" s="556"/>
      <c r="U124" s="543"/>
      <c r="V124" s="543"/>
      <c r="W124" s="543"/>
      <c r="X124" s="559">
        <f t="shared" si="7"/>
        <v>0</v>
      </c>
    </row>
    <row r="125" spans="2:24" x14ac:dyDescent="0.2">
      <c r="B125" s="776"/>
      <c r="C125" s="784"/>
      <c r="D125" s="544">
        <f>RESUMO!H79+RESUMO!H80</f>
        <v>249581.56387868003</v>
      </c>
      <c r="E125" s="543" t="str">
        <f>E122</f>
        <v>R$</v>
      </c>
      <c r="F125" s="542"/>
      <c r="G125" s="542"/>
      <c r="H125" s="542"/>
      <c r="I125" s="542"/>
      <c r="J125" s="550"/>
      <c r="K125" s="550"/>
      <c r="L125" s="550"/>
      <c r="M125" s="550"/>
      <c r="N125" s="550"/>
      <c r="O125" s="550">
        <f>$D$125</f>
        <v>249581.56387868003</v>
      </c>
      <c r="P125" s="550"/>
      <c r="Q125" s="550"/>
      <c r="R125" s="550"/>
      <c r="S125" s="550"/>
      <c r="T125" s="550"/>
      <c r="U125" s="542"/>
      <c r="V125" s="542"/>
      <c r="W125" s="555"/>
      <c r="X125" s="559">
        <f t="shared" si="7"/>
        <v>249581.56387868003</v>
      </c>
    </row>
    <row r="126" spans="2:24" x14ac:dyDescent="0.2">
      <c r="B126" s="776"/>
      <c r="C126" s="784"/>
      <c r="D126" s="551"/>
      <c r="E126" s="549" t="s">
        <v>15</v>
      </c>
      <c r="F126" s="548"/>
      <c r="G126" s="548"/>
      <c r="H126" s="548"/>
      <c r="I126" s="548"/>
      <c r="J126" s="547"/>
      <c r="K126" s="547"/>
      <c r="L126" s="547"/>
      <c r="M126" s="547"/>
      <c r="N126" s="547"/>
      <c r="O126" s="547">
        <v>100</v>
      </c>
      <c r="P126" s="547"/>
      <c r="Q126" s="547"/>
      <c r="R126" s="547"/>
      <c r="S126" s="547"/>
      <c r="T126" s="547"/>
      <c r="U126" s="538"/>
      <c r="V126" s="538"/>
      <c r="W126" s="546"/>
      <c r="X126" s="559">
        <f t="shared" si="7"/>
        <v>100</v>
      </c>
    </row>
    <row r="127" spans="2:24" x14ac:dyDescent="0.2">
      <c r="B127" s="776">
        <v>28</v>
      </c>
      <c r="C127" s="784" t="s">
        <v>1093</v>
      </c>
      <c r="D127" s="543"/>
      <c r="E127" s="543"/>
      <c r="F127" s="529"/>
      <c r="G127" s="529"/>
      <c r="H127" s="529"/>
      <c r="I127" s="529"/>
      <c r="J127" s="543"/>
      <c r="K127" s="543"/>
      <c r="L127" s="543"/>
      <c r="M127" s="543"/>
      <c r="N127" s="556"/>
      <c r="O127" s="545"/>
      <c r="P127" s="545"/>
      <c r="Q127" s="556"/>
      <c r="R127" s="543"/>
      <c r="S127" s="543"/>
      <c r="T127" s="556"/>
      <c r="U127" s="556"/>
      <c r="V127" s="543"/>
      <c r="W127" s="543"/>
      <c r="X127" s="559">
        <f t="shared" si="7"/>
        <v>0</v>
      </c>
    </row>
    <row r="128" spans="2:24" x14ac:dyDescent="0.2">
      <c r="B128" s="776"/>
      <c r="C128" s="784"/>
      <c r="D128" s="544">
        <f>RESUMO!H81+RESUMO!H82</f>
        <v>35787.595354589772</v>
      </c>
      <c r="E128" s="543" t="str">
        <f>E125</f>
        <v>R$</v>
      </c>
      <c r="F128" s="542"/>
      <c r="G128" s="542"/>
      <c r="H128" s="542"/>
      <c r="I128" s="542"/>
      <c r="J128" s="550"/>
      <c r="K128" s="550"/>
      <c r="L128" s="550"/>
      <c r="M128" s="550"/>
      <c r="N128" s="550"/>
      <c r="O128" s="550">
        <f>$D$128/2</f>
        <v>17893.797677294886</v>
      </c>
      <c r="P128" s="550">
        <f>$D$128/2</f>
        <v>17893.797677294886</v>
      </c>
      <c r="Q128" s="550"/>
      <c r="R128" s="542"/>
      <c r="S128" s="550"/>
      <c r="T128" s="550"/>
      <c r="U128" s="550"/>
      <c r="V128" s="542"/>
      <c r="W128" s="555"/>
      <c r="X128" s="559">
        <f t="shared" si="7"/>
        <v>35787.595354589772</v>
      </c>
    </row>
    <row r="129" spans="2:24" x14ac:dyDescent="0.2">
      <c r="B129" s="776"/>
      <c r="C129" s="784"/>
      <c r="D129" s="549"/>
      <c r="E129" s="549" t="s">
        <v>15</v>
      </c>
      <c r="F129" s="548"/>
      <c r="G129" s="548"/>
      <c r="H129" s="548"/>
      <c r="I129" s="548"/>
      <c r="J129" s="547"/>
      <c r="K129" s="547"/>
      <c r="L129" s="547"/>
      <c r="M129" s="547"/>
      <c r="N129" s="547"/>
      <c r="O129" s="547">
        <f>100/2</f>
        <v>50</v>
      </c>
      <c r="P129" s="547">
        <f>100/2</f>
        <v>50</v>
      </c>
      <c r="Q129" s="547"/>
      <c r="R129" s="538"/>
      <c r="S129" s="547"/>
      <c r="T129" s="547"/>
      <c r="U129" s="547"/>
      <c r="V129" s="538"/>
      <c r="W129" s="546"/>
      <c r="X129" s="559">
        <f t="shared" si="7"/>
        <v>100</v>
      </c>
    </row>
    <row r="130" spans="2:24" x14ac:dyDescent="0.2">
      <c r="B130" s="776">
        <v>29</v>
      </c>
      <c r="C130" s="777" t="s">
        <v>1092</v>
      </c>
      <c r="D130" s="543"/>
      <c r="E130" s="543"/>
      <c r="F130" s="529"/>
      <c r="G130" s="529"/>
      <c r="H130" s="529"/>
      <c r="I130" s="529"/>
      <c r="J130" s="543"/>
      <c r="K130" s="543"/>
      <c r="L130" s="543"/>
      <c r="M130" s="543"/>
      <c r="N130" s="556"/>
      <c r="O130" s="557"/>
      <c r="P130" s="552"/>
      <c r="Q130" s="552"/>
      <c r="R130" s="556"/>
      <c r="S130" s="543"/>
      <c r="T130" s="543"/>
      <c r="U130" s="543"/>
      <c r="V130" s="556"/>
      <c r="W130" s="556"/>
      <c r="X130" s="559">
        <f t="shared" si="7"/>
        <v>0</v>
      </c>
    </row>
    <row r="131" spans="2:24" x14ac:dyDescent="0.2">
      <c r="B131" s="776"/>
      <c r="C131" s="777"/>
      <c r="D131" s="544">
        <f>RESUMO!H83</f>
        <v>111643.64675999999</v>
      </c>
      <c r="E131" s="543" t="str">
        <f>E128</f>
        <v>R$</v>
      </c>
      <c r="F131" s="542"/>
      <c r="G131" s="542"/>
      <c r="H131" s="542"/>
      <c r="I131" s="542"/>
      <c r="J131" s="542"/>
      <c r="K131" s="542"/>
      <c r="L131" s="542"/>
      <c r="M131" s="542"/>
      <c r="N131" s="542"/>
      <c r="O131" s="553"/>
      <c r="P131" s="553">
        <f>$D$131/2</f>
        <v>55821.823379999994</v>
      </c>
      <c r="Q131" s="553">
        <f>$D$131/2</f>
        <v>55821.823379999994</v>
      </c>
      <c r="R131" s="553"/>
      <c r="S131" s="542"/>
      <c r="T131" s="542"/>
      <c r="U131" s="542"/>
      <c r="V131" s="542"/>
      <c r="W131" s="542"/>
      <c r="X131" s="559">
        <f t="shared" si="7"/>
        <v>111643.64675999999</v>
      </c>
    </row>
    <row r="132" spans="2:24" ht="13.5" thickBot="1" x14ac:dyDescent="0.25">
      <c r="B132" s="785"/>
      <c r="C132" s="786"/>
      <c r="D132" s="541"/>
      <c r="E132" s="540" t="s">
        <v>15</v>
      </c>
      <c r="F132" s="539"/>
      <c r="G132" s="539"/>
      <c r="H132" s="539"/>
      <c r="I132" s="539"/>
      <c r="J132" s="539"/>
      <c r="K132" s="539"/>
      <c r="L132" s="537"/>
      <c r="M132" s="537"/>
      <c r="N132" s="537"/>
      <c r="O132" s="537"/>
      <c r="P132" s="537">
        <f>100/2</f>
        <v>50</v>
      </c>
      <c r="Q132" s="537">
        <f>100/2</f>
        <v>50</v>
      </c>
      <c r="R132" s="537"/>
      <c r="S132" s="537"/>
      <c r="T132" s="537"/>
      <c r="U132" s="537"/>
      <c r="V132" s="537"/>
      <c r="W132" s="537"/>
      <c r="X132" s="735">
        <f t="shared" si="7"/>
        <v>100</v>
      </c>
    </row>
    <row r="133" spans="2:24" ht="13.5" thickBot="1" x14ac:dyDescent="0.25">
      <c r="B133" s="726"/>
      <c r="C133" s="727"/>
      <c r="D133" s="728"/>
      <c r="E133" s="728"/>
      <c r="F133" s="728"/>
      <c r="G133" s="728"/>
      <c r="H133" s="728"/>
      <c r="I133" s="728"/>
      <c r="J133" s="728"/>
      <c r="K133" s="728"/>
      <c r="L133" s="728"/>
      <c r="M133" s="728"/>
      <c r="N133" s="728"/>
      <c r="O133" s="728"/>
      <c r="P133" s="728"/>
      <c r="Q133" s="728"/>
      <c r="R133" s="728"/>
      <c r="S133" s="717"/>
      <c r="T133" s="717"/>
      <c r="U133" s="717"/>
      <c r="V133" s="717"/>
      <c r="W133" s="717"/>
      <c r="X133" s="729"/>
    </row>
    <row r="134" spans="2:24" ht="15" x14ac:dyDescent="0.2">
      <c r="B134" s="797" t="s">
        <v>1091</v>
      </c>
      <c r="C134" s="798"/>
      <c r="D134" s="716">
        <f>SUM(D9:D131)</f>
        <v>7241484.3330820082</v>
      </c>
      <c r="E134" s="715" t="s">
        <v>625</v>
      </c>
      <c r="F134" s="534">
        <f>F9+F12+F15+F18+F21+F24+F27+F30+F45+F48+F51+F54+F57+F60+F63+F66+F69+F72+F81+F84+F95+F116+F119+F122+F125+F128+F131+F75+F33+F36</f>
        <v>652914.61742464977</v>
      </c>
      <c r="G134" s="534">
        <f t="shared" ref="G134:Q134" si="10">G9+G12+G15+G18+G21+G24+G27+G30+G45+G48+G51+G54+G57+G60+G63+G66+G69+G72+G81+G84+G95+G116+G119+G122+G125+G128+G131+G75+G33+G36</f>
        <v>632392.29568937991</v>
      </c>
      <c r="H134" s="534">
        <f t="shared" si="10"/>
        <v>571120.1119134312</v>
      </c>
      <c r="I134" s="534">
        <f t="shared" si="10"/>
        <v>453454.20959427312</v>
      </c>
      <c r="J134" s="534">
        <f t="shared" si="10"/>
        <v>661218.59089987108</v>
      </c>
      <c r="K134" s="534">
        <f t="shared" si="10"/>
        <v>1220295.1795803434</v>
      </c>
      <c r="L134" s="534">
        <f t="shared" si="10"/>
        <v>840836.65740818612</v>
      </c>
      <c r="M134" s="534">
        <f t="shared" si="10"/>
        <v>624647.63791689184</v>
      </c>
      <c r="N134" s="534">
        <f t="shared" si="10"/>
        <v>585870.93166077638</v>
      </c>
      <c r="O134" s="534">
        <f t="shared" si="10"/>
        <v>784742.93428579124</v>
      </c>
      <c r="P134" s="534">
        <f t="shared" si="10"/>
        <v>88863.13066729487</v>
      </c>
      <c r="Q134" s="534">
        <f t="shared" si="10"/>
        <v>125128.03604111998</v>
      </c>
      <c r="R134" s="534">
        <f t="shared" ref="R134:W134" si="11">R9+R12+R15+R18+R21+R24+R27+R30+R45+R48+R51+R54+R57+R60+R63+R66+R69+R72+R81+R84+R95+R116+R119+R122+R125+R128+R131+R75</f>
        <v>0</v>
      </c>
      <c r="S134" s="534">
        <f t="shared" si="11"/>
        <v>0</v>
      </c>
      <c r="T134" s="534">
        <f t="shared" si="11"/>
        <v>0</v>
      </c>
      <c r="U134" s="534">
        <f t="shared" si="11"/>
        <v>0</v>
      </c>
      <c r="V134" s="534">
        <f t="shared" si="11"/>
        <v>0</v>
      </c>
      <c r="W134" s="534">
        <f t="shared" si="11"/>
        <v>0</v>
      </c>
      <c r="X134" s="533">
        <f>X9+X12+X15+X18+X21+X24+X27+X30+X45+X48+X51+X54+X57+X60+X63+X66+X69+X72+X81+X84+X95+X116+X119+X122+X125+X128+X131+X42+X75+X33+X36</f>
        <v>7241484.3330820082</v>
      </c>
    </row>
    <row r="135" spans="2:24" ht="15" x14ac:dyDescent="0.2">
      <c r="B135" s="793"/>
      <c r="C135" s="794"/>
      <c r="D135" s="532"/>
      <c r="E135" s="714" t="s">
        <v>15</v>
      </c>
      <c r="F135" s="531">
        <f t="shared" ref="F135:W135" si="12">(F134*100)/$X$136</f>
        <v>9.0163091901182959</v>
      </c>
      <c r="G135" s="531">
        <f t="shared" si="12"/>
        <v>8.7329098096692412</v>
      </c>
      <c r="H135" s="531">
        <f t="shared" si="12"/>
        <v>7.8867824004579443</v>
      </c>
      <c r="I135" s="531">
        <f t="shared" si="12"/>
        <v>6.2618958867688512</v>
      </c>
      <c r="J135" s="531">
        <f t="shared" si="12"/>
        <v>9.1309814464302423</v>
      </c>
      <c r="K135" s="531">
        <f t="shared" si="12"/>
        <v>16.851450938111469</v>
      </c>
      <c r="L135" s="531">
        <f t="shared" si="12"/>
        <v>11.611385438851348</v>
      </c>
      <c r="M135" s="531">
        <f t="shared" si="12"/>
        <v>8.6259613248522893</v>
      </c>
      <c r="N135" s="531">
        <f t="shared" si="12"/>
        <v>8.0904812426960948</v>
      </c>
      <c r="O135" s="531">
        <f t="shared" si="12"/>
        <v>10.836769068197389</v>
      </c>
      <c r="P135" s="531">
        <f t="shared" si="12"/>
        <v>1.2271397213597826</v>
      </c>
      <c r="Q135" s="531">
        <f t="shared" si="12"/>
        <v>1.7279335324870462</v>
      </c>
      <c r="R135" s="531">
        <f t="shared" si="12"/>
        <v>0</v>
      </c>
      <c r="S135" s="531">
        <f t="shared" si="12"/>
        <v>0</v>
      </c>
      <c r="T135" s="531">
        <f t="shared" si="12"/>
        <v>0</v>
      </c>
      <c r="U135" s="531">
        <f t="shared" si="12"/>
        <v>0</v>
      </c>
      <c r="V135" s="531">
        <f t="shared" si="12"/>
        <v>0</v>
      </c>
      <c r="W135" s="531">
        <f t="shared" si="12"/>
        <v>0</v>
      </c>
      <c r="X135" s="530">
        <f>SUM(F135:W135)</f>
        <v>99.999999999999986</v>
      </c>
    </row>
    <row r="136" spans="2:24" ht="15" x14ac:dyDescent="0.2">
      <c r="B136" s="793"/>
      <c r="C136" s="794"/>
      <c r="D136" s="529"/>
      <c r="E136" s="713" t="s">
        <v>1090</v>
      </c>
      <c r="F136" s="528">
        <f>F134</f>
        <v>652914.61742464977</v>
      </c>
      <c r="G136" s="528">
        <f t="shared" ref="G136:W136" si="13">F136+G134</f>
        <v>1285306.9131140297</v>
      </c>
      <c r="H136" s="528">
        <f t="shared" si="13"/>
        <v>1856427.0250274609</v>
      </c>
      <c r="I136" s="528">
        <f t="shared" si="13"/>
        <v>2309881.2346217339</v>
      </c>
      <c r="J136" s="528">
        <f t="shared" si="13"/>
        <v>2971099.8255216051</v>
      </c>
      <c r="K136" s="528">
        <f t="shared" si="13"/>
        <v>4191395.0051019485</v>
      </c>
      <c r="L136" s="528">
        <f t="shared" si="13"/>
        <v>5032231.6625101343</v>
      </c>
      <c r="M136" s="528">
        <f t="shared" si="13"/>
        <v>5656879.3004270261</v>
      </c>
      <c r="N136" s="528">
        <f t="shared" si="13"/>
        <v>6242750.2320878021</v>
      </c>
      <c r="O136" s="528">
        <f t="shared" si="13"/>
        <v>7027493.1663735937</v>
      </c>
      <c r="P136" s="528">
        <f t="shared" si="13"/>
        <v>7116356.297040889</v>
      </c>
      <c r="Q136" s="528">
        <f t="shared" si="13"/>
        <v>7241484.3330820091</v>
      </c>
      <c r="R136" s="528">
        <f t="shared" si="13"/>
        <v>7241484.3330820091</v>
      </c>
      <c r="S136" s="528">
        <f t="shared" si="13"/>
        <v>7241484.3330820091</v>
      </c>
      <c r="T136" s="528">
        <f t="shared" si="13"/>
        <v>7241484.3330820091</v>
      </c>
      <c r="U136" s="528">
        <f t="shared" si="13"/>
        <v>7241484.3330820091</v>
      </c>
      <c r="V136" s="528">
        <f t="shared" si="13"/>
        <v>7241484.3330820091</v>
      </c>
      <c r="W136" s="528">
        <f t="shared" si="13"/>
        <v>7241484.3330820091</v>
      </c>
      <c r="X136" s="527">
        <f>W136</f>
        <v>7241484.3330820091</v>
      </c>
    </row>
    <row r="137" spans="2:24" ht="15.75" thickBot="1" x14ac:dyDescent="0.25">
      <c r="B137" s="800"/>
      <c r="C137" s="801"/>
      <c r="D137" s="526"/>
      <c r="E137" s="712" t="s">
        <v>1089</v>
      </c>
      <c r="F137" s="525">
        <f>F135</f>
        <v>9.0163091901182959</v>
      </c>
      <c r="G137" s="525">
        <f t="shared" ref="G137:W137" si="14">F137+G135</f>
        <v>17.749218999787537</v>
      </c>
      <c r="H137" s="525">
        <f t="shared" si="14"/>
        <v>25.636001400245483</v>
      </c>
      <c r="I137" s="525">
        <f t="shared" si="14"/>
        <v>31.897897287014334</v>
      </c>
      <c r="J137" s="525">
        <f t="shared" si="14"/>
        <v>41.028878733444579</v>
      </c>
      <c r="K137" s="525">
        <f t="shared" si="14"/>
        <v>57.880329671556048</v>
      </c>
      <c r="L137" s="525">
        <f t="shared" si="14"/>
        <v>69.491715110407398</v>
      </c>
      <c r="M137" s="525">
        <f t="shared" si="14"/>
        <v>78.117676435259682</v>
      </c>
      <c r="N137" s="525">
        <f t="shared" si="14"/>
        <v>86.208157677955782</v>
      </c>
      <c r="O137" s="525">
        <f t="shared" si="14"/>
        <v>97.044926746153166</v>
      </c>
      <c r="P137" s="525">
        <f t="shared" si="14"/>
        <v>98.272066467512943</v>
      </c>
      <c r="Q137" s="525">
        <f t="shared" si="14"/>
        <v>99.999999999999986</v>
      </c>
      <c r="R137" s="525">
        <f t="shared" si="14"/>
        <v>99.999999999999986</v>
      </c>
      <c r="S137" s="525">
        <f t="shared" si="14"/>
        <v>99.999999999999986</v>
      </c>
      <c r="T137" s="525">
        <f t="shared" si="14"/>
        <v>99.999999999999986</v>
      </c>
      <c r="U137" s="525">
        <f t="shared" si="14"/>
        <v>99.999999999999986</v>
      </c>
      <c r="V137" s="525">
        <f t="shared" si="14"/>
        <v>99.999999999999986</v>
      </c>
      <c r="W137" s="525">
        <f t="shared" si="14"/>
        <v>99.999999999999986</v>
      </c>
      <c r="X137" s="524">
        <f>W137</f>
        <v>99.999999999999986</v>
      </c>
    </row>
  </sheetData>
  <mergeCells count="98">
    <mergeCell ref="D112:D113"/>
    <mergeCell ref="E112:E113"/>
    <mergeCell ref="F112:W112"/>
    <mergeCell ref="X112:X113"/>
    <mergeCell ref="F4:N4"/>
    <mergeCell ref="F110:N110"/>
    <mergeCell ref="D91:D92"/>
    <mergeCell ref="E91:E92"/>
    <mergeCell ref="F91:W91"/>
    <mergeCell ref="Q3:X4"/>
    <mergeCell ref="F3:N3"/>
    <mergeCell ref="B110:D111"/>
    <mergeCell ref="Q110:X111"/>
    <mergeCell ref="F111:N111"/>
    <mergeCell ref="X91:X92"/>
    <mergeCell ref="E5:E6"/>
    <mergeCell ref="B29:B31"/>
    <mergeCell ref="F5:W5"/>
    <mergeCell ref="B89:D90"/>
    <mergeCell ref="F89:M89"/>
    <mergeCell ref="P89:X90"/>
    <mergeCell ref="F90:M90"/>
    <mergeCell ref="N90:O90"/>
    <mergeCell ref="C29:C31"/>
    <mergeCell ref="B35:B37"/>
    <mergeCell ref="C35:C37"/>
    <mergeCell ref="B32:B34"/>
    <mergeCell ref="C32:C34"/>
    <mergeCell ref="B38:B40"/>
    <mergeCell ref="C38:C40"/>
    <mergeCell ref="B41:B43"/>
    <mergeCell ref="C41:C43"/>
    <mergeCell ref="B20:B22"/>
    <mergeCell ref="C20:C22"/>
    <mergeCell ref="B23:B25"/>
    <mergeCell ref="C23:C25"/>
    <mergeCell ref="B26:B28"/>
    <mergeCell ref="C26:C28"/>
    <mergeCell ref="X5:X6"/>
    <mergeCell ref="B14:B16"/>
    <mergeCell ref="C14:C16"/>
    <mergeCell ref="B17:B19"/>
    <mergeCell ref="C17:C19"/>
    <mergeCell ref="B11:B13"/>
    <mergeCell ref="C11:C13"/>
    <mergeCell ref="B130:B132"/>
    <mergeCell ref="C130:C132"/>
    <mergeCell ref="B134:C137"/>
    <mergeCell ref="B124:B126"/>
    <mergeCell ref="C124:C126"/>
    <mergeCell ref="B127:B129"/>
    <mergeCell ref="C127:C129"/>
    <mergeCell ref="B3:D4"/>
    <mergeCell ref="B8:B10"/>
    <mergeCell ref="C8:C10"/>
    <mergeCell ref="B5:B6"/>
    <mergeCell ref="C5:C6"/>
    <mergeCell ref="D5:D6"/>
    <mergeCell ref="C44:C46"/>
    <mergeCell ref="B47:B49"/>
    <mergeCell ref="C47:C49"/>
    <mergeCell ref="B50:B52"/>
    <mergeCell ref="C50:C52"/>
    <mergeCell ref="B44:B46"/>
    <mergeCell ref="B53:B55"/>
    <mergeCell ref="C53:C55"/>
    <mergeCell ref="B56:B58"/>
    <mergeCell ref="C56:C58"/>
    <mergeCell ref="B59:B61"/>
    <mergeCell ref="C59:C61"/>
    <mergeCell ref="B62:B64"/>
    <mergeCell ref="C62:C64"/>
    <mergeCell ref="B65:B67"/>
    <mergeCell ref="C65:C67"/>
    <mergeCell ref="B68:B70"/>
    <mergeCell ref="C68:C70"/>
    <mergeCell ref="B71:B73"/>
    <mergeCell ref="C71:C73"/>
    <mergeCell ref="B74:B76"/>
    <mergeCell ref="C74:C76"/>
    <mergeCell ref="B80:B82"/>
    <mergeCell ref="C80:C82"/>
    <mergeCell ref="B83:B85"/>
    <mergeCell ref="C83:C85"/>
    <mergeCell ref="B77:B79"/>
    <mergeCell ref="C77:C79"/>
    <mergeCell ref="B121:B123"/>
    <mergeCell ref="C121:C123"/>
    <mergeCell ref="B94:B96"/>
    <mergeCell ref="C94:C96"/>
    <mergeCell ref="B115:B117"/>
    <mergeCell ref="C115:C117"/>
    <mergeCell ref="B118:B120"/>
    <mergeCell ref="C118:C120"/>
    <mergeCell ref="B112:B113"/>
    <mergeCell ref="C112:C113"/>
    <mergeCell ref="B91:B92"/>
    <mergeCell ref="C91:C92"/>
  </mergeCells>
  <pageMargins left="0.511811024" right="0.511811024" top="0.78740157499999996" bottom="0.78740157499999996" header="0.31496062000000002" footer="0.31496062000000002"/>
  <pageSetup scale="53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2">
    <pageSetUpPr fitToPage="1"/>
  </sheetPr>
  <dimension ref="A1:O40"/>
  <sheetViews>
    <sheetView view="pageBreakPreview" topLeftCell="B1" zoomScaleNormal="100" zoomScaleSheetLayoutView="100" workbookViewId="0">
      <selection activeCell="I41" sqref="I41"/>
    </sheetView>
  </sheetViews>
  <sheetFormatPr defaultColWidth="11.42578125" defaultRowHeight="12" customHeight="1" x14ac:dyDescent="0.2"/>
  <cols>
    <col min="6" max="6" width="28.5703125" customWidth="1"/>
    <col min="9" max="9" width="11.42578125" style="57" customWidth="1"/>
    <col min="10" max="10" width="11.42578125" style="57" hidden="1" customWidth="1"/>
    <col min="11" max="11" width="14.28515625" customWidth="1"/>
    <col min="12" max="12" width="11.42578125" hidden="1" customWidth="1"/>
    <col min="13" max="13" width="14.28515625" customWidth="1"/>
    <col min="14" max="14" width="17.140625" customWidth="1"/>
    <col min="15" max="15" width="11.42578125" style="13" customWidth="1"/>
  </cols>
  <sheetData>
    <row r="1" spans="1:15" ht="7.5" customHeight="1" x14ac:dyDescent="0.2"/>
    <row r="2" spans="1:15" ht="12" customHeight="1" x14ac:dyDescent="0.2">
      <c r="A2" s="830" t="s">
        <v>39</v>
      </c>
      <c r="B2" s="830"/>
      <c r="C2" s="830"/>
      <c r="D2" s="830"/>
      <c r="E2" s="830"/>
      <c r="F2" s="830"/>
      <c r="G2" s="830"/>
      <c r="H2" s="830"/>
      <c r="I2" s="830"/>
      <c r="J2" s="830"/>
      <c r="K2" s="830"/>
      <c r="L2" s="830"/>
      <c r="M2" s="830"/>
      <c r="N2" s="830"/>
      <c r="O2" s="830"/>
    </row>
    <row r="3" spans="1:15" ht="7.5" customHeight="1" thickBot="1" x14ac:dyDescent="0.25">
      <c r="A3" s="2"/>
      <c r="B3" s="2"/>
      <c r="C3" s="2"/>
      <c r="D3" s="2"/>
      <c r="E3" s="2"/>
      <c r="F3" s="2"/>
      <c r="G3" s="2"/>
      <c r="H3" s="2"/>
      <c r="I3" s="56"/>
      <c r="J3" s="56"/>
      <c r="K3" s="2"/>
      <c r="L3" s="2"/>
      <c r="M3" s="2"/>
      <c r="N3" s="2"/>
      <c r="O3" s="432"/>
    </row>
    <row r="4" spans="1:15" ht="12" customHeight="1" thickTop="1" x14ac:dyDescent="0.2">
      <c r="C4" s="36" t="s">
        <v>0</v>
      </c>
      <c r="D4" s="37" t="str">
        <f>RESUMO!D4</f>
        <v>SÃO JOSÉ DAS PALMEIRAS</v>
      </c>
      <c r="E4" s="34"/>
      <c r="F4" s="34"/>
      <c r="G4" s="36" t="s">
        <v>1</v>
      </c>
      <c r="M4" s="38">
        <f ca="1">RESUMO!G4</f>
        <v>43657</v>
      </c>
      <c r="N4" s="826" t="str">
        <f>RESUMO!H4</f>
        <v>BDI Aplicado</v>
      </c>
      <c r="O4" s="827"/>
    </row>
    <row r="5" spans="1:15" ht="12" customHeight="1" x14ac:dyDescent="0.2">
      <c r="A5" s="828" t="s">
        <v>193</v>
      </c>
      <c r="B5" s="829"/>
      <c r="C5" s="39" t="s">
        <v>2</v>
      </c>
      <c r="D5" s="37" t="str">
        <f>RESUMO!D5</f>
        <v>SISTEMA DE ESGOTAMENTO SANITARIO - SES</v>
      </c>
      <c r="E5" s="34"/>
      <c r="F5" s="34"/>
      <c r="G5" s="39" t="s">
        <v>3</v>
      </c>
      <c r="M5" s="34"/>
      <c r="N5" s="35" t="str">
        <f>RESUMO!H5</f>
        <v>Serviços</v>
      </c>
      <c r="O5" s="433">
        <f>RESUMO!I5</f>
        <v>0.27579999999999999</v>
      </c>
    </row>
    <row r="6" spans="1:15" ht="12" customHeight="1" x14ac:dyDescent="0.2">
      <c r="A6" s="828"/>
      <c r="B6" s="829"/>
      <c r="C6" s="39" t="s">
        <v>4</v>
      </c>
      <c r="D6" s="37"/>
      <c r="E6" s="34"/>
      <c r="F6" s="34"/>
      <c r="G6" s="39" t="s">
        <v>5</v>
      </c>
      <c r="M6" s="34"/>
      <c r="N6" s="35" t="str">
        <f>RESUMO!H6</f>
        <v>Serv Terc:</v>
      </c>
      <c r="O6" s="433">
        <f>RESUMO!I6</f>
        <v>0.1772</v>
      </c>
    </row>
    <row r="7" spans="1:15" ht="12" customHeight="1" x14ac:dyDescent="0.2">
      <c r="A7" s="33"/>
      <c r="B7" s="33"/>
      <c r="C7" s="39" t="s">
        <v>6</v>
      </c>
      <c r="D7" s="65" t="str">
        <f>A11</f>
        <v>U.C. : 01</v>
      </c>
      <c r="E7" s="34"/>
      <c r="F7" s="34"/>
      <c r="G7" s="39" t="s">
        <v>9</v>
      </c>
      <c r="M7" s="40" t="str">
        <f>RESUMO!G7</f>
        <v>Jun18 MOS4aEd v00</v>
      </c>
      <c r="N7" s="35" t="str">
        <f>RESUMO!H7</f>
        <v>Mat/Equip:</v>
      </c>
      <c r="O7" s="433">
        <f>RESUMO!I7</f>
        <v>0.1772</v>
      </c>
    </row>
    <row r="8" spans="1:15" ht="12" customHeight="1" thickBot="1" x14ac:dyDescent="0.25">
      <c r="A8" s="41"/>
      <c r="B8" s="42"/>
      <c r="C8" s="43" t="s">
        <v>8</v>
      </c>
      <c r="D8" s="44" t="str">
        <f>B11</f>
        <v>CANTEIRO DE OBRAS</v>
      </c>
      <c r="E8" s="45"/>
      <c r="F8" s="45"/>
      <c r="G8" s="43"/>
      <c r="H8" s="2"/>
      <c r="I8" s="56"/>
      <c r="J8" s="56"/>
      <c r="K8" s="46"/>
      <c r="L8" s="46"/>
      <c r="M8" s="46"/>
      <c r="N8" s="47"/>
      <c r="O8" s="434"/>
    </row>
    <row r="9" spans="1:15" ht="12" customHeight="1" thickTop="1" x14ac:dyDescent="0.2">
      <c r="A9" s="49"/>
      <c r="B9" s="49" t="s">
        <v>10</v>
      </c>
      <c r="C9" s="31"/>
      <c r="D9" s="31"/>
      <c r="E9" s="31"/>
      <c r="F9" s="31"/>
      <c r="G9" s="50" t="s">
        <v>11</v>
      </c>
      <c r="H9" s="50" t="s">
        <v>12</v>
      </c>
      <c r="I9" s="50" t="s">
        <v>13</v>
      </c>
      <c r="J9" s="50"/>
      <c r="K9" s="32" t="s">
        <v>212</v>
      </c>
      <c r="L9" s="32"/>
      <c r="M9" s="32" t="s">
        <v>213</v>
      </c>
      <c r="N9" s="50" t="s">
        <v>14</v>
      </c>
      <c r="O9" s="50" t="s">
        <v>15</v>
      </c>
    </row>
    <row r="10" spans="1:15" ht="7.5" customHeight="1" x14ac:dyDescent="0.2">
      <c r="A10" s="62"/>
      <c r="B10" s="62"/>
      <c r="C10" s="63"/>
      <c r="D10" s="63"/>
      <c r="E10" s="63"/>
      <c r="F10" s="63"/>
      <c r="G10" s="64"/>
      <c r="H10" s="64"/>
      <c r="I10" s="69"/>
      <c r="J10" s="69"/>
      <c r="K10" s="64"/>
      <c r="L10" s="64"/>
      <c r="M10" s="64"/>
      <c r="N10" s="64"/>
      <c r="O10" s="64"/>
    </row>
    <row r="11" spans="1:15" ht="12" customHeight="1" x14ac:dyDescent="0.2">
      <c r="A11" s="1" t="str">
        <f>RESUMO!A10</f>
        <v>U.C. : 01</v>
      </c>
      <c r="B11" s="1" t="str">
        <f>RESUMO!B10</f>
        <v>CANTEIRO DE OBRAS</v>
      </c>
      <c r="I11" s="51"/>
      <c r="J11" s="51"/>
    </row>
    <row r="12" spans="1:15" ht="12" customHeight="1" x14ac:dyDescent="0.2">
      <c r="A12" s="8" t="s">
        <v>46</v>
      </c>
      <c r="B12" s="7" t="s">
        <v>45</v>
      </c>
      <c r="I12" s="51"/>
      <c r="J12" s="51"/>
    </row>
    <row r="13" spans="1:15" ht="12" customHeight="1" x14ac:dyDescent="0.2">
      <c r="A13" s="8" t="s">
        <v>50</v>
      </c>
      <c r="B13" s="7" t="s">
        <v>47</v>
      </c>
      <c r="I13" s="51"/>
      <c r="J13" s="51"/>
    </row>
    <row r="14" spans="1:15" ht="12" customHeight="1" x14ac:dyDescent="0.2">
      <c r="A14" s="8" t="s">
        <v>51</v>
      </c>
      <c r="B14" s="7" t="s">
        <v>52</v>
      </c>
      <c r="G14" s="12" t="s">
        <v>31</v>
      </c>
      <c r="H14" s="15">
        <f>8.5*3.6</f>
        <v>30.6</v>
      </c>
      <c r="I14" s="72">
        <f>VLOOKUP(A14,'[1]TAB OGU JUN18'!$A:$G,6,"falso")</f>
        <v>665.83</v>
      </c>
      <c r="J14" s="99">
        <f>VLOOKUP(A14,'[1]TAB OGU JUN18'!$A:$G,4,"falso")</f>
        <v>512.69000000000005</v>
      </c>
      <c r="K14" s="73">
        <f>J14*H14</f>
        <v>15688.314000000002</v>
      </c>
      <c r="L14" s="99">
        <f>VLOOKUP(A14,'[1]TAB OGU JUN18'!$A:$G,5,"falso")</f>
        <v>153.13999999999999</v>
      </c>
      <c r="M14" s="73">
        <f>L14*H14</f>
        <v>4686.0839999999998</v>
      </c>
      <c r="N14" s="14">
        <f t="shared" ref="N14:N19" si="0">H14*I14</f>
        <v>20374.398000000001</v>
      </c>
      <c r="O14" s="25">
        <f t="shared" ref="O14:O19" si="1">(N14*1)/$N$21</f>
        <v>0.29487090946142702</v>
      </c>
    </row>
    <row r="15" spans="1:15" ht="12" customHeight="1" x14ac:dyDescent="0.2">
      <c r="A15" s="8" t="s">
        <v>58</v>
      </c>
      <c r="B15" s="7" t="s">
        <v>53</v>
      </c>
      <c r="G15" s="12" t="s">
        <v>31</v>
      </c>
      <c r="H15" s="15">
        <f>8.54*3.66*1.5</f>
        <v>46.884599999999999</v>
      </c>
      <c r="I15" s="72">
        <f>VLOOKUP(A15,'[1]TAB OGU JUN18'!$A:$G,6,"falso")</f>
        <v>356.36</v>
      </c>
      <c r="J15" s="99">
        <f>VLOOKUP(A15,'[1]TAB OGU JUN18'!$A:$G,4,"falso")</f>
        <v>277.5</v>
      </c>
      <c r="K15" s="73">
        <f t="shared" ref="K15:K19" si="2">J15*H15</f>
        <v>13010.476499999999</v>
      </c>
      <c r="L15" s="99">
        <f>VLOOKUP(A15,'[1]TAB OGU JUN18'!$A:$G,5,"falso")</f>
        <v>78.86</v>
      </c>
      <c r="M15" s="73">
        <f t="shared" ref="M15:M19" si="3">L15*H15</f>
        <v>3697.3195559999999</v>
      </c>
      <c r="N15" s="14">
        <f t="shared" si="0"/>
        <v>16707.796055999999</v>
      </c>
      <c r="O15" s="25">
        <f t="shared" si="1"/>
        <v>0.24180557472808586</v>
      </c>
    </row>
    <row r="16" spans="1:15" ht="12" customHeight="1" x14ac:dyDescent="0.2">
      <c r="A16" s="8" t="s">
        <v>59</v>
      </c>
      <c r="B16" s="7" t="s">
        <v>54</v>
      </c>
      <c r="G16" s="12" t="s">
        <v>31</v>
      </c>
      <c r="H16" s="15">
        <f>7.32*6.1*1.5</f>
        <v>66.978000000000009</v>
      </c>
      <c r="I16" s="72">
        <f>VLOOKUP(A16,'[1]TAB OGU JUN18'!$A:$G,6,"falso")</f>
        <v>214.23</v>
      </c>
      <c r="J16" s="99">
        <f>VLOOKUP(A16,'[1]TAB OGU JUN18'!$A:$G,4,"falso")</f>
        <v>162.87</v>
      </c>
      <c r="K16" s="73">
        <f t="shared" si="2"/>
        <v>10908.706860000002</v>
      </c>
      <c r="L16" s="99">
        <f>VLOOKUP(A16,'[1]TAB OGU JUN18'!$A:$G,5,"falso")</f>
        <v>51.36</v>
      </c>
      <c r="M16" s="73">
        <f t="shared" si="3"/>
        <v>3439.9900800000005</v>
      </c>
      <c r="N16" s="14">
        <f t="shared" si="0"/>
        <v>14348.696940000002</v>
      </c>
      <c r="O16" s="25">
        <f t="shared" si="1"/>
        <v>0.20766323089812005</v>
      </c>
    </row>
    <row r="17" spans="1:15" ht="12" customHeight="1" x14ac:dyDescent="0.2">
      <c r="A17" s="8" t="s">
        <v>60</v>
      </c>
      <c r="B17" s="7" t="s">
        <v>55</v>
      </c>
      <c r="G17" s="12" t="s">
        <v>31</v>
      </c>
      <c r="H17" s="15">
        <f>9*5*1.5</f>
        <v>67.5</v>
      </c>
      <c r="I17" s="72">
        <f>VLOOKUP(A17,'[1]TAB OGU JUN18'!$A:$G,6,"falso")</f>
        <v>101.89</v>
      </c>
      <c r="J17" s="99">
        <f>VLOOKUP(A17,'[1]TAB OGU JUN18'!$A:$G,4,"falso")</f>
        <v>87.41</v>
      </c>
      <c r="K17" s="73">
        <f t="shared" si="2"/>
        <v>5900.1750000000002</v>
      </c>
      <c r="L17" s="99">
        <f>VLOOKUP(A17,'[1]TAB OGU JUN18'!$A:$G,5,"falso")</f>
        <v>14.48</v>
      </c>
      <c r="M17" s="73">
        <f t="shared" si="3"/>
        <v>977.4</v>
      </c>
      <c r="N17" s="14">
        <f t="shared" si="0"/>
        <v>6877.5749999999998</v>
      </c>
      <c r="O17" s="25">
        <f t="shared" si="1"/>
        <v>9.9536525944922336E-2</v>
      </c>
    </row>
    <row r="18" spans="1:15" ht="12" customHeight="1" x14ac:dyDescent="0.2">
      <c r="A18" s="8" t="s">
        <v>61</v>
      </c>
      <c r="B18" s="7" t="s">
        <v>56</v>
      </c>
      <c r="G18" s="12" t="s">
        <v>31</v>
      </c>
      <c r="H18" s="15">
        <f>1.1*0.9*15</f>
        <v>14.850000000000001</v>
      </c>
      <c r="I18" s="72">
        <f>VLOOKUP(A18,'[1]TAB OGU JUN18'!$A:$G,6,"falso")</f>
        <v>436.15</v>
      </c>
      <c r="J18" s="99">
        <f>VLOOKUP(A18,'[1]TAB OGU JUN18'!$A:$G,4,"falso")</f>
        <v>299.08999999999997</v>
      </c>
      <c r="K18" s="73">
        <f t="shared" si="2"/>
        <v>4441.4865</v>
      </c>
      <c r="L18" s="99">
        <f>VLOOKUP(A18,'[1]TAB OGU JUN18'!$A:$G,5,"falso")</f>
        <v>137.06</v>
      </c>
      <c r="M18" s="73">
        <f t="shared" si="3"/>
        <v>2035.3410000000001</v>
      </c>
      <c r="N18" s="14">
        <f t="shared" si="0"/>
        <v>6476.8275000000003</v>
      </c>
      <c r="O18" s="25">
        <f t="shared" si="1"/>
        <v>9.3736659868418226E-2</v>
      </c>
    </row>
    <row r="19" spans="1:15" ht="12" customHeight="1" x14ac:dyDescent="0.2">
      <c r="A19" s="8" t="s">
        <v>62</v>
      </c>
      <c r="B19" s="7" t="s">
        <v>57</v>
      </c>
      <c r="G19" s="12" t="s">
        <v>31</v>
      </c>
      <c r="H19" s="15">
        <f>0.9*0.9*15</f>
        <v>12.15</v>
      </c>
      <c r="I19" s="72">
        <f>VLOOKUP(A19,'[1]TAB OGU JUN18'!$A:$G,6,"falso")</f>
        <v>354.79</v>
      </c>
      <c r="J19" s="99">
        <f>VLOOKUP(A19,'[1]TAB OGU JUN18'!$A:$G,4,"falso")</f>
        <v>255</v>
      </c>
      <c r="K19" s="73">
        <f t="shared" si="2"/>
        <v>3098.25</v>
      </c>
      <c r="L19" s="99">
        <f>VLOOKUP(A19,'[1]TAB OGU JUN18'!$A:$G,5,"falso")</f>
        <v>99.79</v>
      </c>
      <c r="M19" s="73">
        <f t="shared" si="3"/>
        <v>1212.4485000000002</v>
      </c>
      <c r="N19" s="14">
        <f t="shared" si="0"/>
        <v>4310.6985000000004</v>
      </c>
      <c r="O19" s="25">
        <f t="shared" si="1"/>
        <v>6.2387099099026601E-2</v>
      </c>
    </row>
    <row r="20" spans="1:15" ht="12" customHeight="1" x14ac:dyDescent="0.2">
      <c r="G20" s="13"/>
      <c r="H20" s="19"/>
      <c r="I20" s="72"/>
      <c r="J20" s="99"/>
      <c r="K20" s="13"/>
      <c r="L20" s="99"/>
      <c r="M20" s="13"/>
      <c r="N20" s="16"/>
      <c r="O20" s="25"/>
    </row>
    <row r="21" spans="1:15" ht="12" customHeight="1" x14ac:dyDescent="0.2">
      <c r="B21" s="22" t="s">
        <v>18</v>
      </c>
      <c r="C21" s="3"/>
      <c r="D21" s="3"/>
      <c r="E21" s="3"/>
      <c r="F21" s="3"/>
      <c r="G21" s="17"/>
      <c r="H21" s="26"/>
      <c r="I21" s="579"/>
      <c r="J21" s="581"/>
      <c r="K21" s="17"/>
      <c r="L21" s="581"/>
      <c r="M21" s="17"/>
      <c r="N21" s="14">
        <f>SUM(N14:N19)</f>
        <v>69095.991995999997</v>
      </c>
      <c r="O21" s="25">
        <f>N21/N35</f>
        <v>0.97848954142054723</v>
      </c>
    </row>
    <row r="22" spans="1:15" ht="12" customHeight="1" x14ac:dyDescent="0.2">
      <c r="G22" s="13"/>
      <c r="H22" s="27"/>
      <c r="I22" s="72"/>
      <c r="J22" s="99"/>
      <c r="K22" s="13"/>
      <c r="L22" s="99"/>
      <c r="M22" s="13"/>
      <c r="N22" s="13"/>
    </row>
    <row r="23" spans="1:15" ht="12" customHeight="1" x14ac:dyDescent="0.2">
      <c r="A23" s="24" t="s">
        <v>63</v>
      </c>
      <c r="B23" s="7" t="s">
        <v>42</v>
      </c>
      <c r="G23" s="13"/>
      <c r="H23" s="27"/>
      <c r="I23" s="72"/>
      <c r="J23" s="99"/>
      <c r="K23" s="13"/>
      <c r="L23" s="99"/>
      <c r="M23" s="13"/>
      <c r="N23" s="13"/>
    </row>
    <row r="24" spans="1:15" ht="12" customHeight="1" x14ac:dyDescent="0.2">
      <c r="A24" s="24" t="s">
        <v>65</v>
      </c>
      <c r="B24" s="7" t="s">
        <v>66</v>
      </c>
      <c r="G24" s="12" t="s">
        <v>24</v>
      </c>
      <c r="H24" s="15">
        <v>1</v>
      </c>
      <c r="I24" s="72">
        <f>VLOOKUP(A24,'[1]TAB OGU JUN18'!$A:$G,6,"falso")</f>
        <v>1322.28</v>
      </c>
      <c r="J24" s="99">
        <f>VLOOKUP(A24,'[1]TAB OGU JUN18'!$A:$G,4,"falso")</f>
        <v>317.35000000000002</v>
      </c>
      <c r="K24" s="73">
        <f t="shared" ref="K24" si="4">J24*H24</f>
        <v>317.35000000000002</v>
      </c>
      <c r="L24" s="99">
        <f>VLOOKUP(A24,'[1]TAB OGU JUN18'!$A:$G,5,"falso")</f>
        <v>1004.93</v>
      </c>
      <c r="M24" s="73">
        <f>L24*H24</f>
        <v>1004.93</v>
      </c>
      <c r="N24" s="14">
        <f>H24*I24</f>
        <v>1322.28</v>
      </c>
      <c r="O24" s="25">
        <f>N24/N26</f>
        <v>1</v>
      </c>
    </row>
    <row r="25" spans="1:15" ht="12" customHeight="1" x14ac:dyDescent="0.2">
      <c r="G25" s="13"/>
      <c r="H25" s="19"/>
      <c r="I25" s="72"/>
      <c r="J25" s="99"/>
      <c r="K25" s="13"/>
      <c r="L25" s="99"/>
      <c r="M25" s="13"/>
      <c r="N25" s="13"/>
    </row>
    <row r="26" spans="1:15" ht="12" customHeight="1" x14ac:dyDescent="0.2">
      <c r="B26" s="22" t="s">
        <v>18</v>
      </c>
      <c r="C26" s="3"/>
      <c r="D26" s="3"/>
      <c r="E26" s="3"/>
      <c r="F26" s="3"/>
      <c r="G26" s="17"/>
      <c r="H26" s="20"/>
      <c r="I26" s="579"/>
      <c r="J26" s="581"/>
      <c r="K26" s="17"/>
      <c r="L26" s="581"/>
      <c r="M26" s="17"/>
      <c r="N26" s="14">
        <f>N24</f>
        <v>1322.28</v>
      </c>
      <c r="O26" s="25">
        <f>N26/N35</f>
        <v>1.8725212757701809E-2</v>
      </c>
    </row>
    <row r="27" spans="1:15" ht="12" customHeight="1" x14ac:dyDescent="0.2">
      <c r="G27" s="13"/>
      <c r="H27" s="19"/>
      <c r="I27" s="72"/>
      <c r="J27" s="99"/>
      <c r="K27" s="13"/>
      <c r="L27" s="99"/>
      <c r="M27" s="13"/>
      <c r="N27" s="13"/>
    </row>
    <row r="28" spans="1:15" ht="12" customHeight="1" x14ac:dyDescent="0.2">
      <c r="A28" s="24" t="s">
        <v>64</v>
      </c>
      <c r="B28" s="7" t="s">
        <v>43</v>
      </c>
      <c r="G28" s="13"/>
      <c r="H28" s="19"/>
      <c r="I28" s="72"/>
      <c r="J28" s="99"/>
      <c r="K28" s="13"/>
      <c r="L28" s="99"/>
      <c r="M28" s="13"/>
      <c r="N28" s="13"/>
    </row>
    <row r="29" spans="1:15" ht="12" customHeight="1" x14ac:dyDescent="0.2">
      <c r="A29" s="24" t="s">
        <v>67</v>
      </c>
      <c r="B29" s="7" t="s">
        <v>44</v>
      </c>
      <c r="G29" s="12" t="s">
        <v>24</v>
      </c>
      <c r="H29" s="15">
        <v>1</v>
      </c>
      <c r="I29" s="72">
        <f>VLOOKUP(A29,'[1]TAB OGU JUN18'!$A:$G,6,"falso")</f>
        <v>196.68</v>
      </c>
      <c r="J29" s="99"/>
      <c r="K29" s="15"/>
      <c r="L29" s="99">
        <f>VLOOKUP(A29,'[1]TAB OGU JUN18'!$A:$G,5,"falso")</f>
        <v>196.68</v>
      </c>
      <c r="M29" s="73">
        <f>L29*H29</f>
        <v>196.68</v>
      </c>
      <c r="N29" s="14">
        <f>H29*I29</f>
        <v>196.68</v>
      </c>
      <c r="O29" s="18">
        <f>(N29*1)/N29</f>
        <v>1</v>
      </c>
    </row>
    <row r="30" spans="1:15" ht="12" customHeight="1" x14ac:dyDescent="0.2">
      <c r="A30" s="23"/>
      <c r="B30" s="7"/>
      <c r="G30" s="12"/>
      <c r="H30" s="15"/>
      <c r="I30" s="72"/>
      <c r="J30" s="66"/>
      <c r="K30" s="15"/>
      <c r="L30" s="66"/>
      <c r="M30" s="15"/>
      <c r="N30" s="14"/>
      <c r="O30" s="18"/>
    </row>
    <row r="31" spans="1:15" ht="12" customHeight="1" x14ac:dyDescent="0.2">
      <c r="B31" s="22" t="s">
        <v>18</v>
      </c>
      <c r="C31" s="3"/>
      <c r="D31" s="3"/>
      <c r="E31" s="3"/>
      <c r="F31" s="3"/>
      <c r="G31" s="17"/>
      <c r="H31" s="20"/>
      <c r="I31" s="17"/>
      <c r="J31" s="79"/>
      <c r="K31" s="17"/>
      <c r="L31" s="79"/>
      <c r="M31" s="17"/>
      <c r="N31" s="14">
        <f>N29</f>
        <v>196.68</v>
      </c>
      <c r="O31" s="25">
        <f>N31/N35</f>
        <v>2.7852458217509086E-3</v>
      </c>
    </row>
    <row r="32" spans="1:15" ht="12" customHeight="1" x14ac:dyDescent="0.2">
      <c r="A32" s="22"/>
      <c r="G32" s="13"/>
      <c r="H32" s="19"/>
      <c r="I32" s="13"/>
      <c r="J32" s="13"/>
      <c r="K32" s="13"/>
      <c r="L32" s="67"/>
      <c r="M32" s="13"/>
      <c r="N32" s="14"/>
      <c r="O32" s="18"/>
    </row>
    <row r="33" spans="1:15" ht="12" customHeight="1" x14ac:dyDescent="0.2">
      <c r="B33" s="22" t="s">
        <v>20</v>
      </c>
      <c r="C33" s="3"/>
      <c r="D33" s="3"/>
      <c r="E33" s="3"/>
      <c r="F33" s="3"/>
      <c r="G33" s="17"/>
      <c r="H33" s="17"/>
      <c r="I33" s="60"/>
      <c r="J33" s="60"/>
      <c r="K33" s="17"/>
      <c r="L33" s="17"/>
      <c r="M33" s="17"/>
      <c r="N33" s="14">
        <f>N31+N26+N21</f>
        <v>70614.951996000003</v>
      </c>
      <c r="O33" s="25">
        <f>N33/N35</f>
        <v>1</v>
      </c>
    </row>
    <row r="34" spans="1:15" ht="7.5" customHeight="1" x14ac:dyDescent="0.2">
      <c r="G34" s="13"/>
      <c r="H34" s="13"/>
      <c r="I34" s="59"/>
      <c r="J34" s="59"/>
      <c r="K34" s="13"/>
      <c r="L34" s="13"/>
      <c r="M34" s="13"/>
      <c r="N34" s="13"/>
    </row>
    <row r="35" spans="1:15" ht="12" customHeight="1" x14ac:dyDescent="0.2">
      <c r="A35" s="5"/>
      <c r="B35" s="4" t="s">
        <v>30</v>
      </c>
      <c r="C35" s="5"/>
      <c r="D35" s="5"/>
      <c r="E35" s="5"/>
      <c r="F35" s="5"/>
      <c r="G35" s="5"/>
      <c r="H35" s="5"/>
      <c r="I35" s="58"/>
      <c r="J35" s="58"/>
      <c r="K35" s="70">
        <f>SUM(K14:K34)</f>
        <v>53364.758860000009</v>
      </c>
      <c r="L35" s="70"/>
      <c r="M35" s="70">
        <f>SUM(M14:M34)</f>
        <v>17250.193136000002</v>
      </c>
      <c r="N35" s="6">
        <f>N33</f>
        <v>70614.951996000003</v>
      </c>
      <c r="O35" s="29">
        <f>N35/RESUMO!H95</f>
        <v>9.7514471823687485E-3</v>
      </c>
    </row>
    <row r="40" spans="1:15" ht="12" customHeight="1" x14ac:dyDescent="0.2">
      <c r="M40" s="580"/>
    </row>
  </sheetData>
  <mergeCells count="3">
    <mergeCell ref="N4:O4"/>
    <mergeCell ref="A5:B6"/>
    <mergeCell ref="A2:O2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CODES&amp;"MS Sans Serif,Regular"
&amp;"Arial,Normal"&amp;8Rua Camões, 1484 S.11 e 12 - Hugo Lange – CEP 80040-180Fone/Fax: |041| 3363.0775/3262.1288 – Curitiba/PR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ilha4">
    <pageSetUpPr fitToPage="1"/>
  </sheetPr>
  <dimension ref="A1:P27"/>
  <sheetViews>
    <sheetView view="pageBreakPreview" zoomScale="85" zoomScaleNormal="100" zoomScaleSheetLayoutView="85" workbookViewId="0">
      <selection activeCell="M32" sqref="M32"/>
    </sheetView>
  </sheetViews>
  <sheetFormatPr defaultColWidth="11.42578125" defaultRowHeight="12.75" customHeight="1" x14ac:dyDescent="0.2"/>
  <cols>
    <col min="1" max="1" width="11.42578125" customWidth="1"/>
    <col min="6" max="6" width="28.5703125" customWidth="1"/>
    <col min="9" max="9" width="11.42578125" style="57" customWidth="1"/>
    <col min="10" max="10" width="11.42578125" style="57" hidden="1" customWidth="1"/>
    <col min="11" max="11" width="14.28515625" customWidth="1"/>
    <col min="12" max="12" width="11.42578125" hidden="1" customWidth="1"/>
    <col min="13" max="13" width="14.28515625" customWidth="1"/>
    <col min="14" max="14" width="17.140625" customWidth="1"/>
    <col min="15" max="15" width="11.42578125" style="13" customWidth="1"/>
  </cols>
  <sheetData>
    <row r="1" spans="1:15" ht="8.25" customHeight="1" x14ac:dyDescent="0.2"/>
    <row r="2" spans="1:15" ht="12.75" customHeight="1" x14ac:dyDescent="0.2">
      <c r="A2" s="830" t="s">
        <v>39</v>
      </c>
      <c r="B2" s="830"/>
      <c r="C2" s="830"/>
      <c r="D2" s="830"/>
      <c r="E2" s="830"/>
      <c r="F2" s="830"/>
      <c r="G2" s="830"/>
      <c r="H2" s="830"/>
      <c r="I2" s="830"/>
      <c r="J2" s="830"/>
      <c r="K2" s="830"/>
      <c r="L2" s="830"/>
      <c r="M2" s="830"/>
      <c r="N2" s="830"/>
      <c r="O2" s="830"/>
    </row>
    <row r="3" spans="1:15" ht="8.25" customHeight="1" thickBot="1" x14ac:dyDescent="0.25">
      <c r="A3" s="2"/>
      <c r="B3" s="2"/>
      <c r="C3" s="2"/>
      <c r="D3" s="2"/>
      <c r="E3" s="2"/>
      <c r="F3" s="2"/>
      <c r="G3" s="2"/>
      <c r="H3" s="2"/>
      <c r="I3" s="56"/>
      <c r="J3" s="56"/>
      <c r="K3" s="2"/>
      <c r="L3" s="2"/>
      <c r="M3" s="2"/>
      <c r="N3" s="2"/>
      <c r="O3" s="432"/>
    </row>
    <row r="4" spans="1:15" ht="12.75" customHeight="1" thickTop="1" x14ac:dyDescent="0.2">
      <c r="C4" s="36" t="s">
        <v>0</v>
      </c>
      <c r="D4" s="37" t="str">
        <f>RESUMO!D4</f>
        <v>SÃO JOSÉ DAS PALMEIRAS</v>
      </c>
      <c r="E4" s="34"/>
      <c r="F4" s="34"/>
      <c r="G4" s="36" t="s">
        <v>1</v>
      </c>
      <c r="M4" s="38">
        <f ca="1">RESUMO!G4</f>
        <v>43657</v>
      </c>
      <c r="N4" s="826" t="str">
        <f>RESUMO!H4</f>
        <v>BDI Aplicado</v>
      </c>
      <c r="O4" s="827"/>
    </row>
    <row r="5" spans="1:15" ht="12.75" customHeight="1" x14ac:dyDescent="0.2">
      <c r="A5" s="828" t="s">
        <v>193</v>
      </c>
      <c r="B5" s="829"/>
      <c r="C5" s="39" t="s">
        <v>2</v>
      </c>
      <c r="D5" s="37" t="str">
        <f>RESUMO!D5</f>
        <v>SISTEMA DE ESGOTAMENTO SANITARIO - SES</v>
      </c>
      <c r="E5" s="34"/>
      <c r="F5" s="34"/>
      <c r="G5" s="39" t="s">
        <v>3</v>
      </c>
      <c r="M5" s="34"/>
      <c r="N5" s="35" t="str">
        <f>RESUMO!H5</f>
        <v>Serviços</v>
      </c>
      <c r="O5" s="433">
        <f>RESUMO!I5</f>
        <v>0.27579999999999999</v>
      </c>
    </row>
    <row r="6" spans="1:15" ht="12.75" customHeight="1" x14ac:dyDescent="0.2">
      <c r="A6" s="828"/>
      <c r="B6" s="829"/>
      <c r="C6" s="39" t="s">
        <v>4</v>
      </c>
      <c r="D6" s="37"/>
      <c r="E6" s="34"/>
      <c r="F6" s="34"/>
      <c r="G6" s="39" t="s">
        <v>5</v>
      </c>
      <c r="M6" s="34"/>
      <c r="N6" s="35" t="str">
        <f>RESUMO!H6</f>
        <v>Serv Terc:</v>
      </c>
      <c r="O6" s="433">
        <f>RESUMO!I6</f>
        <v>0.1772</v>
      </c>
    </row>
    <row r="7" spans="1:15" ht="12.75" customHeight="1" x14ac:dyDescent="0.2">
      <c r="A7" s="33"/>
      <c r="B7" s="33"/>
      <c r="C7" s="39" t="s">
        <v>6</v>
      </c>
      <c r="D7" s="65" t="str">
        <f>A11</f>
        <v>U.C. : 02</v>
      </c>
      <c r="E7" s="34"/>
      <c r="F7" s="34"/>
      <c r="G7" s="39" t="s">
        <v>9</v>
      </c>
      <c r="M7" s="40" t="str">
        <f>RESUMO!G7</f>
        <v>Jun18 MOS4aEd v00</v>
      </c>
      <c r="N7" s="35" t="str">
        <f>RESUMO!H7</f>
        <v>Mat/Equip:</v>
      </c>
      <c r="O7" s="433">
        <f>RESUMO!I7</f>
        <v>0.1772</v>
      </c>
    </row>
    <row r="8" spans="1:15" ht="12.75" customHeight="1" thickBot="1" x14ac:dyDescent="0.25">
      <c r="A8" s="41"/>
      <c r="B8" s="42"/>
      <c r="C8" s="43" t="s">
        <v>8</v>
      </c>
      <c r="D8" s="44" t="str">
        <f>B11</f>
        <v>PLACA DE OBRA</v>
      </c>
      <c r="E8" s="45"/>
      <c r="F8" s="45"/>
      <c r="G8" s="43"/>
      <c r="H8" s="2"/>
      <c r="I8" s="56"/>
      <c r="J8" s="56"/>
      <c r="K8" s="46"/>
      <c r="L8" s="46"/>
      <c r="M8" s="46"/>
      <c r="N8" s="47"/>
      <c r="O8" s="434"/>
    </row>
    <row r="9" spans="1:15" ht="12.75" customHeight="1" thickTop="1" x14ac:dyDescent="0.2">
      <c r="A9" s="49"/>
      <c r="B9" s="49" t="s">
        <v>10</v>
      </c>
      <c r="C9" s="31"/>
      <c r="D9" s="31"/>
      <c r="E9" s="31"/>
      <c r="F9" s="31"/>
      <c r="G9" s="50" t="s">
        <v>11</v>
      </c>
      <c r="H9" s="50" t="s">
        <v>12</v>
      </c>
      <c r="I9" s="50" t="s">
        <v>13</v>
      </c>
      <c r="J9" s="50"/>
      <c r="K9" s="32" t="s">
        <v>212</v>
      </c>
      <c r="L9" s="32"/>
      <c r="M9" s="32" t="s">
        <v>213</v>
      </c>
      <c r="N9" s="50" t="s">
        <v>14</v>
      </c>
      <c r="O9" s="50" t="s">
        <v>15</v>
      </c>
    </row>
    <row r="10" spans="1:15" ht="8.25" customHeight="1" x14ac:dyDescent="0.2">
      <c r="A10" s="62"/>
      <c r="B10" s="62"/>
      <c r="C10" s="63"/>
      <c r="D10" s="63"/>
      <c r="E10" s="63"/>
      <c r="F10" s="63"/>
      <c r="G10" s="64"/>
      <c r="H10" s="64"/>
      <c r="I10" s="64"/>
      <c r="J10" s="64"/>
      <c r="N10" s="64"/>
      <c r="O10" s="64"/>
    </row>
    <row r="11" spans="1:15" ht="12.75" customHeight="1" x14ac:dyDescent="0.2">
      <c r="A11" s="1" t="str">
        <f>RESUMO!A11</f>
        <v>U.C. : 02</v>
      </c>
      <c r="B11" s="1" t="str">
        <f>RESUMO!B11</f>
        <v>PLACA DE OBRA</v>
      </c>
      <c r="I11"/>
      <c r="J11"/>
    </row>
    <row r="12" spans="1:15" ht="12.75" customHeight="1" x14ac:dyDescent="0.2">
      <c r="A12" s="24" t="s">
        <v>68</v>
      </c>
      <c r="B12" s="7" t="s">
        <v>41</v>
      </c>
      <c r="G12" s="12"/>
      <c r="H12" s="15"/>
      <c r="I12" s="15"/>
      <c r="J12" s="15"/>
      <c r="N12" s="14"/>
      <c r="O12" s="18"/>
    </row>
    <row r="13" spans="1:15" ht="12.75" customHeight="1" x14ac:dyDescent="0.2">
      <c r="A13" s="24" t="s">
        <v>70</v>
      </c>
      <c r="B13" s="7" t="s">
        <v>69</v>
      </c>
      <c r="G13" s="12" t="s">
        <v>31</v>
      </c>
      <c r="H13" s="48">
        <v>12</v>
      </c>
      <c r="I13" s="72">
        <f>VLOOKUP(A13,'[1]TAB OGU JUN18'!$A:$G,6,"falso")</f>
        <v>321.95999999999998</v>
      </c>
      <c r="J13" s="99">
        <f>VLOOKUP(A13,'[1]TAB OGU JUN18'!$A:$G,4,"falso")</f>
        <v>61.17</v>
      </c>
      <c r="K13" s="34">
        <f>H13*J13</f>
        <v>734.04</v>
      </c>
      <c r="L13" s="99">
        <f>VLOOKUP(A13,'[1]TAB OGU JUN18'!$A:$G,5,"falso")</f>
        <v>260.79000000000002</v>
      </c>
      <c r="M13" s="34">
        <f>H13*L13</f>
        <v>3129.4800000000005</v>
      </c>
      <c r="N13" s="14">
        <f>H13*I13</f>
        <v>3863.5199999999995</v>
      </c>
      <c r="O13" s="18">
        <f>N13/N15</f>
        <v>1</v>
      </c>
    </row>
    <row r="14" spans="1:15" ht="12.75" customHeight="1" x14ac:dyDescent="0.2">
      <c r="G14" s="13"/>
      <c r="H14" s="27"/>
      <c r="I14" s="27"/>
      <c r="J14" s="27"/>
      <c r="K14" s="13"/>
      <c r="L14" s="13"/>
      <c r="M14" s="13"/>
      <c r="N14" s="13"/>
    </row>
    <row r="15" spans="1:15" ht="12.75" customHeight="1" x14ac:dyDescent="0.2">
      <c r="B15" s="22" t="s">
        <v>18</v>
      </c>
      <c r="C15" s="3"/>
      <c r="D15" s="3"/>
      <c r="E15" s="3"/>
      <c r="F15" s="3"/>
      <c r="G15" s="17"/>
      <c r="H15" s="26"/>
      <c r="I15" s="26"/>
      <c r="J15" s="26"/>
      <c r="K15" s="17"/>
      <c r="L15" s="17"/>
      <c r="M15" s="17"/>
      <c r="N15" s="14">
        <f>N13</f>
        <v>3863.5199999999995</v>
      </c>
      <c r="O15" s="25">
        <f>N15/N19</f>
        <v>1</v>
      </c>
    </row>
    <row r="16" spans="1:15" ht="12.75" customHeight="1" x14ac:dyDescent="0.2">
      <c r="G16" s="13"/>
      <c r="H16" s="13"/>
      <c r="I16" s="59"/>
      <c r="J16" s="59"/>
      <c r="K16" s="13"/>
      <c r="L16" s="13"/>
      <c r="M16" s="13"/>
      <c r="N16" s="13"/>
      <c r="O16" s="28"/>
    </row>
    <row r="17" spans="1:16" ht="12.75" customHeight="1" x14ac:dyDescent="0.2">
      <c r="B17" s="22" t="s">
        <v>20</v>
      </c>
      <c r="C17" s="3"/>
      <c r="D17" s="3"/>
      <c r="E17" s="3"/>
      <c r="F17" s="3"/>
      <c r="G17" s="17"/>
      <c r="H17" s="17"/>
      <c r="I17" s="60"/>
      <c r="J17" s="60"/>
      <c r="K17" s="17"/>
      <c r="L17" s="17"/>
      <c r="M17" s="17"/>
      <c r="N17" s="14">
        <f>N15</f>
        <v>3863.5199999999995</v>
      </c>
      <c r="O17" s="25">
        <f>N17/N19</f>
        <v>1</v>
      </c>
    </row>
    <row r="18" spans="1:16" ht="8.25" customHeight="1" x14ac:dyDescent="0.2">
      <c r="G18" s="13"/>
      <c r="H18" s="13"/>
      <c r="I18" s="59"/>
      <c r="J18" s="59"/>
      <c r="K18" s="13"/>
      <c r="L18" s="13"/>
      <c r="M18" s="13"/>
      <c r="N18" s="13"/>
    </row>
    <row r="19" spans="1:16" ht="12.75" customHeight="1" x14ac:dyDescent="0.2">
      <c r="A19" s="5"/>
      <c r="B19" s="4" t="s">
        <v>30</v>
      </c>
      <c r="C19" s="5"/>
      <c r="D19" s="5"/>
      <c r="E19" s="5"/>
      <c r="F19" s="5"/>
      <c r="G19" s="5"/>
      <c r="H19" s="5"/>
      <c r="I19" s="58"/>
      <c r="J19" s="58"/>
      <c r="K19" s="71">
        <f>SUM(K13)</f>
        <v>734.04</v>
      </c>
      <c r="L19" s="71"/>
      <c r="M19" s="71">
        <f>SUM(M13)</f>
        <v>3129.4800000000005</v>
      </c>
      <c r="N19" s="6">
        <f>N17</f>
        <v>3863.5199999999995</v>
      </c>
      <c r="O19" s="29">
        <f>N19/RESUMO!H95</f>
        <v>5.3352597648383875E-4</v>
      </c>
      <c r="P19" s="21"/>
    </row>
    <row r="20" spans="1:16" ht="12.75" customHeight="1" x14ac:dyDescent="0.2">
      <c r="P20" s="21"/>
    </row>
    <row r="27" spans="1:16" ht="12.75" customHeight="1" x14ac:dyDescent="0.2">
      <c r="M27" s="231"/>
    </row>
  </sheetData>
  <mergeCells count="3">
    <mergeCell ref="N4:O4"/>
    <mergeCell ref="A5:B6"/>
    <mergeCell ref="A2:O2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Planilha5">
    <pageSetUpPr fitToPage="1"/>
  </sheetPr>
  <dimension ref="A1:L41"/>
  <sheetViews>
    <sheetView view="pageBreakPreview" topLeftCell="A16" zoomScaleNormal="100" zoomScaleSheetLayoutView="100" workbookViewId="0">
      <selection activeCell="H54" sqref="H54"/>
    </sheetView>
  </sheetViews>
  <sheetFormatPr defaultColWidth="11.42578125" defaultRowHeight="12.75" customHeight="1" x14ac:dyDescent="0.2"/>
  <cols>
    <col min="1" max="5" width="11.5703125" customWidth="1"/>
    <col min="6" max="6" width="28.5703125" customWidth="1"/>
    <col min="7" max="7" width="11.5703125" customWidth="1"/>
    <col min="8" max="8" width="18.7109375" customWidth="1"/>
    <col min="9" max="9" width="18.7109375" style="57" customWidth="1"/>
    <col min="10" max="10" width="22.85546875" customWidth="1"/>
    <col min="11" max="11" width="18.7109375" style="13" customWidth="1"/>
  </cols>
  <sheetData>
    <row r="1" spans="1:12" ht="8.25" customHeight="1" x14ac:dyDescent="0.2"/>
    <row r="2" spans="1:12" ht="12.75" customHeight="1" x14ac:dyDescent="0.2">
      <c r="A2" s="830" t="s">
        <v>39</v>
      </c>
      <c r="B2" s="830"/>
      <c r="C2" s="830"/>
      <c r="D2" s="830"/>
      <c r="E2" s="830"/>
      <c r="F2" s="830"/>
      <c r="G2" s="830"/>
      <c r="H2" s="830"/>
      <c r="I2" s="830"/>
      <c r="J2" s="830"/>
      <c r="K2" s="830"/>
    </row>
    <row r="3" spans="1:12" ht="8.25" customHeight="1" thickBot="1" x14ac:dyDescent="0.25">
      <c r="A3" s="2"/>
      <c r="B3" s="2"/>
      <c r="C3" s="2"/>
      <c r="D3" s="2"/>
      <c r="E3" s="2"/>
      <c r="F3" s="2"/>
      <c r="G3" s="2"/>
      <c r="H3" s="2"/>
      <c r="I3" s="56"/>
      <c r="J3" s="2"/>
      <c r="K3" s="432"/>
    </row>
    <row r="4" spans="1:12" ht="12.75" customHeight="1" thickTop="1" x14ac:dyDescent="0.2">
      <c r="C4" s="36" t="s">
        <v>0</v>
      </c>
      <c r="D4" s="37" t="str">
        <f>RESUMO!D4</f>
        <v>SÃO JOSÉ DAS PALMEIRAS</v>
      </c>
      <c r="E4" s="34"/>
      <c r="F4" s="34"/>
      <c r="G4" s="36" t="s">
        <v>1</v>
      </c>
      <c r="H4" s="242"/>
      <c r="I4" s="38">
        <f ca="1">RESUMO!G4</f>
        <v>43657</v>
      </c>
      <c r="J4" s="826" t="str">
        <f>RESUMO!H5</f>
        <v>Serviços</v>
      </c>
      <c r="K4" s="827"/>
    </row>
    <row r="5" spans="1:12" ht="12.75" customHeight="1" x14ac:dyDescent="0.2">
      <c r="A5" s="828" t="s">
        <v>193</v>
      </c>
      <c r="B5" s="829"/>
      <c r="C5" s="39" t="s">
        <v>2</v>
      </c>
      <c r="D5" s="37" t="str">
        <f>RESUMO!D5</f>
        <v>SISTEMA DE ESGOTAMENTO SANITARIO - SES</v>
      </c>
      <c r="E5" s="34"/>
      <c r="F5" s="34"/>
      <c r="G5" s="39" t="s">
        <v>3</v>
      </c>
      <c r="H5" s="242"/>
      <c r="I5" s="34"/>
      <c r="J5" s="35" t="s">
        <v>195</v>
      </c>
      <c r="K5" s="435">
        <f>'02'!O5</f>
        <v>0.27579999999999999</v>
      </c>
    </row>
    <row r="6" spans="1:12" ht="12.75" customHeight="1" x14ac:dyDescent="0.2">
      <c r="A6" s="828"/>
      <c r="B6" s="829"/>
      <c r="C6" s="39" t="s">
        <v>4</v>
      </c>
      <c r="D6" s="37"/>
      <c r="E6" s="34"/>
      <c r="F6" s="34"/>
      <c r="G6" s="39" t="s">
        <v>5</v>
      </c>
      <c r="H6" s="242"/>
      <c r="I6" s="34"/>
      <c r="J6" s="35" t="s">
        <v>262</v>
      </c>
      <c r="K6" s="435">
        <f>'02'!O6</f>
        <v>0.1772</v>
      </c>
    </row>
    <row r="7" spans="1:12" ht="12.75" customHeight="1" x14ac:dyDescent="0.2">
      <c r="A7" s="33"/>
      <c r="B7" s="33"/>
      <c r="C7" s="39" t="s">
        <v>6</v>
      </c>
      <c r="D7" s="65" t="str">
        <f>A12</f>
        <v>U.C. : 03</v>
      </c>
      <c r="E7" s="34"/>
      <c r="F7" s="34"/>
      <c r="G7" s="39" t="s">
        <v>9</v>
      </c>
      <c r="H7" s="242"/>
      <c r="I7" s="100" t="str">
        <f>RESUMO!G7</f>
        <v>Jun18 MOS4aEd v00</v>
      </c>
      <c r="J7" s="35" t="s">
        <v>196</v>
      </c>
      <c r="K7" s="435">
        <f>'02'!O7</f>
        <v>0.1772</v>
      </c>
    </row>
    <row r="8" spans="1:12" ht="12.75" customHeight="1" x14ac:dyDescent="0.2">
      <c r="A8" s="33"/>
      <c r="B8" s="33"/>
      <c r="C8" s="39" t="s">
        <v>8</v>
      </c>
      <c r="D8" s="37" t="str">
        <f>B12</f>
        <v>ADMINISTRAÇÃO LOCAL DA OBRA</v>
      </c>
      <c r="E8" s="34"/>
      <c r="F8" s="34"/>
      <c r="G8" s="39"/>
      <c r="H8" s="242"/>
      <c r="I8" s="453" t="s">
        <v>774</v>
      </c>
      <c r="J8" s="35"/>
      <c r="K8" s="435"/>
    </row>
    <row r="9" spans="1:12" ht="12.75" customHeight="1" thickBot="1" x14ac:dyDescent="0.25">
      <c r="A9" s="91"/>
      <c r="B9" s="92"/>
      <c r="C9" s="43"/>
      <c r="D9" s="44"/>
      <c r="E9" s="45"/>
      <c r="F9" s="45"/>
      <c r="G9" s="43"/>
      <c r="H9" s="243"/>
      <c r="I9" s="454" t="s">
        <v>776</v>
      </c>
      <c r="J9" s="47"/>
      <c r="K9" s="434"/>
    </row>
    <row r="10" spans="1:12" ht="12.75" customHeight="1" thickTop="1" x14ac:dyDescent="0.2">
      <c r="A10" s="30"/>
      <c r="B10" s="30" t="s">
        <v>10</v>
      </c>
      <c r="C10" s="31"/>
      <c r="D10" s="31"/>
      <c r="E10" s="31"/>
      <c r="F10" s="31"/>
      <c r="G10" s="32" t="s">
        <v>11</v>
      </c>
      <c r="H10" s="32" t="s">
        <v>249</v>
      </c>
      <c r="I10" s="32" t="s">
        <v>250</v>
      </c>
      <c r="J10" s="32" t="s">
        <v>14</v>
      </c>
      <c r="K10" s="50" t="s">
        <v>15</v>
      </c>
    </row>
    <row r="11" spans="1:12" ht="8.25" customHeight="1" x14ac:dyDescent="0.2">
      <c r="A11" s="75"/>
      <c r="B11" s="75"/>
      <c r="C11" s="63"/>
      <c r="D11" s="63"/>
      <c r="E11" s="63"/>
      <c r="F11" s="63"/>
      <c r="G11" s="82"/>
      <c r="H11" s="69"/>
      <c r="I11" s="82"/>
      <c r="J11" s="82"/>
    </row>
    <row r="12" spans="1:12" ht="12.75" customHeight="1" x14ac:dyDescent="0.2">
      <c r="A12" s="1" t="str">
        <f>RESUMO!A12</f>
        <v>U.C. : 03</v>
      </c>
      <c r="B12" s="1" t="str">
        <f>RESUMO!B12</f>
        <v>ADMINISTRAÇÃO LOCAL DA OBRA</v>
      </c>
      <c r="H12" s="51"/>
      <c r="I12"/>
    </row>
    <row r="13" spans="1:12" s="74" customFormat="1" ht="12.75" customHeight="1" x14ac:dyDescent="0.2">
      <c r="A13" s="1"/>
      <c r="B13" s="1" t="s">
        <v>40</v>
      </c>
      <c r="G13" s="80"/>
      <c r="H13" s="81"/>
      <c r="I13" s="80"/>
      <c r="J13" s="80"/>
      <c r="K13" s="80"/>
    </row>
    <row r="14" spans="1:12" s="86" customFormat="1" ht="12.75" customHeight="1" x14ac:dyDescent="0.2">
      <c r="A14" s="1"/>
      <c r="B14" s="1" t="s">
        <v>233</v>
      </c>
      <c r="C14" s="74"/>
      <c r="D14" s="74"/>
      <c r="E14" s="74"/>
      <c r="F14" s="74"/>
      <c r="G14" s="82"/>
      <c r="H14" s="84"/>
      <c r="I14" s="76"/>
      <c r="J14" s="76"/>
      <c r="K14" s="87"/>
      <c r="L14" s="85"/>
    </row>
    <row r="15" spans="1:12" s="54" customFormat="1" ht="12.75" customHeight="1" x14ac:dyDescent="0.2">
      <c r="A15" s="7" t="s">
        <v>759</v>
      </c>
      <c r="B15" s="88" t="s">
        <v>756</v>
      </c>
      <c r="C15"/>
      <c r="D15"/>
      <c r="E15"/>
      <c r="F15"/>
      <c r="G15" s="97" t="s">
        <v>123</v>
      </c>
      <c r="H15" s="72">
        <v>15.94</v>
      </c>
      <c r="I15" s="15">
        <v>12</v>
      </c>
      <c r="J15" s="87">
        <f>H15*I15</f>
        <v>191.28</v>
      </c>
      <c r="K15" s="244">
        <f>J15/$J$37</f>
        <v>1.6110570666936185E-2</v>
      </c>
      <c r="L15" s="55">
        <v>253</v>
      </c>
    </row>
    <row r="16" spans="1:12" s="54" customFormat="1" ht="12.75" customHeight="1" x14ac:dyDescent="0.2">
      <c r="A16" s="1"/>
      <c r="B16" s="93" t="s">
        <v>235</v>
      </c>
      <c r="C16"/>
      <c r="D16"/>
      <c r="E16"/>
      <c r="F16"/>
      <c r="G16" s="97"/>
      <c r="H16" s="72"/>
      <c r="I16" s="15"/>
      <c r="J16" s="87"/>
      <c r="K16" s="244"/>
      <c r="L16" s="55"/>
    </row>
    <row r="17" spans="1:12" s="54" customFormat="1" ht="12.75" customHeight="1" x14ac:dyDescent="0.2">
      <c r="A17" s="7" t="s">
        <v>760</v>
      </c>
      <c r="B17" s="88" t="s">
        <v>747</v>
      </c>
      <c r="C17"/>
      <c r="D17"/>
      <c r="E17"/>
      <c r="F17"/>
      <c r="G17" s="97" t="s">
        <v>123</v>
      </c>
      <c r="H17" s="72">
        <v>16.05</v>
      </c>
      <c r="I17" s="15">
        <f>140*1</f>
        <v>140</v>
      </c>
      <c r="J17" s="87">
        <f t="shared" ref="J17:J34" si="0">H17*I17</f>
        <v>2247</v>
      </c>
      <c r="K17" s="244">
        <f>J17/$J$37</f>
        <v>0.18925372380074032</v>
      </c>
      <c r="L17" s="55">
        <v>41776</v>
      </c>
    </row>
    <row r="18" spans="1:12" s="86" customFormat="1" ht="12.75" customHeight="1" x14ac:dyDescent="0.2">
      <c r="A18" s="1"/>
      <c r="B18" s="93" t="s">
        <v>234</v>
      </c>
      <c r="C18" s="74"/>
      <c r="D18" s="74"/>
      <c r="E18" s="74"/>
      <c r="F18" s="74"/>
      <c r="G18" s="69"/>
      <c r="H18" s="72"/>
      <c r="I18" s="83"/>
      <c r="J18" s="87"/>
      <c r="K18" s="244"/>
      <c r="L18" s="85"/>
    </row>
    <row r="19" spans="1:12" s="54" customFormat="1" ht="12.75" customHeight="1" x14ac:dyDescent="0.2">
      <c r="A19" s="7" t="s">
        <v>761</v>
      </c>
      <c r="B19" s="88" t="s">
        <v>743</v>
      </c>
      <c r="C19"/>
      <c r="D19"/>
      <c r="E19"/>
      <c r="F19"/>
      <c r="G19" s="97" t="s">
        <v>123</v>
      </c>
      <c r="H19" s="72">
        <v>73.19</v>
      </c>
      <c r="I19" s="15">
        <v>6</v>
      </c>
      <c r="J19" s="87">
        <f t="shared" si="0"/>
        <v>439.14</v>
      </c>
      <c r="K19" s="244">
        <f>J19/$J$37</f>
        <v>3.6986595580710775E-2</v>
      </c>
      <c r="L19" s="55">
        <v>2706</v>
      </c>
    </row>
    <row r="20" spans="1:12" s="54" customFormat="1" ht="12.75" customHeight="1" x14ac:dyDescent="0.2">
      <c r="A20" s="7" t="s">
        <v>762</v>
      </c>
      <c r="B20" s="88" t="s">
        <v>742</v>
      </c>
      <c r="C20"/>
      <c r="D20"/>
      <c r="E20"/>
      <c r="F20"/>
      <c r="G20" s="97" t="s">
        <v>123</v>
      </c>
      <c r="H20" s="72">
        <v>113.88</v>
      </c>
      <c r="I20" s="15">
        <v>6</v>
      </c>
      <c r="J20" s="87">
        <f>H20*I20</f>
        <v>683.28</v>
      </c>
      <c r="K20" s="244">
        <f>J20/$J$37</f>
        <v>5.7549303248139672E-2</v>
      </c>
      <c r="L20" s="55">
        <v>2708</v>
      </c>
    </row>
    <row r="21" spans="1:12" s="54" customFormat="1" ht="12.75" customHeight="1" x14ac:dyDescent="0.2">
      <c r="A21" s="7" t="s">
        <v>763</v>
      </c>
      <c r="B21" s="88" t="s">
        <v>744</v>
      </c>
      <c r="C21"/>
      <c r="D21"/>
      <c r="E21"/>
      <c r="F21"/>
      <c r="G21" s="97" t="s">
        <v>123</v>
      </c>
      <c r="H21" s="72">
        <v>41.98</v>
      </c>
      <c r="I21" s="15">
        <v>8</v>
      </c>
      <c r="J21" s="87">
        <f t="shared" si="0"/>
        <v>335.84</v>
      </c>
      <c r="K21" s="244">
        <f>J21/$J$37</f>
        <v>2.8286146239982476E-2</v>
      </c>
      <c r="L21" s="55">
        <v>4069</v>
      </c>
    </row>
    <row r="22" spans="1:12" s="54" customFormat="1" ht="12.75" customHeight="1" x14ac:dyDescent="0.2">
      <c r="A22" s="7"/>
      <c r="B22" s="88"/>
      <c r="C22"/>
      <c r="D22"/>
      <c r="E22"/>
      <c r="F22"/>
      <c r="G22" s="97"/>
      <c r="H22" s="72"/>
      <c r="I22" s="15"/>
      <c r="J22" s="87"/>
      <c r="K22" s="244"/>
      <c r="L22" s="55"/>
    </row>
    <row r="23" spans="1:12" s="54" customFormat="1" ht="12.75" customHeight="1" x14ac:dyDescent="0.2">
      <c r="A23" s="7"/>
      <c r="B23" s="93" t="s">
        <v>238</v>
      </c>
      <c r="C23"/>
      <c r="D23"/>
      <c r="E23"/>
      <c r="F23"/>
      <c r="G23" s="97"/>
      <c r="H23" s="72"/>
      <c r="I23" s="15"/>
      <c r="J23" s="87"/>
      <c r="K23" s="244"/>
      <c r="L23" s="55"/>
    </row>
    <row r="24" spans="1:12" s="54" customFormat="1" ht="12.75" customHeight="1" x14ac:dyDescent="0.2">
      <c r="A24" s="7"/>
      <c r="B24" s="93" t="s">
        <v>239</v>
      </c>
      <c r="C24"/>
      <c r="D24"/>
      <c r="E24"/>
      <c r="F24"/>
      <c r="G24" s="97"/>
      <c r="H24" s="72"/>
      <c r="I24" s="15"/>
      <c r="J24" s="87"/>
      <c r="K24" s="244"/>
      <c r="L24" s="55"/>
    </row>
    <row r="25" spans="1:12" s="54" customFormat="1" ht="12.75" customHeight="1" x14ac:dyDescent="0.2">
      <c r="A25" s="7" t="s">
        <v>545</v>
      </c>
      <c r="B25" s="88" t="s">
        <v>251</v>
      </c>
      <c r="C25"/>
      <c r="D25"/>
      <c r="E25"/>
      <c r="F25"/>
      <c r="G25" s="97" t="s">
        <v>237</v>
      </c>
      <c r="H25" s="72">
        <v>150</v>
      </c>
      <c r="I25" s="15">
        <v>1</v>
      </c>
      <c r="J25" s="87">
        <f t="shared" si="0"/>
        <v>150</v>
      </c>
      <c r="K25" s="244">
        <f t="shared" ref="K25:K31" si="1">J25/$J$37</f>
        <v>1.2633759933293747E-2</v>
      </c>
      <c r="L25" s="55"/>
    </row>
    <row r="26" spans="1:12" s="54" customFormat="1" ht="12.75" customHeight="1" x14ac:dyDescent="0.2">
      <c r="A26" s="7" t="s">
        <v>764</v>
      </c>
      <c r="B26" s="88" t="s">
        <v>745</v>
      </c>
      <c r="C26"/>
      <c r="D26"/>
      <c r="E26"/>
      <c r="F26"/>
      <c r="G26" s="97" t="s">
        <v>746</v>
      </c>
      <c r="H26" s="72">
        <v>0.79</v>
      </c>
      <c r="I26" s="15">
        <v>290</v>
      </c>
      <c r="J26" s="87">
        <f t="shared" si="0"/>
        <v>229.10000000000002</v>
      </c>
      <c r="K26" s="244">
        <f t="shared" si="1"/>
        <v>1.9295962671450652E-2</v>
      </c>
      <c r="L26" s="55">
        <v>14250</v>
      </c>
    </row>
    <row r="27" spans="1:12" s="54" customFormat="1" ht="12.75" customHeight="1" x14ac:dyDescent="0.2">
      <c r="A27" s="7" t="s">
        <v>545</v>
      </c>
      <c r="B27" s="88" t="s">
        <v>240</v>
      </c>
      <c r="C27"/>
      <c r="D27"/>
      <c r="E27"/>
      <c r="F27"/>
      <c r="G27" s="97" t="s">
        <v>237</v>
      </c>
      <c r="H27" s="72">
        <v>132.72</v>
      </c>
      <c r="I27" s="15">
        <v>1</v>
      </c>
      <c r="J27" s="87">
        <f t="shared" si="0"/>
        <v>132.72</v>
      </c>
      <c r="K27" s="244">
        <f t="shared" si="1"/>
        <v>1.1178350788978306E-2</v>
      </c>
      <c r="L27" s="55"/>
    </row>
    <row r="28" spans="1:12" s="54" customFormat="1" ht="12.75" customHeight="1" x14ac:dyDescent="0.2">
      <c r="A28" s="7" t="s">
        <v>545</v>
      </c>
      <c r="B28" s="88" t="s">
        <v>252</v>
      </c>
      <c r="C28"/>
      <c r="D28"/>
      <c r="E28"/>
      <c r="F28"/>
      <c r="G28" s="97" t="s">
        <v>237</v>
      </c>
      <c r="H28" s="72">
        <v>650</v>
      </c>
      <c r="I28" s="15">
        <v>1</v>
      </c>
      <c r="J28" s="87">
        <f t="shared" si="0"/>
        <v>650</v>
      </c>
      <c r="K28" s="244">
        <f t="shared" si="1"/>
        <v>5.4746293044272899E-2</v>
      </c>
      <c r="L28" s="55"/>
    </row>
    <row r="29" spans="1:12" s="54" customFormat="1" ht="12.75" customHeight="1" x14ac:dyDescent="0.2">
      <c r="A29" s="7" t="s">
        <v>766</v>
      </c>
      <c r="B29" s="88" t="s">
        <v>253</v>
      </c>
      <c r="C29"/>
      <c r="D29"/>
      <c r="E29"/>
      <c r="F29"/>
      <c r="G29" s="97" t="s">
        <v>237</v>
      </c>
      <c r="H29" s="72">
        <v>527.77</v>
      </c>
      <c r="I29" s="15">
        <v>6</v>
      </c>
      <c r="J29" s="87">
        <f t="shared" si="0"/>
        <v>3166.62</v>
      </c>
      <c r="K29" s="244">
        <f t="shared" si="1"/>
        <v>0.26670877919977765</v>
      </c>
      <c r="L29" s="55">
        <v>40862</v>
      </c>
    </row>
    <row r="30" spans="1:12" s="54" customFormat="1" ht="12.75" customHeight="1" x14ac:dyDescent="0.2">
      <c r="A30" s="7" t="s">
        <v>765</v>
      </c>
      <c r="B30" s="88" t="s">
        <v>254</v>
      </c>
      <c r="C30"/>
      <c r="D30"/>
      <c r="E30"/>
      <c r="F30"/>
      <c r="G30" s="97" t="s">
        <v>237</v>
      </c>
      <c r="H30" s="72">
        <v>126.77</v>
      </c>
      <c r="I30" s="15">
        <v>6</v>
      </c>
      <c r="J30" s="87">
        <f t="shared" si="0"/>
        <v>760.62</v>
      </c>
      <c r="K30" s="244">
        <f t="shared" si="1"/>
        <v>6.4063269869745934E-2</v>
      </c>
      <c r="L30" s="55">
        <v>40861</v>
      </c>
    </row>
    <row r="31" spans="1:12" s="54" customFormat="1" ht="12.75" customHeight="1" x14ac:dyDescent="0.2">
      <c r="A31" s="7" t="s">
        <v>767</v>
      </c>
      <c r="B31" s="88" t="s">
        <v>255</v>
      </c>
      <c r="C31"/>
      <c r="D31"/>
      <c r="E31"/>
      <c r="F31"/>
      <c r="G31" s="97" t="s">
        <v>768</v>
      </c>
      <c r="H31" s="72">
        <v>3.23</v>
      </c>
      <c r="I31" s="15">
        <v>325</v>
      </c>
      <c r="J31" s="87">
        <f t="shared" si="0"/>
        <v>1049.75</v>
      </c>
      <c r="K31" s="244">
        <f t="shared" si="1"/>
        <v>8.8415263266500732E-2</v>
      </c>
      <c r="L31" s="55">
        <v>4221</v>
      </c>
    </row>
    <row r="32" spans="1:12" s="54" customFormat="1" ht="12.75" customHeight="1" x14ac:dyDescent="0.2">
      <c r="A32" s="7"/>
      <c r="B32" s="88"/>
      <c r="C32"/>
      <c r="D32"/>
      <c r="E32"/>
      <c r="F32"/>
      <c r="G32" s="97"/>
      <c r="H32" s="72"/>
      <c r="I32" s="15"/>
      <c r="J32" s="87"/>
      <c r="K32" s="244"/>
      <c r="L32" s="55"/>
    </row>
    <row r="33" spans="1:12" s="54" customFormat="1" ht="12.75" customHeight="1" x14ac:dyDescent="0.2">
      <c r="A33" s="1"/>
      <c r="B33" s="93" t="s">
        <v>236</v>
      </c>
      <c r="C33"/>
      <c r="D33"/>
      <c r="E33"/>
      <c r="F33"/>
      <c r="G33" s="97"/>
      <c r="H33" s="72"/>
      <c r="I33" s="15"/>
      <c r="J33" s="87"/>
      <c r="K33" s="244"/>
      <c r="L33" s="55"/>
    </row>
    <row r="34" spans="1:12" s="54" customFormat="1" ht="12.75" customHeight="1" x14ac:dyDescent="0.2">
      <c r="A34" s="24" t="s">
        <v>769</v>
      </c>
      <c r="B34" s="88" t="s">
        <v>256</v>
      </c>
      <c r="C34"/>
      <c r="D34"/>
      <c r="E34"/>
      <c r="F34"/>
      <c r="G34" s="97" t="s">
        <v>237</v>
      </c>
      <c r="H34" s="72">
        <v>22.97</v>
      </c>
      <c r="I34" s="15">
        <v>80</v>
      </c>
      <c r="J34" s="87">
        <f t="shared" si="0"/>
        <v>1837.6</v>
      </c>
      <c r="K34" s="244">
        <f>J34/$J$37</f>
        <v>0.15477198168947059</v>
      </c>
      <c r="L34" s="55"/>
    </row>
    <row r="35" spans="1:12" ht="12.75" customHeight="1" x14ac:dyDescent="0.2">
      <c r="G35" s="13"/>
      <c r="H35" s="59"/>
      <c r="I35" s="13"/>
      <c r="J35" s="13"/>
      <c r="K35" s="87"/>
    </row>
    <row r="36" spans="1:12" ht="8.25" customHeight="1" x14ac:dyDescent="0.2">
      <c r="A36" s="245"/>
      <c r="B36" s="245"/>
      <c r="C36" s="245"/>
      <c r="D36" s="245"/>
      <c r="E36" s="245"/>
      <c r="F36" s="245"/>
      <c r="G36" s="246"/>
      <c r="H36" s="247"/>
      <c r="I36" s="246"/>
      <c r="J36" s="246"/>
      <c r="K36" s="248"/>
    </row>
    <row r="37" spans="1:12" ht="12.75" customHeight="1" x14ac:dyDescent="0.2">
      <c r="B37" s="75" t="s">
        <v>257</v>
      </c>
      <c r="G37" s="82" t="s">
        <v>625</v>
      </c>
      <c r="H37" s="57"/>
      <c r="I37" s="94"/>
      <c r="J37" s="249">
        <f>SUM(J15:J35)</f>
        <v>11872.95</v>
      </c>
      <c r="K37" s="76"/>
      <c r="L37" s="21"/>
    </row>
    <row r="38" spans="1:12" ht="12.75" customHeight="1" x14ac:dyDescent="0.2">
      <c r="B38" s="75" t="s">
        <v>258</v>
      </c>
      <c r="G38" s="82" t="s">
        <v>625</v>
      </c>
      <c r="H38" s="57"/>
      <c r="I38" s="94"/>
      <c r="J38" s="249">
        <f>J37+(K5*J37)</f>
        <v>15147.509610000001</v>
      </c>
      <c r="K38" s="76"/>
      <c r="L38" s="21"/>
    </row>
    <row r="39" spans="1:12" ht="12.75" customHeight="1" x14ac:dyDescent="0.2">
      <c r="B39" s="75" t="s">
        <v>259</v>
      </c>
      <c r="G39" s="82" t="s">
        <v>237</v>
      </c>
      <c r="H39" s="57"/>
      <c r="I39" s="94"/>
      <c r="J39" s="249">
        <v>12</v>
      </c>
      <c r="K39" s="76"/>
      <c r="L39" s="21"/>
    </row>
    <row r="40" spans="1:12" ht="12.75" customHeight="1" x14ac:dyDescent="0.2">
      <c r="A40" s="5"/>
      <c r="B40" s="95" t="s">
        <v>30</v>
      </c>
      <c r="C40" s="5"/>
      <c r="D40" s="5"/>
      <c r="E40" s="5"/>
      <c r="F40" s="250"/>
      <c r="G40" s="251"/>
      <c r="H40" s="58"/>
      <c r="I40" s="71"/>
      <c r="J40" s="96">
        <f>J39*J38</f>
        <v>181770.11532000001</v>
      </c>
      <c r="K40" s="29">
        <f>J40/RESUMO!H95</f>
        <v>2.5101223307161087E-2</v>
      </c>
      <c r="L40" s="21"/>
    </row>
    <row r="41" spans="1:12" ht="12.75" customHeight="1" x14ac:dyDescent="0.2">
      <c r="L41" s="21"/>
    </row>
  </sheetData>
  <mergeCells count="3">
    <mergeCell ref="A2:K2"/>
    <mergeCell ref="J4:K4"/>
    <mergeCell ref="A5:B6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rowBreaks count="1" manualBreakCount="1">
    <brk id="12" max="12" man="1"/>
  </rowBreaks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4">
    <tabColor theme="6" tint="0.39997558519241921"/>
    <pageSetUpPr fitToPage="1"/>
  </sheetPr>
  <dimension ref="A1:Y198"/>
  <sheetViews>
    <sheetView view="pageBreakPreview" zoomScale="80" zoomScaleNormal="90" zoomScaleSheetLayoutView="80" workbookViewId="0">
      <selection activeCell="S31" sqref="S31"/>
    </sheetView>
  </sheetViews>
  <sheetFormatPr defaultColWidth="11.42578125" defaultRowHeight="12" customHeight="1" x14ac:dyDescent="0.2"/>
  <cols>
    <col min="1" max="5" width="11.42578125" style="51"/>
    <col min="6" max="6" width="28.5703125" style="51" customWidth="1"/>
    <col min="7" max="7" width="11.42578125" style="51"/>
    <col min="8" max="9" width="11.42578125" style="51" customWidth="1"/>
    <col min="10" max="10" width="6.28515625" style="51" hidden="1" customWidth="1"/>
    <col min="11" max="11" width="14.28515625" style="51" customWidth="1"/>
    <col min="12" max="12" width="6.28515625" style="51" hidden="1" customWidth="1"/>
    <col min="13" max="13" width="14.28515625" style="51" customWidth="1"/>
    <col min="14" max="14" width="17.140625" style="51" customWidth="1"/>
    <col min="15" max="15" width="11.42578125" style="52"/>
    <col min="16" max="16384" width="11.42578125" style="51"/>
  </cols>
  <sheetData>
    <row r="1" spans="1:25" ht="7.5" customHeight="1" x14ac:dyDescent="0.2"/>
    <row r="2" spans="1:25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25" ht="7.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95"/>
    </row>
    <row r="4" spans="1:25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K4" s="259"/>
      <c r="L4" s="259"/>
      <c r="M4" s="259">
        <f ca="1">RESUMO!G4</f>
        <v>43657</v>
      </c>
      <c r="N4" s="832" t="str">
        <f>RESUMO!H4</f>
        <v>BDI Aplicado</v>
      </c>
      <c r="O4" s="833"/>
      <c r="P4" s="831" t="s">
        <v>1425</v>
      </c>
      <c r="Q4" s="831" t="s">
        <v>991</v>
      </c>
      <c r="R4" s="831" t="s">
        <v>992</v>
      </c>
      <c r="S4" s="831" t="s">
        <v>993</v>
      </c>
      <c r="T4" s="831" t="s">
        <v>1427</v>
      </c>
      <c r="U4" s="831" t="s">
        <v>1426</v>
      </c>
      <c r="V4" s="831" t="s">
        <v>1428</v>
      </c>
      <c r="W4" s="831" t="s">
        <v>1431</v>
      </c>
      <c r="X4" s="831" t="s">
        <v>1429</v>
      </c>
      <c r="Y4" s="831" t="s">
        <v>1430</v>
      </c>
    </row>
    <row r="5" spans="1:25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K5" s="258"/>
      <c r="L5" s="258"/>
      <c r="M5" s="258"/>
      <c r="N5" s="261" t="str">
        <f>RESUMO!H5</f>
        <v>Serviços</v>
      </c>
      <c r="O5" s="234">
        <f>RESUMO!I5</f>
        <v>0.27579999999999999</v>
      </c>
      <c r="P5" s="831"/>
      <c r="Q5" s="831"/>
      <c r="R5" s="831"/>
      <c r="S5" s="831"/>
      <c r="T5" s="831"/>
      <c r="U5" s="831"/>
      <c r="V5" s="831"/>
      <c r="W5" s="831"/>
      <c r="X5" s="831"/>
      <c r="Y5" s="831"/>
    </row>
    <row r="6" spans="1:25" ht="12" customHeight="1" x14ac:dyDescent="0.2">
      <c r="A6" s="770"/>
      <c r="B6" s="771"/>
      <c r="C6" s="260" t="s">
        <v>4</v>
      </c>
      <c r="D6" s="200"/>
      <c r="E6" s="258"/>
      <c r="F6" s="262"/>
      <c r="G6" s="260" t="s">
        <v>5</v>
      </c>
      <c r="K6" s="258"/>
      <c r="L6" s="258"/>
      <c r="M6" s="258"/>
      <c r="N6" s="261" t="str">
        <f>RESUMO!H6</f>
        <v>Serv Terc:</v>
      </c>
      <c r="O6" s="234">
        <f>RESUMO!I6</f>
        <v>0.1772</v>
      </c>
      <c r="P6" s="486">
        <v>17247.829999999991</v>
      </c>
      <c r="Q6" s="486">
        <v>1.3243172094692492</v>
      </c>
      <c r="R6" s="486">
        <v>0.52399374298100088</v>
      </c>
      <c r="S6" s="486">
        <v>2465.9392379999999</v>
      </c>
      <c r="T6" s="486">
        <v>199</v>
      </c>
      <c r="U6" s="486">
        <v>3012.5849999999973</v>
      </c>
      <c r="V6" s="486">
        <v>770.40434049149997</v>
      </c>
      <c r="W6" s="486">
        <v>90</v>
      </c>
      <c r="X6" s="486">
        <v>517</v>
      </c>
      <c r="Y6" s="486">
        <v>44.437894875000012</v>
      </c>
    </row>
    <row r="7" spans="1:25" ht="12" customHeight="1" x14ac:dyDescent="0.2">
      <c r="A7" s="253"/>
      <c r="B7" s="253"/>
      <c r="C7" s="260" t="s">
        <v>6</v>
      </c>
      <c r="D7" s="263" t="str">
        <f>RESUMO!A14</f>
        <v>U.C. : 04</v>
      </c>
      <c r="E7" s="258"/>
      <c r="F7" s="262"/>
      <c r="G7" s="264" t="s">
        <v>9</v>
      </c>
      <c r="M7" s="265" t="str">
        <f>RESUMO!G7</f>
        <v>Jun18 MOS4aEd v00</v>
      </c>
      <c r="N7" s="261" t="str">
        <f>RESUMO!H7</f>
        <v>Mat/Equip:</v>
      </c>
      <c r="O7" s="234">
        <f>RESUMO!I7</f>
        <v>0.1772</v>
      </c>
      <c r="T7" s="486">
        <v>15</v>
      </c>
      <c r="U7" s="486">
        <v>1000.2938219999996</v>
      </c>
      <c r="V7" s="486">
        <v>148.96587991999996</v>
      </c>
      <c r="W7" s="486"/>
      <c r="Y7" s="486">
        <v>8.5925399999999996</v>
      </c>
    </row>
    <row r="8" spans="1:25" ht="12" customHeight="1" thickBot="1" x14ac:dyDescent="0.25">
      <c r="A8" s="124"/>
      <c r="B8" s="125"/>
      <c r="C8" s="266" t="s">
        <v>8</v>
      </c>
      <c r="D8" s="267" t="str">
        <f>RESUMO!B14</f>
        <v>REDE COLETORA DE ESGOTOS</v>
      </c>
      <c r="E8" s="268"/>
      <c r="F8" s="269"/>
      <c r="G8" s="268"/>
      <c r="H8" s="268"/>
      <c r="I8" s="268"/>
      <c r="J8" s="268"/>
      <c r="K8" s="268"/>
      <c r="L8" s="268"/>
      <c r="M8" s="270"/>
      <c r="N8" s="271"/>
      <c r="O8" s="427"/>
      <c r="T8" s="486">
        <v>312</v>
      </c>
      <c r="U8" s="486">
        <v>8025.7576439999939</v>
      </c>
      <c r="V8" s="486">
        <v>4600.2055232704988</v>
      </c>
      <c r="W8" s="486"/>
      <c r="Y8" s="486">
        <v>265.34566162499999</v>
      </c>
    </row>
    <row r="9" spans="1:25" ht="12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  <c r="U9" s="486">
        <v>52.548289500000024</v>
      </c>
      <c r="V9" s="486">
        <v>1202.7112563179996</v>
      </c>
      <c r="W9" s="486"/>
      <c r="Y9" s="486">
        <v>69.373903499999997</v>
      </c>
    </row>
    <row r="10" spans="1:25" ht="12.75" x14ac:dyDescent="0.2">
      <c r="O10" s="19"/>
      <c r="U10" s="486">
        <v>2711.3264999999974</v>
      </c>
      <c r="V10" s="486">
        <v>424.81999999999994</v>
      </c>
      <c r="W10" s="486"/>
      <c r="Y10" s="486">
        <v>277.49561399999999</v>
      </c>
    </row>
    <row r="11" spans="1:25" ht="12" customHeight="1" x14ac:dyDescent="0.2">
      <c r="A11" s="93">
        <f>RESUMO!A15</f>
        <v>1</v>
      </c>
      <c r="B11" s="93" t="str">
        <f>RESUMO!B15</f>
        <v>REDE COLETORA - SERVIÇOS</v>
      </c>
      <c r="H11" s="61"/>
      <c r="O11" s="19"/>
      <c r="Q11" s="760"/>
      <c r="R11" s="760"/>
      <c r="U11" s="486">
        <v>8171.3135993999949</v>
      </c>
      <c r="V11" s="486">
        <v>42.443493181461072</v>
      </c>
      <c r="W11" s="486"/>
    </row>
    <row r="12" spans="1:25" ht="12" customHeight="1" x14ac:dyDescent="0.2">
      <c r="A12" s="129" t="s">
        <v>48</v>
      </c>
      <c r="B12" s="88" t="s">
        <v>16</v>
      </c>
      <c r="H12" s="61"/>
      <c r="O12" s="19"/>
      <c r="Q12" s="61"/>
      <c r="U12" s="486">
        <v>1208.544656099999</v>
      </c>
      <c r="V12" s="486">
        <v>6162.7060850799971</v>
      </c>
      <c r="W12" s="486"/>
    </row>
    <row r="13" spans="1:25" ht="12" customHeight="1" x14ac:dyDescent="0.2">
      <c r="A13" s="129" t="s">
        <v>79</v>
      </c>
      <c r="B13" s="88" t="s">
        <v>80</v>
      </c>
      <c r="H13" s="61"/>
      <c r="O13" s="19"/>
      <c r="Q13" s="61"/>
      <c r="V13" s="486"/>
      <c r="W13" s="486"/>
    </row>
    <row r="14" spans="1:25" ht="12" customHeight="1" x14ac:dyDescent="0.2">
      <c r="A14" s="129" t="s">
        <v>209</v>
      </c>
      <c r="B14" s="88" t="s">
        <v>210</v>
      </c>
      <c r="G14" s="97" t="s">
        <v>17</v>
      </c>
      <c r="H14" s="308">
        <f>P6</f>
        <v>17247.829999999991</v>
      </c>
      <c r="I14" s="323">
        <f>VLOOKUP(A14,'[1]TAB OGU JUN18'!$A:$G,6,"falso")</f>
        <v>1.2</v>
      </c>
      <c r="J14" s="323">
        <f>VLOOKUP(A14,'[1]TAB OGU JUN18'!$A:$G,4,"falso")</f>
        <v>0.82</v>
      </c>
      <c r="K14" s="308">
        <f>H14*J14</f>
        <v>14143.220599999991</v>
      </c>
      <c r="L14" s="323">
        <f>VLOOKUP(A14,'[1]TAB OGU JUN18'!$A:$G,5,"falso")</f>
        <v>0.38</v>
      </c>
      <c r="M14" s="308">
        <f>H14*L14</f>
        <v>6554.1753999999964</v>
      </c>
      <c r="N14" s="308">
        <f>H14*I14</f>
        <v>20697.39599999999</v>
      </c>
      <c r="O14" s="25">
        <f>(N14*1)/$N$17</f>
        <v>1</v>
      </c>
      <c r="Q14" s="329"/>
    </row>
    <row r="15" spans="1:25" ht="12" customHeight="1" x14ac:dyDescent="0.2">
      <c r="B15" s="258" t="s">
        <v>211</v>
      </c>
      <c r="G15" s="52"/>
      <c r="H15" s="324"/>
      <c r="I15" s="323"/>
      <c r="J15" s="323"/>
      <c r="K15" s="313"/>
      <c r="L15" s="323"/>
      <c r="M15" s="313"/>
      <c r="N15" s="309"/>
      <c r="O15" s="25"/>
      <c r="Q15" s="329"/>
    </row>
    <row r="16" spans="1:25" ht="12" customHeight="1" x14ac:dyDescent="0.2">
      <c r="G16" s="52"/>
      <c r="H16" s="324"/>
      <c r="I16" s="323"/>
      <c r="J16" s="323"/>
      <c r="K16" s="313"/>
      <c r="L16" s="323"/>
      <c r="M16" s="313"/>
      <c r="N16" s="309"/>
      <c r="O16" s="25"/>
      <c r="Q16" s="311"/>
    </row>
    <row r="17" spans="1:17" ht="12" customHeight="1" x14ac:dyDescent="0.2">
      <c r="B17" s="130" t="s">
        <v>18</v>
      </c>
      <c r="C17" s="131"/>
      <c r="D17" s="131"/>
      <c r="E17" s="131"/>
      <c r="F17" s="131"/>
      <c r="G17" s="53"/>
      <c r="H17" s="325"/>
      <c r="I17" s="582"/>
      <c r="J17" s="582"/>
      <c r="K17" s="326"/>
      <c r="L17" s="582"/>
      <c r="M17" s="326"/>
      <c r="N17" s="308">
        <f>SUM(N14:N14)</f>
        <v>20697.39599999999</v>
      </c>
      <c r="O17" s="25">
        <f>N17/N34</f>
        <v>0.6411502247291232</v>
      </c>
      <c r="Q17" s="311"/>
    </row>
    <row r="18" spans="1:17" ht="12" customHeight="1" x14ac:dyDescent="0.2">
      <c r="B18" s="130"/>
      <c r="G18" s="52"/>
      <c r="H18" s="324"/>
      <c r="I18" s="323"/>
      <c r="J18" s="323"/>
      <c r="K18" s="313"/>
      <c r="L18" s="323"/>
      <c r="M18" s="313"/>
      <c r="N18" s="308"/>
      <c r="O18" s="25"/>
      <c r="Q18" s="311"/>
    </row>
    <row r="19" spans="1:17" ht="12" customHeight="1" x14ac:dyDescent="0.2">
      <c r="A19" s="98" t="s">
        <v>779</v>
      </c>
      <c r="B19" s="88" t="s">
        <v>780</v>
      </c>
      <c r="G19" s="52"/>
      <c r="H19" s="324"/>
      <c r="I19" s="323"/>
      <c r="J19" s="323"/>
      <c r="K19" s="313"/>
      <c r="L19" s="323"/>
      <c r="M19" s="313"/>
      <c r="N19" s="313"/>
      <c r="O19" s="19"/>
      <c r="Q19" s="311"/>
    </row>
    <row r="20" spans="1:17" ht="12" customHeight="1" x14ac:dyDescent="0.2">
      <c r="A20" s="98" t="s">
        <v>782</v>
      </c>
      <c r="B20" s="88" t="s">
        <v>781</v>
      </c>
      <c r="G20" s="97" t="s">
        <v>17</v>
      </c>
      <c r="H20" s="308">
        <f>H14</f>
        <v>17247.829999999991</v>
      </c>
      <c r="I20" s="323">
        <f>VLOOKUP(A20,'[1]TAB OGU JUN18'!$A:$G,6,"falso")</f>
        <v>0.4</v>
      </c>
      <c r="J20" s="323">
        <f>VLOOKUP(A20,'[1]TAB OGU JUN18'!$A:$G,4,"falso")</f>
        <v>0.4</v>
      </c>
      <c r="K20" s="308">
        <f>H20*J20</f>
        <v>6899.1319999999969</v>
      </c>
      <c r="L20" s="323">
        <f>VLOOKUP(A20,'[1]TAB OGU JUN18'!$A:$G,5,"falso")</f>
        <v>0</v>
      </c>
      <c r="M20" s="308"/>
      <c r="N20" s="308">
        <f>H20*I20</f>
        <v>6899.1319999999969</v>
      </c>
      <c r="O20" s="25">
        <f>N20/N22</f>
        <v>1</v>
      </c>
      <c r="Q20" s="311"/>
    </row>
    <row r="21" spans="1:17" ht="12" customHeight="1" x14ac:dyDescent="0.2">
      <c r="G21" s="52"/>
      <c r="H21" s="324"/>
      <c r="I21" s="323"/>
      <c r="J21" s="323"/>
      <c r="K21" s="313"/>
      <c r="L21" s="323"/>
      <c r="M21" s="313"/>
      <c r="N21" s="313"/>
      <c r="O21" s="19"/>
      <c r="Q21" s="311"/>
    </row>
    <row r="22" spans="1:17" ht="12" customHeight="1" x14ac:dyDescent="0.2">
      <c r="B22" s="130" t="s">
        <v>18</v>
      </c>
      <c r="C22" s="131"/>
      <c r="D22" s="131"/>
      <c r="E22" s="131"/>
      <c r="F22" s="131"/>
      <c r="G22" s="53"/>
      <c r="H22" s="325"/>
      <c r="I22" s="582"/>
      <c r="J22" s="582"/>
      <c r="K22" s="326"/>
      <c r="L22" s="582"/>
      <c r="M22" s="326"/>
      <c r="N22" s="308">
        <f>N20</f>
        <v>6899.1319999999969</v>
      </c>
      <c r="O22" s="25">
        <f>N22/N34</f>
        <v>0.21371674157637441</v>
      </c>
      <c r="Q22" s="311"/>
    </row>
    <row r="23" spans="1:17" ht="12" customHeight="1" x14ac:dyDescent="0.2">
      <c r="B23" s="130"/>
      <c r="G23" s="52"/>
      <c r="H23" s="324"/>
      <c r="I23" s="323"/>
      <c r="J23" s="323"/>
      <c r="K23" s="313"/>
      <c r="L23" s="323"/>
      <c r="M23" s="313"/>
      <c r="N23" s="308"/>
      <c r="O23" s="25"/>
      <c r="Q23" s="311"/>
    </row>
    <row r="24" spans="1:17" ht="12" customHeight="1" x14ac:dyDescent="0.2">
      <c r="A24" s="98" t="s">
        <v>783</v>
      </c>
      <c r="B24" s="88" t="s">
        <v>785</v>
      </c>
      <c r="G24" s="52"/>
      <c r="H24" s="324"/>
      <c r="I24" s="323"/>
      <c r="J24" s="323"/>
      <c r="K24" s="313"/>
      <c r="L24" s="323"/>
      <c r="M24" s="313"/>
      <c r="N24" s="313"/>
      <c r="O24" s="19"/>
      <c r="Q24" s="311"/>
    </row>
    <row r="25" spans="1:17" ht="12" customHeight="1" x14ac:dyDescent="0.2">
      <c r="A25" s="98" t="s">
        <v>784</v>
      </c>
      <c r="B25" s="88" t="s">
        <v>786</v>
      </c>
      <c r="G25" s="97" t="s">
        <v>753</v>
      </c>
      <c r="H25" s="308">
        <f>W6</f>
        <v>90</v>
      </c>
      <c r="I25" s="323">
        <f>VLOOKUP(A25,'[1]TAB OGU JUN18'!$A:$G,6,"falso")</f>
        <v>2.23</v>
      </c>
      <c r="J25" s="323">
        <f>VLOOKUP(A25,'[1]TAB OGU JUN18'!$A:$G,4,"falso")</f>
        <v>2.23</v>
      </c>
      <c r="K25" s="308">
        <f>H25*J25</f>
        <v>200.7</v>
      </c>
      <c r="L25" s="323">
        <f>VLOOKUP(A25,'[1]TAB OGU JUN18'!$A:$G,5,"falso")</f>
        <v>0</v>
      </c>
      <c r="M25" s="308"/>
      <c r="N25" s="308">
        <f>H25*I25</f>
        <v>200.7</v>
      </c>
      <c r="O25" s="25">
        <f>N25/N27</f>
        <v>1</v>
      </c>
      <c r="Q25" s="311"/>
    </row>
    <row r="26" spans="1:17" ht="12" customHeight="1" x14ac:dyDescent="0.2">
      <c r="G26" s="52"/>
      <c r="H26" s="324"/>
      <c r="I26" s="323"/>
      <c r="J26" s="323"/>
      <c r="K26" s="313"/>
      <c r="L26" s="323"/>
      <c r="M26" s="313"/>
      <c r="N26" s="313"/>
      <c r="O26" s="19"/>
      <c r="Q26" s="311"/>
    </row>
    <row r="27" spans="1:17" ht="12" customHeight="1" x14ac:dyDescent="0.2">
      <c r="B27" s="130" t="s">
        <v>18</v>
      </c>
      <c r="C27" s="131"/>
      <c r="D27" s="131"/>
      <c r="E27" s="131"/>
      <c r="F27" s="131"/>
      <c r="G27" s="53"/>
      <c r="H27" s="325"/>
      <c r="I27" s="582"/>
      <c r="J27" s="582"/>
      <c r="K27" s="326"/>
      <c r="L27" s="582"/>
      <c r="M27" s="326"/>
      <c r="N27" s="308">
        <f>N25</f>
        <v>200.7</v>
      </c>
      <c r="O27" s="25">
        <f>N27/N34</f>
        <v>6.2171516698591011E-3</v>
      </c>
      <c r="Q27" s="311"/>
    </row>
    <row r="28" spans="1:17" ht="12" customHeight="1" x14ac:dyDescent="0.2">
      <c r="B28" s="130"/>
      <c r="G28" s="52"/>
      <c r="H28" s="324"/>
      <c r="I28" s="323"/>
      <c r="J28" s="323"/>
      <c r="K28" s="313"/>
      <c r="L28" s="323"/>
      <c r="M28" s="313"/>
      <c r="N28" s="308"/>
      <c r="O28" s="25"/>
      <c r="Q28" s="311"/>
    </row>
    <row r="29" spans="1:17" ht="12" customHeight="1" x14ac:dyDescent="0.2">
      <c r="A29" s="98" t="s">
        <v>82</v>
      </c>
      <c r="B29" s="88" t="s">
        <v>19</v>
      </c>
      <c r="G29" s="52"/>
      <c r="H29" s="324"/>
      <c r="I29" s="323"/>
      <c r="J29" s="323"/>
      <c r="K29" s="313"/>
      <c r="L29" s="323"/>
      <c r="M29" s="313"/>
      <c r="N29" s="313"/>
      <c r="O29" s="19"/>
      <c r="Q29" s="311"/>
    </row>
    <row r="30" spans="1:17" ht="12" customHeight="1" x14ac:dyDescent="0.2">
      <c r="A30" s="98" t="s">
        <v>83</v>
      </c>
      <c r="B30" s="88" t="s">
        <v>81</v>
      </c>
      <c r="G30" s="97" t="s">
        <v>17</v>
      </c>
      <c r="H30" s="308">
        <f>H14</f>
        <v>17247.829999999991</v>
      </c>
      <c r="I30" s="323">
        <f>VLOOKUP(A30,'[1]TAB OGU JUN18'!$A:$G,6,"falso")</f>
        <v>0.26</v>
      </c>
      <c r="J30" s="323">
        <f>VLOOKUP(A30,'[1]TAB OGU JUN18'!$A:$G,4,"falso")</f>
        <v>0.26</v>
      </c>
      <c r="K30" s="308">
        <f>H30*J30</f>
        <v>4484.4357999999975</v>
      </c>
      <c r="L30" s="323">
        <f>VLOOKUP(A30,'[1]TAB OGU JUN18'!$A:$G,5,"falso")</f>
        <v>0</v>
      </c>
      <c r="M30" s="308"/>
      <c r="N30" s="308">
        <f>H30*I30</f>
        <v>4484.4357999999975</v>
      </c>
      <c r="O30" s="25">
        <f>N30/N32</f>
        <v>1</v>
      </c>
      <c r="Q30" s="311"/>
    </row>
    <row r="31" spans="1:17" ht="12" customHeight="1" x14ac:dyDescent="0.2">
      <c r="G31" s="52"/>
      <c r="H31" s="324"/>
      <c r="I31" s="323"/>
      <c r="J31" s="323"/>
      <c r="K31" s="313"/>
      <c r="L31" s="323"/>
      <c r="M31" s="313"/>
      <c r="N31" s="313"/>
      <c r="O31" s="19"/>
      <c r="Q31" s="311"/>
    </row>
    <row r="32" spans="1:17" ht="12" customHeight="1" x14ac:dyDescent="0.2">
      <c r="B32" s="130" t="s">
        <v>18</v>
      </c>
      <c r="C32" s="131"/>
      <c r="D32" s="131"/>
      <c r="E32" s="131"/>
      <c r="F32" s="131"/>
      <c r="G32" s="53"/>
      <c r="H32" s="325"/>
      <c r="I32" s="582"/>
      <c r="J32" s="582"/>
      <c r="K32" s="326"/>
      <c r="L32" s="582"/>
      <c r="M32" s="326"/>
      <c r="N32" s="308">
        <f>N30</f>
        <v>4484.4357999999975</v>
      </c>
      <c r="O32" s="25">
        <f>N32/N34</f>
        <v>0.13891588202464333</v>
      </c>
      <c r="Q32" s="311"/>
    </row>
    <row r="33" spans="1:18" ht="12" customHeight="1" x14ac:dyDescent="0.2">
      <c r="B33" s="130"/>
      <c r="G33" s="52"/>
      <c r="H33" s="324"/>
      <c r="I33" s="323"/>
      <c r="J33" s="323"/>
      <c r="K33" s="313"/>
      <c r="L33" s="323"/>
      <c r="M33" s="313"/>
      <c r="N33" s="308"/>
      <c r="O33" s="25"/>
      <c r="Q33" s="311"/>
    </row>
    <row r="34" spans="1:18" s="132" customFormat="1" ht="12" customHeight="1" x14ac:dyDescent="0.2">
      <c r="B34" s="133" t="s">
        <v>20</v>
      </c>
      <c r="C34" s="134"/>
      <c r="D34" s="134"/>
      <c r="E34" s="134"/>
      <c r="F34" s="134"/>
      <c r="G34" s="78"/>
      <c r="H34" s="327"/>
      <c r="I34" s="582"/>
      <c r="J34" s="582"/>
      <c r="K34" s="328"/>
      <c r="L34" s="582"/>
      <c r="M34" s="328"/>
      <c r="N34" s="310">
        <f>N32+N17+N22+N27</f>
        <v>32281.663799999984</v>
      </c>
      <c r="O34" s="77">
        <f>N34/N190</f>
        <v>3.1634269464973754E-2</v>
      </c>
      <c r="Q34" s="311"/>
      <c r="R34" s="51"/>
    </row>
    <row r="35" spans="1:18" ht="12" customHeight="1" x14ac:dyDescent="0.2">
      <c r="G35" s="52"/>
      <c r="H35" s="324"/>
      <c r="I35" s="323"/>
      <c r="J35" s="323"/>
      <c r="K35" s="313"/>
      <c r="L35" s="323"/>
      <c r="M35" s="313"/>
      <c r="N35" s="313"/>
      <c r="O35" s="19"/>
      <c r="Q35" s="311"/>
    </row>
    <row r="36" spans="1:18" ht="12" customHeight="1" x14ac:dyDescent="0.2">
      <c r="A36" s="98" t="s">
        <v>49</v>
      </c>
      <c r="B36" s="88" t="s">
        <v>86</v>
      </c>
      <c r="G36" s="52"/>
      <c r="H36" s="324"/>
      <c r="I36" s="323"/>
      <c r="J36" s="323"/>
      <c r="K36" s="313"/>
      <c r="L36" s="323"/>
      <c r="M36" s="313"/>
      <c r="N36" s="313"/>
      <c r="O36" s="19"/>
      <c r="Q36" s="311"/>
    </row>
    <row r="37" spans="1:18" ht="12" customHeight="1" x14ac:dyDescent="0.2">
      <c r="A37" s="98" t="s">
        <v>84</v>
      </c>
      <c r="B37" s="88" t="s">
        <v>87</v>
      </c>
      <c r="G37" s="52"/>
      <c r="H37" s="324"/>
      <c r="I37" s="323"/>
      <c r="J37" s="323"/>
      <c r="K37" s="313"/>
      <c r="L37" s="323"/>
      <c r="M37" s="313"/>
      <c r="N37" s="313"/>
      <c r="O37" s="19"/>
      <c r="Q37" s="311"/>
    </row>
    <row r="38" spans="1:18" s="272" customFormat="1" ht="12" customHeight="1" x14ac:dyDescent="0.2">
      <c r="A38" s="98" t="s">
        <v>85</v>
      </c>
      <c r="B38" s="88" t="s">
        <v>88</v>
      </c>
      <c r="C38" s="51"/>
      <c r="D38" s="51"/>
      <c r="E38" s="51"/>
      <c r="F38" s="51"/>
      <c r="G38" s="97" t="s">
        <v>17</v>
      </c>
      <c r="H38" s="308">
        <f>0.25*H14</f>
        <v>4311.9574999999977</v>
      </c>
      <c r="I38" s="323">
        <f>VLOOKUP(A38,'[1]TAB OGU JUN18'!$A:$G,6,"falso")</f>
        <v>0.2</v>
      </c>
      <c r="J38" s="323">
        <f>VLOOKUP(A38,'[1]TAB OGU JUN18'!$A:$G,4,"falso")</f>
        <v>0.13</v>
      </c>
      <c r="K38" s="308">
        <f>H38*J38</f>
        <v>560.55447499999968</v>
      </c>
      <c r="L38" s="323">
        <f>VLOOKUP(A38,'[1]TAB OGU JUN18'!$A:$G,5,"falso")</f>
        <v>7.0000000000000007E-2</v>
      </c>
      <c r="M38" s="308">
        <f>H38*L38</f>
        <v>301.83702499999987</v>
      </c>
      <c r="N38" s="308">
        <f>H38*I38</f>
        <v>862.39149999999961</v>
      </c>
      <c r="O38" s="25">
        <f>N38/N41</f>
        <v>0.16393442622950818</v>
      </c>
      <c r="Q38" s="311"/>
      <c r="R38" s="51"/>
    </row>
    <row r="39" spans="1:18" s="272" customFormat="1" ht="12" customHeight="1" x14ac:dyDescent="0.2">
      <c r="A39" s="98" t="s">
        <v>214</v>
      </c>
      <c r="B39" s="88" t="s">
        <v>215</v>
      </c>
      <c r="C39" s="51"/>
      <c r="D39" s="51"/>
      <c r="E39" s="51"/>
      <c r="F39" s="51"/>
      <c r="G39" s="97" t="s">
        <v>17</v>
      </c>
      <c r="H39" s="308">
        <f>H38</f>
        <v>4311.9574999999977</v>
      </c>
      <c r="I39" s="323">
        <f>VLOOKUP(A39,'[1]TAB OGU JUN18'!$A:$G,6,"falso")</f>
        <v>1.02</v>
      </c>
      <c r="J39" s="323">
        <f>VLOOKUP(A39,'[1]TAB OGU JUN18'!$A:$G,4,"falso")</f>
        <v>0.91</v>
      </c>
      <c r="K39" s="308">
        <f>H39*J39</f>
        <v>3923.881324999998</v>
      </c>
      <c r="L39" s="323">
        <f>VLOOKUP(A39,'[1]TAB OGU JUN18'!$A:$G,5,"falso")</f>
        <v>0.11</v>
      </c>
      <c r="M39" s="308">
        <f>H39*L39</f>
        <v>474.31532499999975</v>
      </c>
      <c r="N39" s="308">
        <f>H39*I39</f>
        <v>4398.196649999998</v>
      </c>
      <c r="O39" s="25">
        <f>N39/N41</f>
        <v>0.83606557377049173</v>
      </c>
      <c r="Q39" s="311"/>
      <c r="R39" s="51"/>
    </row>
    <row r="40" spans="1:18" ht="12" customHeight="1" x14ac:dyDescent="0.2">
      <c r="A40" s="273"/>
      <c r="B40" s="88"/>
      <c r="G40" s="97"/>
      <c r="H40" s="308"/>
      <c r="I40" s="323"/>
      <c r="J40" s="323"/>
      <c r="K40" s="308"/>
      <c r="L40" s="323"/>
      <c r="M40" s="308"/>
      <c r="N40" s="308"/>
      <c r="O40" s="25"/>
      <c r="Q40" s="311"/>
    </row>
    <row r="41" spans="1:18" ht="12" customHeight="1" x14ac:dyDescent="0.2">
      <c r="B41" s="130" t="s">
        <v>18</v>
      </c>
      <c r="C41" s="131"/>
      <c r="D41" s="131"/>
      <c r="E41" s="131"/>
      <c r="F41" s="131"/>
      <c r="G41" s="53"/>
      <c r="H41" s="325"/>
      <c r="I41" s="582"/>
      <c r="J41" s="582"/>
      <c r="K41" s="326"/>
      <c r="L41" s="582"/>
      <c r="M41" s="326"/>
      <c r="N41" s="308">
        <f>N39+N38</f>
        <v>5260.5881499999978</v>
      </c>
      <c r="O41" s="25">
        <f>N41/N49</f>
        <v>0.42153843742506575</v>
      </c>
      <c r="Q41" s="311"/>
    </row>
    <row r="42" spans="1:18" ht="12" customHeight="1" x14ac:dyDescent="0.2">
      <c r="A42" s="130"/>
      <c r="G42" s="52"/>
      <c r="H42" s="324"/>
      <c r="I42" s="323"/>
      <c r="J42" s="323"/>
      <c r="K42" s="313"/>
      <c r="L42" s="323"/>
      <c r="M42" s="313"/>
      <c r="N42" s="308"/>
      <c r="O42" s="25"/>
      <c r="Q42" s="311"/>
    </row>
    <row r="43" spans="1:18" ht="12" customHeight="1" x14ac:dyDescent="0.2">
      <c r="A43" s="98" t="s">
        <v>89</v>
      </c>
      <c r="B43" s="88" t="s">
        <v>92</v>
      </c>
      <c r="G43" s="97"/>
      <c r="H43" s="308"/>
      <c r="I43" s="323"/>
      <c r="J43" s="323"/>
      <c r="K43" s="308"/>
      <c r="L43" s="323"/>
      <c r="M43" s="308"/>
      <c r="N43" s="308"/>
      <c r="O43" s="25"/>
      <c r="Q43" s="311"/>
    </row>
    <row r="44" spans="1:18" ht="12" customHeight="1" x14ac:dyDescent="0.2">
      <c r="A44" s="98" t="s">
        <v>90</v>
      </c>
      <c r="B44" s="88" t="s">
        <v>216</v>
      </c>
      <c r="G44" s="97" t="s">
        <v>24</v>
      </c>
      <c r="H44" s="308">
        <f>ROUND(H14*0.004,0)</f>
        <v>69</v>
      </c>
      <c r="I44" s="323">
        <f>VLOOKUP(A44,'[1]TAB OGU JUN18'!$A:$G,6,"falso")</f>
        <v>75.34</v>
      </c>
      <c r="J44" s="323">
        <f>VLOOKUP(A44,'[1]TAB OGU JUN18'!$A:$G,4,"falso")</f>
        <v>38.79</v>
      </c>
      <c r="K44" s="308">
        <f>H44*J44</f>
        <v>2676.5099999999998</v>
      </c>
      <c r="L44" s="323">
        <f>VLOOKUP(A44,'[1]TAB OGU JUN18'!$A:$G,5,"falso")</f>
        <v>36.549999999999997</v>
      </c>
      <c r="M44" s="308">
        <f>H44*L44</f>
        <v>2521.9499999999998</v>
      </c>
      <c r="N44" s="308">
        <f>H44*I44</f>
        <v>5198.46</v>
      </c>
      <c r="O44" s="25">
        <f>N44/N47</f>
        <v>0.72011702597760607</v>
      </c>
      <c r="Q44" s="311"/>
    </row>
    <row r="45" spans="1:18" ht="12" customHeight="1" x14ac:dyDescent="0.2">
      <c r="A45" s="98" t="s">
        <v>91</v>
      </c>
      <c r="B45" s="88" t="s">
        <v>226</v>
      </c>
      <c r="G45" s="97" t="s">
        <v>24</v>
      </c>
      <c r="H45" s="308">
        <f>ROUND(H44/4,0)</f>
        <v>17</v>
      </c>
      <c r="I45" s="323">
        <f>VLOOKUP(A45,'[1]TAB OGU JUN18'!$A:$G,6,"falso")</f>
        <v>118.85</v>
      </c>
      <c r="J45" s="323">
        <f>VLOOKUP(A45,'[1]TAB OGU JUN18'!$A:$G,4,"falso")</f>
        <v>58.83</v>
      </c>
      <c r="K45" s="308">
        <f>H45*J45</f>
        <v>1000.11</v>
      </c>
      <c r="L45" s="323">
        <f>VLOOKUP(A45,'[1]TAB OGU JUN18'!$A:$G,5,"falso")</f>
        <v>60.02</v>
      </c>
      <c r="M45" s="308">
        <f>H45*L45</f>
        <v>1020.34</v>
      </c>
      <c r="N45" s="308">
        <f>H45*I45</f>
        <v>2020.4499999999998</v>
      </c>
      <c r="O45" s="25">
        <f>N45/N47</f>
        <v>0.27988297402239393</v>
      </c>
      <c r="Q45" s="311"/>
    </row>
    <row r="46" spans="1:18" ht="12" customHeight="1" x14ac:dyDescent="0.2">
      <c r="G46" s="52"/>
      <c r="H46" s="324"/>
      <c r="I46" s="323"/>
      <c r="J46" s="323"/>
      <c r="K46" s="313"/>
      <c r="L46" s="323"/>
      <c r="M46" s="313"/>
      <c r="N46" s="313"/>
      <c r="O46" s="19"/>
      <c r="Q46" s="311"/>
    </row>
    <row r="47" spans="1:18" ht="12" customHeight="1" x14ac:dyDescent="0.2">
      <c r="B47" s="130" t="s">
        <v>18</v>
      </c>
      <c r="C47" s="131"/>
      <c r="D47" s="131"/>
      <c r="E47" s="131"/>
      <c r="F47" s="131"/>
      <c r="G47" s="53"/>
      <c r="H47" s="325"/>
      <c r="I47" s="582"/>
      <c r="J47" s="582"/>
      <c r="K47" s="326"/>
      <c r="L47" s="582"/>
      <c r="M47" s="326"/>
      <c r="N47" s="308">
        <f>N44+N45</f>
        <v>7218.91</v>
      </c>
      <c r="O47" s="25">
        <f>N47/N49</f>
        <v>0.57846156257493431</v>
      </c>
      <c r="Q47" s="311"/>
    </row>
    <row r="48" spans="1:18" ht="12" customHeight="1" x14ac:dyDescent="0.2">
      <c r="B48" s="130"/>
      <c r="G48" s="52"/>
      <c r="H48" s="324"/>
      <c r="I48" s="323"/>
      <c r="J48" s="323"/>
      <c r="K48" s="313"/>
      <c r="L48" s="323"/>
      <c r="M48" s="313"/>
      <c r="N48" s="308"/>
      <c r="O48" s="25"/>
      <c r="Q48" s="311"/>
    </row>
    <row r="49" spans="1:18" s="132" customFormat="1" ht="12" customHeight="1" x14ac:dyDescent="0.2">
      <c r="B49" s="133" t="s">
        <v>20</v>
      </c>
      <c r="C49" s="134"/>
      <c r="D49" s="134"/>
      <c r="E49" s="134"/>
      <c r="F49" s="134"/>
      <c r="G49" s="78"/>
      <c r="H49" s="327"/>
      <c r="I49" s="582"/>
      <c r="J49" s="582"/>
      <c r="K49" s="328"/>
      <c r="L49" s="582"/>
      <c r="M49" s="328"/>
      <c r="N49" s="310">
        <f>N47+N41</f>
        <v>12479.498149999998</v>
      </c>
      <c r="O49" s="77">
        <f>N49/N190</f>
        <v>1.2229227393934434E-2</v>
      </c>
      <c r="Q49" s="311"/>
      <c r="R49" s="51"/>
    </row>
    <row r="50" spans="1:18" ht="12" customHeight="1" x14ac:dyDescent="0.2">
      <c r="B50" s="130"/>
      <c r="G50" s="52"/>
      <c r="H50" s="324"/>
      <c r="I50" s="323"/>
      <c r="J50" s="323"/>
      <c r="K50" s="313"/>
      <c r="L50" s="323"/>
      <c r="M50" s="313"/>
      <c r="N50" s="308"/>
      <c r="O50" s="25"/>
      <c r="Q50" s="311"/>
    </row>
    <row r="51" spans="1:18" ht="12" customHeight="1" x14ac:dyDescent="0.2">
      <c r="A51" s="129" t="s">
        <v>93</v>
      </c>
      <c r="B51" s="88" t="s">
        <v>96</v>
      </c>
      <c r="H51" s="329"/>
      <c r="I51" s="323"/>
      <c r="J51" s="323"/>
      <c r="K51" s="311"/>
      <c r="L51" s="323"/>
      <c r="M51" s="311"/>
      <c r="N51" s="311"/>
      <c r="O51" s="19"/>
      <c r="Q51" s="311"/>
    </row>
    <row r="52" spans="1:18" ht="12" customHeight="1" x14ac:dyDescent="0.2">
      <c r="A52" s="129" t="s">
        <v>94</v>
      </c>
      <c r="B52" s="88" t="s">
        <v>97</v>
      </c>
      <c r="H52" s="329"/>
      <c r="I52" s="323"/>
      <c r="J52" s="323"/>
      <c r="K52" s="311"/>
      <c r="L52" s="323"/>
      <c r="M52" s="311"/>
      <c r="N52" s="311"/>
      <c r="O52" s="19"/>
      <c r="Q52" s="311"/>
    </row>
    <row r="53" spans="1:18" ht="12" customHeight="1" x14ac:dyDescent="0.2">
      <c r="A53" s="129" t="s">
        <v>95</v>
      </c>
      <c r="B53" s="88" t="s">
        <v>641</v>
      </c>
      <c r="G53" s="97" t="s">
        <v>32</v>
      </c>
      <c r="H53" s="308">
        <f>U6</f>
        <v>3012.5849999999973</v>
      </c>
      <c r="I53" s="323">
        <f>VLOOKUP(A53,'[1]TAB OGU JUN18'!$A:$G,6,"falso")</f>
        <v>32.9</v>
      </c>
      <c r="J53" s="323">
        <f>VLOOKUP(A53,'[1]TAB OGU JUN18'!$A:$G,4,"falso")</f>
        <v>32.9</v>
      </c>
      <c r="K53" s="308">
        <f>H53*J53</f>
        <v>99114.046499999909</v>
      </c>
      <c r="L53" s="323">
        <f>VLOOKUP(A53,'[1]TAB OGU JUN18'!$A:$G,5,"falso")</f>
        <v>0</v>
      </c>
      <c r="M53" s="308"/>
      <c r="N53" s="308">
        <f>H53*I53</f>
        <v>99114.046499999909</v>
      </c>
      <c r="O53" s="25">
        <f>N53/N56</f>
        <v>0.70666462500765637</v>
      </c>
      <c r="Q53" s="311"/>
    </row>
    <row r="54" spans="1:18" ht="12" customHeight="1" x14ac:dyDescent="0.2">
      <c r="A54" s="129" t="s">
        <v>261</v>
      </c>
      <c r="B54" s="88" t="s">
        <v>642</v>
      </c>
      <c r="G54" s="97" t="s">
        <v>32</v>
      </c>
      <c r="H54" s="308">
        <f>U7</f>
        <v>1000.2938219999996</v>
      </c>
      <c r="I54" s="323">
        <f>VLOOKUP(A54,'[1]TAB OGU JUN18'!$A:$G,6,"falso")</f>
        <v>41.13</v>
      </c>
      <c r="J54" s="323">
        <f>VLOOKUP(A54,'[1]TAB OGU JUN18'!$A:$G,4,"falso")</f>
        <v>41.13</v>
      </c>
      <c r="K54" s="308">
        <f>H54*J54</f>
        <v>41142.08489885999</v>
      </c>
      <c r="L54" s="323">
        <f>VLOOKUP(A54,'[1]TAB OGU JUN18'!$A:$G,5,"falso")</f>
        <v>0</v>
      </c>
      <c r="M54" s="308"/>
      <c r="N54" s="308">
        <f>H54*I54</f>
        <v>41142.08489885999</v>
      </c>
      <c r="O54" s="25">
        <f>N54/N56</f>
        <v>0.29333537499234363</v>
      </c>
      <c r="Q54" s="311"/>
    </row>
    <row r="55" spans="1:18" ht="12" customHeight="1" x14ac:dyDescent="0.2">
      <c r="G55" s="52"/>
      <c r="H55" s="324"/>
      <c r="I55" s="323"/>
      <c r="J55" s="323"/>
      <c r="K55" s="313"/>
      <c r="L55" s="323"/>
      <c r="M55" s="313"/>
      <c r="N55" s="309"/>
      <c r="O55" s="25"/>
      <c r="Q55" s="311"/>
    </row>
    <row r="56" spans="1:18" ht="12" customHeight="1" x14ac:dyDescent="0.2">
      <c r="B56" s="130" t="s">
        <v>18</v>
      </c>
      <c r="C56" s="131"/>
      <c r="D56" s="131"/>
      <c r="E56" s="131"/>
      <c r="F56" s="131"/>
      <c r="G56" s="53"/>
      <c r="H56" s="325"/>
      <c r="I56" s="582"/>
      <c r="J56" s="582"/>
      <c r="K56" s="326"/>
      <c r="L56" s="582"/>
      <c r="M56" s="326"/>
      <c r="N56" s="308">
        <f>SUM(N53:N54)</f>
        <v>140256.1313988599</v>
      </c>
      <c r="O56" s="25">
        <f>N56/N86</f>
        <v>0.40677024194365302</v>
      </c>
      <c r="Q56" s="311"/>
    </row>
    <row r="57" spans="1:18" ht="12" customHeight="1" x14ac:dyDescent="0.2">
      <c r="B57" s="130"/>
      <c r="G57" s="52"/>
      <c r="H57" s="324"/>
      <c r="I57" s="323"/>
      <c r="J57" s="323"/>
      <c r="K57" s="313"/>
      <c r="L57" s="323"/>
      <c r="M57" s="313"/>
      <c r="N57" s="308"/>
      <c r="O57" s="25"/>
      <c r="Q57" s="311"/>
    </row>
    <row r="58" spans="1:18" ht="12" customHeight="1" x14ac:dyDescent="0.2">
      <c r="A58" s="98" t="s">
        <v>98</v>
      </c>
      <c r="B58" s="88" t="s">
        <v>100</v>
      </c>
      <c r="G58" s="52"/>
      <c r="H58" s="324"/>
      <c r="I58" s="323"/>
      <c r="J58" s="323"/>
      <c r="K58" s="313"/>
      <c r="L58" s="323"/>
      <c r="M58" s="313"/>
      <c r="N58" s="313"/>
      <c r="O58" s="19"/>
      <c r="Q58" s="311"/>
    </row>
    <row r="59" spans="1:18" ht="12" customHeight="1" x14ac:dyDescent="0.2">
      <c r="A59" s="98" t="s">
        <v>99</v>
      </c>
      <c r="B59" s="88" t="s">
        <v>227</v>
      </c>
      <c r="G59" s="97" t="s">
        <v>32</v>
      </c>
      <c r="H59" s="308">
        <f>U8</f>
        <v>8025.7576439999939</v>
      </c>
      <c r="I59" s="323">
        <f>VLOOKUP(A59,'[1]TAB OGU JUN18'!$A:$G,6,"falso")</f>
        <v>9.77</v>
      </c>
      <c r="J59" s="323">
        <f>VLOOKUP(A59,'[1]TAB OGU JUN18'!$A:$G,4,"falso")</f>
        <v>9.77</v>
      </c>
      <c r="K59" s="308">
        <f>H59*J59</f>
        <v>78411.652181879937</v>
      </c>
      <c r="L59" s="323">
        <f>VLOOKUP(A59,'[1]TAB OGU JUN18'!$A:$G,5,"falso")</f>
        <v>0</v>
      </c>
      <c r="M59" s="308"/>
      <c r="N59" s="308">
        <f>H59*I59</f>
        <v>78411.652181879937</v>
      </c>
      <c r="O59" s="25">
        <f>N59/N62</f>
        <v>0.99257654327201594</v>
      </c>
      <c r="Q59" s="311"/>
    </row>
    <row r="60" spans="1:18" ht="12" customHeight="1" x14ac:dyDescent="0.2">
      <c r="A60" s="98" t="s">
        <v>232</v>
      </c>
      <c r="B60" s="88" t="s">
        <v>264</v>
      </c>
      <c r="G60" s="97" t="s">
        <v>32</v>
      </c>
      <c r="H60" s="308">
        <f>U9</f>
        <v>52.548289500000024</v>
      </c>
      <c r="I60" s="323">
        <f>VLOOKUP(A60,'[1]TAB OGU JUN18'!$A:$G,6,"falso")</f>
        <v>11.16</v>
      </c>
      <c r="J60" s="323">
        <f>VLOOKUP(A60,'[1]TAB OGU JUN18'!$A:$G,4,"falso")</f>
        <v>11.16</v>
      </c>
      <c r="K60" s="308">
        <f>H60*J60</f>
        <v>586.43891082000027</v>
      </c>
      <c r="L60" s="323">
        <f>VLOOKUP(A60,'[1]TAB OGU JUN18'!$A:$G,5,"falso")</f>
        <v>0</v>
      </c>
      <c r="M60" s="308"/>
      <c r="N60" s="308">
        <f>H60*I60</f>
        <v>586.43891082000027</v>
      </c>
      <c r="O60" s="25">
        <f>N60/N62</f>
        <v>7.4234567279840508E-3</v>
      </c>
      <c r="Q60" s="311"/>
    </row>
    <row r="61" spans="1:18" ht="12" customHeight="1" x14ac:dyDescent="0.2">
      <c r="G61" s="52"/>
      <c r="H61" s="324"/>
      <c r="I61" s="323"/>
      <c r="J61" s="323"/>
      <c r="K61" s="313"/>
      <c r="L61" s="323"/>
      <c r="M61" s="313"/>
      <c r="N61" s="313"/>
      <c r="O61" s="19"/>
      <c r="Q61" s="311"/>
    </row>
    <row r="62" spans="1:18" ht="12" customHeight="1" x14ac:dyDescent="0.2">
      <c r="B62" s="130" t="s">
        <v>18</v>
      </c>
      <c r="C62" s="131"/>
      <c r="D62" s="131"/>
      <c r="E62" s="131"/>
      <c r="F62" s="131"/>
      <c r="G62" s="53"/>
      <c r="H62" s="325"/>
      <c r="I62" s="582"/>
      <c r="J62" s="582"/>
      <c r="K62" s="326"/>
      <c r="L62" s="582"/>
      <c r="M62" s="326"/>
      <c r="N62" s="308">
        <f>N59+N60</f>
        <v>78998.091092699935</v>
      </c>
      <c r="O62" s="25">
        <f>N62/N86</f>
        <v>0.22910993128337134</v>
      </c>
      <c r="Q62" s="311"/>
    </row>
    <row r="63" spans="1:18" ht="12" customHeight="1" x14ac:dyDescent="0.2">
      <c r="B63" s="130"/>
      <c r="G63" s="52"/>
      <c r="H63" s="324"/>
      <c r="I63" s="323"/>
      <c r="J63" s="323"/>
      <c r="K63" s="313"/>
      <c r="L63" s="323"/>
      <c r="M63" s="313"/>
      <c r="N63" s="308"/>
      <c r="O63" s="25"/>
      <c r="Q63" s="311"/>
    </row>
    <row r="64" spans="1:18" ht="12" customHeight="1" x14ac:dyDescent="0.2">
      <c r="A64" s="98" t="s">
        <v>101</v>
      </c>
      <c r="B64" s="88" t="s">
        <v>21</v>
      </c>
      <c r="G64" s="97"/>
      <c r="H64" s="308"/>
      <c r="I64" s="323"/>
      <c r="J64" s="323"/>
      <c r="K64" s="308"/>
      <c r="L64" s="323"/>
      <c r="M64" s="308"/>
      <c r="N64" s="308"/>
      <c r="O64" s="25"/>
      <c r="Q64" s="311"/>
    </row>
    <row r="65" spans="1:17" ht="12" customHeight="1" x14ac:dyDescent="0.2">
      <c r="A65" s="98" t="s">
        <v>102</v>
      </c>
      <c r="B65" s="88" t="s">
        <v>104</v>
      </c>
      <c r="G65" s="97" t="s">
        <v>32</v>
      </c>
      <c r="H65" s="308">
        <f>U10</f>
        <v>2711.3264999999974</v>
      </c>
      <c r="I65" s="323">
        <f>VLOOKUP(A65,'[1]TAB OGU JUN18'!$A:$G,6,"falso")</f>
        <v>7.4</v>
      </c>
      <c r="J65" s="323">
        <f>VLOOKUP(A65,'[1]TAB OGU JUN18'!$A:$G,4,"falso")</f>
        <v>7.4</v>
      </c>
      <c r="K65" s="308">
        <f>H65*J65</f>
        <v>20063.816099999982</v>
      </c>
      <c r="L65" s="323">
        <f>VLOOKUP(A65,'[1]TAB OGU JUN18'!$A:$G,5,"falso")</f>
        <v>0</v>
      </c>
      <c r="M65" s="308"/>
      <c r="N65" s="308">
        <f>H65*I65</f>
        <v>20063.816099999982</v>
      </c>
      <c r="O65" s="25">
        <f>N65/N68</f>
        <v>0.65036786337403985</v>
      </c>
      <c r="Q65" s="311"/>
    </row>
    <row r="66" spans="1:17" ht="12" customHeight="1" x14ac:dyDescent="0.2">
      <c r="A66" s="98" t="s">
        <v>103</v>
      </c>
      <c r="B66" s="88" t="s">
        <v>105</v>
      </c>
      <c r="G66" s="97" t="s">
        <v>32</v>
      </c>
      <c r="H66" s="308">
        <f>U11</f>
        <v>8171.3135993999949</v>
      </c>
      <c r="I66" s="323">
        <f>VLOOKUP(A66,'[1]TAB OGU JUN18'!$A:$G,6,"falso")</f>
        <v>1.32</v>
      </c>
      <c r="J66" s="323">
        <f>VLOOKUP(A66,'[1]TAB OGU JUN18'!$A:$G,4,"falso")</f>
        <v>1.32</v>
      </c>
      <c r="K66" s="308">
        <f>H66*J66</f>
        <v>10786.133951207994</v>
      </c>
      <c r="L66" s="323">
        <f>VLOOKUP(A66,'[1]TAB OGU JUN18'!$A:$G,5,"falso")</f>
        <v>0</v>
      </c>
      <c r="M66" s="308"/>
      <c r="N66" s="308">
        <f>H66*I66</f>
        <v>10786.133951207994</v>
      </c>
      <c r="O66" s="25">
        <f>N66/N68</f>
        <v>0.34963213662596015</v>
      </c>
      <c r="Q66" s="311"/>
    </row>
    <row r="67" spans="1:17" ht="12" customHeight="1" x14ac:dyDescent="0.2">
      <c r="B67" s="130"/>
      <c r="G67" s="52"/>
      <c r="H67" s="324"/>
      <c r="I67" s="323"/>
      <c r="J67" s="323"/>
      <c r="K67" s="313"/>
      <c r="L67" s="323"/>
      <c r="M67" s="313"/>
      <c r="N67" s="308"/>
      <c r="O67" s="25"/>
      <c r="Q67" s="311"/>
    </row>
    <row r="68" spans="1:17" ht="12" customHeight="1" x14ac:dyDescent="0.2">
      <c r="B68" s="130" t="s">
        <v>18</v>
      </c>
      <c r="C68" s="131"/>
      <c r="D68" s="131"/>
      <c r="E68" s="131"/>
      <c r="F68" s="131"/>
      <c r="G68" s="53"/>
      <c r="H68" s="325"/>
      <c r="I68" s="582"/>
      <c r="J68" s="582"/>
      <c r="K68" s="326"/>
      <c r="L68" s="582"/>
      <c r="M68" s="326"/>
      <c r="N68" s="308">
        <f>N66+N65</f>
        <v>30849.950051207976</v>
      </c>
      <c r="O68" s="25">
        <f>N68/N86</f>
        <v>8.9470895290795716E-2</v>
      </c>
      <c r="Q68" s="311"/>
    </row>
    <row r="69" spans="1:17" ht="12" customHeight="1" x14ac:dyDescent="0.2">
      <c r="B69" s="130"/>
      <c r="G69" s="52"/>
      <c r="H69" s="324"/>
      <c r="I69" s="323"/>
      <c r="J69" s="323"/>
      <c r="K69" s="313"/>
      <c r="L69" s="323"/>
      <c r="M69" s="313"/>
      <c r="N69" s="308"/>
      <c r="O69" s="25"/>
      <c r="Q69" s="311"/>
    </row>
    <row r="70" spans="1:17" ht="12" customHeight="1" x14ac:dyDescent="0.2">
      <c r="A70" s="98" t="s">
        <v>106</v>
      </c>
      <c r="B70" s="88" t="s">
        <v>109</v>
      </c>
      <c r="G70" s="97"/>
      <c r="H70" s="308"/>
      <c r="I70" s="323"/>
      <c r="J70" s="323"/>
      <c r="K70" s="308"/>
      <c r="L70" s="323"/>
      <c r="M70" s="308"/>
      <c r="N70" s="308"/>
      <c r="O70" s="25"/>
      <c r="Q70" s="311"/>
    </row>
    <row r="71" spans="1:17" ht="12" customHeight="1" x14ac:dyDescent="0.2">
      <c r="A71" s="98" t="s">
        <v>107</v>
      </c>
      <c r="B71" s="88" t="s">
        <v>104</v>
      </c>
      <c r="G71" s="97" t="s">
        <v>32</v>
      </c>
      <c r="H71" s="308">
        <f>H65</f>
        <v>2711.3264999999974</v>
      </c>
      <c r="I71" s="323">
        <f>VLOOKUP(A71,'[1]TAB OGU JUN18'!$A:$G,6,"falso")</f>
        <v>20.56</v>
      </c>
      <c r="J71" s="323">
        <f>VLOOKUP(A71,'[1]TAB OGU JUN18'!$A:$G,4,"falso")</f>
        <v>20.56</v>
      </c>
      <c r="K71" s="308">
        <f>H71*J71</f>
        <v>55744.872839999945</v>
      </c>
      <c r="L71" s="323">
        <f>VLOOKUP(A71,'[1]TAB OGU JUN18'!$A:$G,5,"falso")</f>
        <v>0</v>
      </c>
      <c r="M71" s="308"/>
      <c r="N71" s="308">
        <f>H71*I71</f>
        <v>55744.872839999945</v>
      </c>
      <c r="O71" s="25">
        <f>N71/N74</f>
        <v>0.6274841626916271</v>
      </c>
      <c r="Q71" s="311"/>
    </row>
    <row r="72" spans="1:17" ht="12" customHeight="1" x14ac:dyDescent="0.2">
      <c r="A72" s="98" t="s">
        <v>108</v>
      </c>
      <c r="B72" s="88" t="s">
        <v>105</v>
      </c>
      <c r="G72" s="97" t="s">
        <v>32</v>
      </c>
      <c r="H72" s="308">
        <f>H66</f>
        <v>8171.3135993999949</v>
      </c>
      <c r="I72" s="323">
        <f>VLOOKUP(A72,'[1]TAB OGU JUN18'!$A:$G,6,"falso")</f>
        <v>4.05</v>
      </c>
      <c r="J72" s="323">
        <f>VLOOKUP(A72,'[1]TAB OGU JUN18'!$A:$G,4,"falso")</f>
        <v>4.05</v>
      </c>
      <c r="K72" s="308">
        <f>H72*J72</f>
        <v>33093.820077569981</v>
      </c>
      <c r="L72" s="323">
        <f>VLOOKUP(A72,'[1]TAB OGU JUN18'!$A:$G,5,"falso")</f>
        <v>0</v>
      </c>
      <c r="M72" s="308"/>
      <c r="N72" s="308">
        <f>H72*I72</f>
        <v>33093.820077569981</v>
      </c>
      <c r="O72" s="25">
        <f>N72/N74</f>
        <v>0.37251583730837295</v>
      </c>
      <c r="Q72" s="311"/>
    </row>
    <row r="73" spans="1:17" ht="12" customHeight="1" x14ac:dyDescent="0.2">
      <c r="B73" s="130"/>
      <c r="G73" s="52"/>
      <c r="H73" s="324"/>
      <c r="I73" s="583"/>
      <c r="J73" s="583"/>
      <c r="K73" s="584"/>
      <c r="L73" s="583"/>
      <c r="M73" s="584"/>
      <c r="N73" s="308"/>
      <c r="O73" s="25"/>
      <c r="Q73" s="311"/>
    </row>
    <row r="74" spans="1:17" ht="12" customHeight="1" x14ac:dyDescent="0.2">
      <c r="B74" s="130" t="s">
        <v>18</v>
      </c>
      <c r="C74" s="131"/>
      <c r="D74" s="131"/>
      <c r="E74" s="131"/>
      <c r="F74" s="131"/>
      <c r="G74" s="53"/>
      <c r="H74" s="325"/>
      <c r="I74" s="582"/>
      <c r="J74" s="582"/>
      <c r="K74" s="326"/>
      <c r="L74" s="582"/>
      <c r="M74" s="326"/>
      <c r="N74" s="308">
        <f>N72+N71</f>
        <v>88838.692917569919</v>
      </c>
      <c r="O74" s="25">
        <f>N74/N86</f>
        <v>0.25764960327667752</v>
      </c>
      <c r="Q74" s="311"/>
    </row>
    <row r="75" spans="1:17" ht="12" customHeight="1" x14ac:dyDescent="0.2">
      <c r="B75" s="130"/>
      <c r="G75" s="52"/>
      <c r="H75" s="324"/>
      <c r="I75" s="323"/>
      <c r="J75" s="323"/>
      <c r="K75" s="313"/>
      <c r="L75" s="323"/>
      <c r="M75" s="313"/>
      <c r="N75" s="308"/>
      <c r="O75" s="25"/>
      <c r="Q75" s="311"/>
    </row>
    <row r="76" spans="1:17" ht="12" customHeight="1" x14ac:dyDescent="0.2">
      <c r="A76" s="98" t="s">
        <v>110</v>
      </c>
      <c r="B76" s="88" t="s">
        <v>112</v>
      </c>
      <c r="G76" s="52"/>
      <c r="H76" s="324"/>
      <c r="I76" s="323"/>
      <c r="J76" s="323"/>
      <c r="K76" s="313"/>
      <c r="L76" s="323"/>
      <c r="M76" s="313"/>
      <c r="N76" s="313"/>
      <c r="O76" s="19"/>
      <c r="Q76" s="311"/>
    </row>
    <row r="77" spans="1:17" ht="12" customHeight="1" x14ac:dyDescent="0.2">
      <c r="A77" s="98" t="s">
        <v>111</v>
      </c>
      <c r="B77" s="88" t="s">
        <v>113</v>
      </c>
      <c r="G77" s="97" t="s">
        <v>32</v>
      </c>
      <c r="H77" s="308">
        <f>U12</f>
        <v>1208.544656099999</v>
      </c>
      <c r="I77" s="323">
        <f>VLOOKUP(A77,'[1]TAB OGU JUN18'!$A:$G,6,"falso")</f>
        <v>1.85</v>
      </c>
      <c r="J77" s="323">
        <f>VLOOKUP(A77,'[1]TAB OGU JUN18'!$A:$G,4,"falso")</f>
        <v>1.85</v>
      </c>
      <c r="K77" s="308">
        <f>H77*J77</f>
        <v>2235.807613784998</v>
      </c>
      <c r="L77" s="323">
        <f>VLOOKUP(A77,'[1]TAB OGU JUN18'!$A:$G,5,"falso")</f>
        <v>0</v>
      </c>
      <c r="M77" s="308"/>
      <c r="N77" s="308">
        <f>H77*I77</f>
        <v>2235.807613784998</v>
      </c>
      <c r="O77" s="25">
        <f>N77/N79</f>
        <v>1</v>
      </c>
      <c r="Q77" s="311"/>
    </row>
    <row r="78" spans="1:17" ht="12" customHeight="1" x14ac:dyDescent="0.2">
      <c r="G78" s="52"/>
      <c r="H78" s="324"/>
      <c r="I78" s="323"/>
      <c r="J78" s="323"/>
      <c r="K78" s="313"/>
      <c r="L78" s="323"/>
      <c r="M78" s="313"/>
      <c r="N78" s="313"/>
      <c r="O78" s="19"/>
      <c r="Q78" s="311"/>
    </row>
    <row r="79" spans="1:17" ht="12" customHeight="1" x14ac:dyDescent="0.2">
      <c r="B79" s="130" t="s">
        <v>18</v>
      </c>
      <c r="C79" s="131"/>
      <c r="D79" s="131"/>
      <c r="E79" s="131"/>
      <c r="F79" s="131"/>
      <c r="G79" s="53"/>
      <c r="H79" s="325"/>
      <c r="I79" s="582"/>
      <c r="J79" s="582"/>
      <c r="K79" s="326"/>
      <c r="L79" s="582"/>
      <c r="M79" s="326"/>
      <c r="N79" s="308">
        <f>N77</f>
        <v>2235.807613784998</v>
      </c>
      <c r="O79" s="25">
        <f>N79/N86</f>
        <v>6.4842798309648645E-3</v>
      </c>
      <c r="Q79" s="311"/>
    </row>
    <row r="80" spans="1:17" ht="12" customHeight="1" x14ac:dyDescent="0.2">
      <c r="B80" s="130"/>
      <c r="G80" s="52"/>
      <c r="H80" s="324"/>
      <c r="I80" s="323"/>
      <c r="J80" s="323"/>
      <c r="K80" s="313"/>
      <c r="L80" s="323"/>
      <c r="M80" s="313"/>
      <c r="N80" s="308"/>
      <c r="O80" s="25"/>
      <c r="Q80" s="311"/>
    </row>
    <row r="81" spans="1:18" ht="12" customHeight="1" x14ac:dyDescent="0.2">
      <c r="A81" s="98" t="s">
        <v>114</v>
      </c>
      <c r="B81" s="88" t="s">
        <v>737</v>
      </c>
      <c r="G81" s="52"/>
      <c r="H81" s="324"/>
      <c r="I81" s="323"/>
      <c r="J81" s="323"/>
      <c r="K81" s="313"/>
      <c r="L81" s="323"/>
      <c r="M81" s="313"/>
      <c r="N81" s="313"/>
      <c r="O81" s="19"/>
      <c r="Q81" s="311"/>
    </row>
    <row r="82" spans="1:18" ht="12" customHeight="1" x14ac:dyDescent="0.2">
      <c r="A82" s="98" t="s">
        <v>115</v>
      </c>
      <c r="B82" s="88" t="s">
        <v>116</v>
      </c>
      <c r="G82" s="97" t="s">
        <v>180</v>
      </c>
      <c r="H82" s="308">
        <f>3*H77</f>
        <v>3625.6339682999969</v>
      </c>
      <c r="I82" s="323">
        <f>VLOOKUP(A82,'[1]TAB OGU JUN18'!$A:$G,6,"falso")</f>
        <v>1</v>
      </c>
      <c r="J82" s="323">
        <f>VLOOKUP(A82,'[1]TAB OGU JUN18'!$A:$G,4,"falso")</f>
        <v>1</v>
      </c>
      <c r="K82" s="308">
        <f>H82*J82</f>
        <v>3625.6339682999969</v>
      </c>
      <c r="L82" s="323">
        <f>VLOOKUP(A82,'[1]TAB OGU JUN18'!$A:$G,5,"falso")</f>
        <v>0</v>
      </c>
      <c r="M82" s="308"/>
      <c r="N82" s="308">
        <f>H82*I82</f>
        <v>3625.6339682999969</v>
      </c>
      <c r="O82" s="25">
        <f>N82/N84</f>
        <v>1</v>
      </c>
      <c r="Q82" s="311"/>
    </row>
    <row r="83" spans="1:18" ht="12" customHeight="1" x14ac:dyDescent="0.2">
      <c r="G83" s="52"/>
      <c r="H83" s="324"/>
      <c r="I83" s="323"/>
      <c r="J83" s="323"/>
      <c r="K83" s="313"/>
      <c r="L83" s="323"/>
      <c r="M83" s="313"/>
      <c r="N83" s="313"/>
      <c r="O83" s="19"/>
      <c r="Q83" s="311"/>
    </row>
    <row r="84" spans="1:18" ht="12" customHeight="1" x14ac:dyDescent="0.2">
      <c r="B84" s="130" t="s">
        <v>18</v>
      </c>
      <c r="C84" s="131"/>
      <c r="D84" s="131"/>
      <c r="E84" s="131"/>
      <c r="F84" s="131"/>
      <c r="G84" s="53"/>
      <c r="H84" s="325"/>
      <c r="I84" s="582"/>
      <c r="J84" s="582"/>
      <c r="K84" s="326"/>
      <c r="L84" s="582"/>
      <c r="M84" s="326"/>
      <c r="N84" s="308">
        <f>N82</f>
        <v>3625.6339682999969</v>
      </c>
      <c r="O84" s="25">
        <f>N84/N86</f>
        <v>1.0515048374537619E-2</v>
      </c>
      <c r="Q84" s="311"/>
    </row>
    <row r="85" spans="1:18" ht="12" customHeight="1" x14ac:dyDescent="0.2">
      <c r="B85" s="130"/>
      <c r="G85" s="52"/>
      <c r="H85" s="324"/>
      <c r="I85" s="323"/>
      <c r="J85" s="323"/>
      <c r="K85" s="313"/>
      <c r="L85" s="323"/>
      <c r="M85" s="313"/>
      <c r="N85" s="308"/>
      <c r="O85" s="25"/>
      <c r="Q85" s="311"/>
    </row>
    <row r="86" spans="1:18" s="132" customFormat="1" ht="12" customHeight="1" x14ac:dyDescent="0.2">
      <c r="B86" s="133" t="s">
        <v>20</v>
      </c>
      <c r="C86" s="134"/>
      <c r="D86" s="134"/>
      <c r="E86" s="134"/>
      <c r="F86" s="134"/>
      <c r="G86" s="78"/>
      <c r="H86" s="327"/>
      <c r="I86" s="582"/>
      <c r="J86" s="582"/>
      <c r="K86" s="328"/>
      <c r="L86" s="582"/>
      <c r="M86" s="328"/>
      <c r="N86" s="310">
        <f>N84+N79+N74+N68+N62+N56</f>
        <v>344804.3070424227</v>
      </c>
      <c r="O86" s="77">
        <f>N86/N190</f>
        <v>0.33788941081975932</v>
      </c>
      <c r="Q86" s="311"/>
      <c r="R86" s="51"/>
    </row>
    <row r="87" spans="1:18" ht="12" customHeight="1" x14ac:dyDescent="0.2">
      <c r="B87" s="130"/>
      <c r="G87" s="52"/>
      <c r="H87" s="324"/>
      <c r="I87" s="323"/>
      <c r="J87" s="323"/>
      <c r="K87" s="313"/>
      <c r="L87" s="323"/>
      <c r="M87" s="313"/>
      <c r="N87" s="308"/>
      <c r="O87" s="25"/>
      <c r="Q87" s="311"/>
    </row>
    <row r="88" spans="1:18" ht="12" customHeight="1" x14ac:dyDescent="0.2">
      <c r="A88" s="129" t="s">
        <v>117</v>
      </c>
      <c r="B88" s="88" t="s">
        <v>22</v>
      </c>
      <c r="H88" s="329"/>
      <c r="I88" s="323"/>
      <c r="J88" s="323"/>
      <c r="K88" s="311"/>
      <c r="L88" s="323"/>
      <c r="M88" s="311"/>
      <c r="N88" s="311"/>
      <c r="O88" s="19"/>
      <c r="Q88" s="311"/>
    </row>
    <row r="89" spans="1:18" ht="12" customHeight="1" x14ac:dyDescent="0.2">
      <c r="A89" s="129" t="s">
        <v>118</v>
      </c>
      <c r="B89" s="88" t="s">
        <v>23</v>
      </c>
      <c r="H89" s="329"/>
      <c r="I89" s="323"/>
      <c r="J89" s="323"/>
      <c r="K89" s="311"/>
      <c r="L89" s="323"/>
      <c r="M89" s="311"/>
      <c r="N89" s="311"/>
      <c r="O89" s="19"/>
      <c r="Q89" s="311"/>
    </row>
    <row r="90" spans="1:18" ht="12" customHeight="1" x14ac:dyDescent="0.2">
      <c r="A90" s="129" t="s">
        <v>119</v>
      </c>
      <c r="B90" s="88" t="s">
        <v>120</v>
      </c>
      <c r="G90" s="97" t="s">
        <v>31</v>
      </c>
      <c r="H90" s="308">
        <f>0.95*$S$6</f>
        <v>2342.6422760999999</v>
      </c>
      <c r="I90" s="323">
        <f>VLOOKUP(A90,'[1]TAB OGU JUN18'!$A:$G,6,"falso")</f>
        <v>14.81</v>
      </c>
      <c r="J90" s="323">
        <f>VLOOKUP(A90,'[1]TAB OGU JUN18'!$A:$G,4,"falso")</f>
        <v>13.63</v>
      </c>
      <c r="K90" s="308">
        <f>H90*J90</f>
        <v>31930.214223243001</v>
      </c>
      <c r="L90" s="323">
        <f>VLOOKUP(A90,'[1]TAB OGU JUN18'!$A:$G,5,"falso")</f>
        <v>1.18</v>
      </c>
      <c r="M90" s="308">
        <f>H90*L90</f>
        <v>2764.3178857979997</v>
      </c>
      <c r="N90" s="308">
        <f>H90*I90</f>
        <v>34694.532109041</v>
      </c>
      <c r="O90" s="25">
        <f>N90/N93</f>
        <v>0.92425685662670387</v>
      </c>
      <c r="Q90" s="311"/>
    </row>
    <row r="91" spans="1:18" ht="12" customHeight="1" x14ac:dyDescent="0.2">
      <c r="A91" s="129" t="s">
        <v>224</v>
      </c>
      <c r="B91" s="88" t="s">
        <v>225</v>
      </c>
      <c r="G91" s="97" t="s">
        <v>31</v>
      </c>
      <c r="H91" s="308">
        <f>0.05*$S$6</f>
        <v>123.2969619</v>
      </c>
      <c r="I91" s="323">
        <f>VLOOKUP(A91,'[1]TAB OGU JUN18'!$A:$G,6,"falso")</f>
        <v>23.06</v>
      </c>
      <c r="J91" s="323">
        <f>VLOOKUP(A91,'[1]TAB OGU JUN18'!$A:$G,4,"falso")</f>
        <v>22.37</v>
      </c>
      <c r="K91" s="308">
        <f>H91*J91</f>
        <v>2758.1530377030003</v>
      </c>
      <c r="L91" s="323">
        <f>VLOOKUP(A91,'[1]TAB OGU JUN18'!$A:$G,5,"falso")</f>
        <v>0.69</v>
      </c>
      <c r="M91" s="308">
        <f>H91*L91</f>
        <v>85.07490371099999</v>
      </c>
      <c r="N91" s="308">
        <f>H91*I91</f>
        <v>2843.2279414139998</v>
      </c>
      <c r="O91" s="25">
        <f>N91/N93</f>
        <v>7.5743143373296101E-2</v>
      </c>
      <c r="Q91" s="311"/>
    </row>
    <row r="92" spans="1:18" ht="12" customHeight="1" x14ac:dyDescent="0.2">
      <c r="B92" s="130"/>
      <c r="G92" s="52"/>
      <c r="H92" s="324"/>
      <c r="I92" s="323"/>
      <c r="J92" s="323"/>
      <c r="K92" s="313"/>
      <c r="L92" s="323"/>
      <c r="M92" s="313"/>
      <c r="N92" s="308"/>
      <c r="O92" s="25"/>
      <c r="Q92" s="311"/>
    </row>
    <row r="93" spans="1:18" ht="12" customHeight="1" x14ac:dyDescent="0.2">
      <c r="B93" s="130" t="s">
        <v>18</v>
      </c>
      <c r="C93" s="131"/>
      <c r="D93" s="131"/>
      <c r="E93" s="131"/>
      <c r="F93" s="131"/>
      <c r="G93" s="53"/>
      <c r="H93" s="325"/>
      <c r="I93" s="582"/>
      <c r="J93" s="582"/>
      <c r="K93" s="326"/>
      <c r="L93" s="582"/>
      <c r="M93" s="326"/>
      <c r="N93" s="308">
        <f>N90+N91</f>
        <v>37537.760050454999</v>
      </c>
      <c r="O93" s="25">
        <f>N93/N100</f>
        <v>1</v>
      </c>
      <c r="Q93" s="311"/>
    </row>
    <row r="94" spans="1:18" ht="12.75" x14ac:dyDescent="0.2">
      <c r="B94" s="130"/>
      <c r="G94" s="52"/>
      <c r="H94" s="324"/>
      <c r="I94" s="323"/>
      <c r="J94" s="323"/>
      <c r="K94" s="313"/>
      <c r="L94" s="323"/>
      <c r="M94" s="313"/>
      <c r="N94" s="308"/>
      <c r="O94" s="25"/>
      <c r="Q94" s="311"/>
    </row>
    <row r="95" spans="1:18" ht="12.75" hidden="1" x14ac:dyDescent="0.2">
      <c r="A95" s="129" t="s">
        <v>304</v>
      </c>
      <c r="B95" s="88" t="s">
        <v>305</v>
      </c>
      <c r="H95" s="329"/>
      <c r="I95" s="323"/>
      <c r="J95" s="323"/>
      <c r="K95" s="311"/>
      <c r="L95" s="323"/>
      <c r="M95" s="311"/>
      <c r="N95" s="311"/>
      <c r="O95" s="19"/>
      <c r="Q95" s="311"/>
    </row>
    <row r="96" spans="1:18" ht="12.75" hidden="1" x14ac:dyDescent="0.2">
      <c r="A96" s="129" t="s">
        <v>306</v>
      </c>
      <c r="B96" s="88" t="s">
        <v>307</v>
      </c>
      <c r="G96" s="97" t="s">
        <v>31</v>
      </c>
      <c r="H96" s="308"/>
      <c r="I96" s="323">
        <f>VLOOKUP(A96,'[1]TAB OGU JUN18'!$A:$G,6,"falso")</f>
        <v>144.25</v>
      </c>
      <c r="J96" s="323">
        <f>VLOOKUP(A96,'[1]TAB OGU JUN18'!$A:$G,4,"falso")</f>
        <v>134.15</v>
      </c>
      <c r="K96" s="308">
        <f>H96*J96</f>
        <v>0</v>
      </c>
      <c r="L96" s="323">
        <f>VLOOKUP(A96,'[1]TAB OGU JUN18'!$A:$G,5,"falso")</f>
        <v>10.1</v>
      </c>
      <c r="M96" s="308">
        <f>H96*L96</f>
        <v>0</v>
      </c>
      <c r="N96" s="308">
        <f>H96*I96</f>
        <v>0</v>
      </c>
      <c r="O96" s="25" t="e">
        <f>N96/N98</f>
        <v>#DIV/0!</v>
      </c>
      <c r="Q96" s="311"/>
    </row>
    <row r="97" spans="1:18" ht="12.75" hidden="1" x14ac:dyDescent="0.2">
      <c r="B97" s="130"/>
      <c r="G97" s="52"/>
      <c r="H97" s="324"/>
      <c r="I97" s="323"/>
      <c r="J97" s="323"/>
      <c r="K97" s="313"/>
      <c r="L97" s="323"/>
      <c r="M97" s="313"/>
      <c r="N97" s="308"/>
      <c r="O97" s="25"/>
      <c r="Q97" s="311"/>
    </row>
    <row r="98" spans="1:18" ht="12.75" hidden="1" x14ac:dyDescent="0.2">
      <c r="B98" s="130" t="s">
        <v>18</v>
      </c>
      <c r="C98" s="131"/>
      <c r="D98" s="131"/>
      <c r="E98" s="131"/>
      <c r="F98" s="131"/>
      <c r="G98" s="53"/>
      <c r="H98" s="325"/>
      <c r="I98" s="582"/>
      <c r="J98" s="582"/>
      <c r="K98" s="326"/>
      <c r="L98" s="582"/>
      <c r="M98" s="326"/>
      <c r="N98" s="308">
        <f>N96</f>
        <v>0</v>
      </c>
      <c r="O98" s="25">
        <f>N98/N100</f>
        <v>0</v>
      </c>
      <c r="Q98" s="311"/>
    </row>
    <row r="99" spans="1:18" ht="12.75" hidden="1" x14ac:dyDescent="0.2">
      <c r="B99" s="130"/>
      <c r="G99" s="52"/>
      <c r="H99" s="324"/>
      <c r="I99" s="323"/>
      <c r="J99" s="323"/>
      <c r="K99" s="313"/>
      <c r="L99" s="323"/>
      <c r="M99" s="313"/>
      <c r="N99" s="308"/>
      <c r="O99" s="25"/>
      <c r="Q99" s="311"/>
    </row>
    <row r="100" spans="1:18" s="132" customFormat="1" ht="12" customHeight="1" x14ac:dyDescent="0.2">
      <c r="B100" s="133" t="s">
        <v>20</v>
      </c>
      <c r="C100" s="134"/>
      <c r="D100" s="134"/>
      <c r="E100" s="134"/>
      <c r="F100" s="134"/>
      <c r="G100" s="78"/>
      <c r="H100" s="327"/>
      <c r="I100" s="582"/>
      <c r="J100" s="582"/>
      <c r="K100" s="328"/>
      <c r="L100" s="582"/>
      <c r="M100" s="328"/>
      <c r="N100" s="310">
        <f>N93+N98</f>
        <v>37537.760050454999</v>
      </c>
      <c r="O100" s="77">
        <f>N100/N190</f>
        <v>3.6784957055020835E-2</v>
      </c>
      <c r="Q100" s="311"/>
      <c r="R100" s="51"/>
    </row>
    <row r="101" spans="1:18" ht="12" customHeight="1" x14ac:dyDescent="0.2">
      <c r="B101" s="130"/>
      <c r="G101" s="52"/>
      <c r="H101" s="324"/>
      <c r="I101" s="323"/>
      <c r="J101" s="323"/>
      <c r="K101" s="313"/>
      <c r="L101" s="323"/>
      <c r="M101" s="313"/>
      <c r="N101" s="308"/>
      <c r="O101" s="25"/>
      <c r="Q101" s="311"/>
    </row>
    <row r="102" spans="1:18" ht="12" customHeight="1" x14ac:dyDescent="0.2">
      <c r="A102" s="129" t="s">
        <v>124</v>
      </c>
      <c r="B102" s="88" t="s">
        <v>121</v>
      </c>
      <c r="H102" s="329"/>
      <c r="I102" s="323"/>
      <c r="J102" s="323"/>
      <c r="K102" s="311"/>
      <c r="L102" s="323"/>
      <c r="M102" s="311"/>
      <c r="N102" s="311"/>
      <c r="O102" s="19"/>
      <c r="Q102" s="311"/>
    </row>
    <row r="103" spans="1:18" ht="12" customHeight="1" x14ac:dyDescent="0.2">
      <c r="A103" s="129" t="s">
        <v>125</v>
      </c>
      <c r="B103" s="88" t="s">
        <v>122</v>
      </c>
      <c r="H103" s="329"/>
      <c r="I103" s="323"/>
      <c r="J103" s="323"/>
      <c r="K103" s="311"/>
      <c r="L103" s="323"/>
      <c r="M103" s="311"/>
      <c r="N103" s="311"/>
      <c r="O103" s="19"/>
      <c r="Q103" s="311"/>
    </row>
    <row r="104" spans="1:18" ht="12" customHeight="1" x14ac:dyDescent="0.2">
      <c r="A104" s="129" t="s">
        <v>126</v>
      </c>
      <c r="B104" s="88" t="s">
        <v>189</v>
      </c>
      <c r="G104" s="97" t="s">
        <v>123</v>
      </c>
      <c r="H104" s="308">
        <f>((H14*R6*Q6)*0.06*1000)/20000</f>
        <v>35.906563444400227</v>
      </c>
      <c r="I104" s="323">
        <f>VLOOKUP(A104,'[1]TAB OGU JUN18'!$A:$G,6,"falso")</f>
        <v>5.52</v>
      </c>
      <c r="J104" s="323">
        <f>VLOOKUP(A104,'[1]TAB OGU JUN18'!$A:$G,4,"falso")</f>
        <v>5.52</v>
      </c>
      <c r="K104" s="308">
        <f>H104*J104</f>
        <v>198.20423021308923</v>
      </c>
      <c r="L104" s="323">
        <f>VLOOKUP(A104,'[1]TAB OGU JUN18'!$A:$G,5,"falso")</f>
        <v>0</v>
      </c>
      <c r="M104" s="308"/>
      <c r="N104" s="308">
        <f>H104*I104</f>
        <v>198.20423021308923</v>
      </c>
      <c r="O104" s="25">
        <f>N104/N106</f>
        <v>1</v>
      </c>
      <c r="Q104" s="311"/>
    </row>
    <row r="105" spans="1:18" ht="12" customHeight="1" x14ac:dyDescent="0.2">
      <c r="B105" s="130"/>
      <c r="G105" s="52"/>
      <c r="H105" s="324"/>
      <c r="I105" s="323"/>
      <c r="J105" s="323"/>
      <c r="K105" s="313"/>
      <c r="L105" s="323"/>
      <c r="M105" s="313"/>
      <c r="N105" s="308"/>
      <c r="O105" s="25"/>
      <c r="Q105" s="311"/>
    </row>
    <row r="106" spans="1:18" ht="12" customHeight="1" x14ac:dyDescent="0.2">
      <c r="B106" s="130" t="s">
        <v>18</v>
      </c>
      <c r="C106" s="131"/>
      <c r="D106" s="131"/>
      <c r="E106" s="131"/>
      <c r="F106" s="131"/>
      <c r="G106" s="53"/>
      <c r="H106" s="325"/>
      <c r="I106" s="582"/>
      <c r="J106" s="582"/>
      <c r="K106" s="326"/>
      <c r="L106" s="582"/>
      <c r="M106" s="326"/>
      <c r="N106" s="308">
        <f>N104</f>
        <v>198.20423021308923</v>
      </c>
      <c r="O106" s="25">
        <f>N106/N108</f>
        <v>1</v>
      </c>
      <c r="Q106" s="311"/>
    </row>
    <row r="107" spans="1:18" ht="12" customHeight="1" x14ac:dyDescent="0.2">
      <c r="B107" s="130"/>
      <c r="G107" s="52"/>
      <c r="H107" s="324"/>
      <c r="I107" s="323"/>
      <c r="J107" s="323"/>
      <c r="K107" s="313"/>
      <c r="L107" s="323"/>
      <c r="M107" s="313"/>
      <c r="N107" s="308"/>
      <c r="O107" s="25"/>
      <c r="Q107" s="311"/>
    </row>
    <row r="108" spans="1:18" s="132" customFormat="1" ht="12" customHeight="1" x14ac:dyDescent="0.2">
      <c r="B108" s="133" t="s">
        <v>20</v>
      </c>
      <c r="C108" s="134"/>
      <c r="D108" s="134"/>
      <c r="E108" s="134"/>
      <c r="F108" s="134"/>
      <c r="G108" s="78"/>
      <c r="H108" s="327"/>
      <c r="I108" s="582"/>
      <c r="J108" s="582"/>
      <c r="K108" s="328"/>
      <c r="L108" s="582"/>
      <c r="M108" s="328"/>
      <c r="N108" s="310">
        <f>N106</f>
        <v>198.20423021308923</v>
      </c>
      <c r="O108" s="77">
        <f>N108/N190</f>
        <v>1.9422933298929158E-4</v>
      </c>
      <c r="Q108" s="311"/>
      <c r="R108" s="51"/>
    </row>
    <row r="109" spans="1:18" ht="12" customHeight="1" x14ac:dyDescent="0.2">
      <c r="B109" s="130"/>
      <c r="G109" s="52"/>
      <c r="H109" s="324"/>
      <c r="I109" s="323"/>
      <c r="J109" s="323"/>
      <c r="K109" s="313"/>
      <c r="L109" s="323"/>
      <c r="M109" s="313"/>
      <c r="N109" s="308"/>
      <c r="O109" s="25"/>
      <c r="Q109" s="311"/>
    </row>
    <row r="110" spans="1:18" ht="12" customHeight="1" x14ac:dyDescent="0.2">
      <c r="A110" s="129" t="s">
        <v>127</v>
      </c>
      <c r="B110" s="88" t="s">
        <v>130</v>
      </c>
      <c r="H110" s="329"/>
      <c r="I110" s="323"/>
      <c r="J110" s="323"/>
      <c r="K110" s="311"/>
      <c r="L110" s="323"/>
      <c r="M110" s="311"/>
      <c r="N110" s="311"/>
      <c r="O110" s="19"/>
      <c r="Q110" s="311"/>
    </row>
    <row r="111" spans="1:18" ht="12" customHeight="1" x14ac:dyDescent="0.2">
      <c r="A111" s="129" t="s">
        <v>128</v>
      </c>
      <c r="B111" s="88" t="s">
        <v>131</v>
      </c>
      <c r="H111" s="329"/>
      <c r="I111" s="323"/>
      <c r="J111" s="323"/>
      <c r="K111" s="311"/>
      <c r="L111" s="323"/>
      <c r="M111" s="311"/>
      <c r="N111" s="311"/>
      <c r="O111" s="19"/>
      <c r="Q111" s="311"/>
    </row>
    <row r="112" spans="1:18" ht="12.75" customHeight="1" x14ac:dyDescent="0.2">
      <c r="A112" s="129" t="s">
        <v>129</v>
      </c>
      <c r="B112" s="88" t="s">
        <v>132</v>
      </c>
      <c r="G112" s="97" t="s">
        <v>17</v>
      </c>
      <c r="H112" s="308">
        <f>H14-H113</f>
        <v>17103.389999999992</v>
      </c>
      <c r="I112" s="323">
        <f>VLOOKUP(A112,'[1]TAB OGU JUN18'!$A:$G,6,"falso")</f>
        <v>2.64</v>
      </c>
      <c r="J112" s="323">
        <f>VLOOKUP(A112,'[1]TAB OGU JUN18'!$A:$G,4,"falso")</f>
        <v>2.56</v>
      </c>
      <c r="K112" s="308">
        <f>H112*J112</f>
        <v>43784.678399999983</v>
      </c>
      <c r="L112" s="323">
        <f>VLOOKUP(A112,'[1]TAB OGU JUN18'!$A:$G,5,"falso")</f>
        <v>0.08</v>
      </c>
      <c r="M112" s="308">
        <f>H112*L112</f>
        <v>1368.2711999999995</v>
      </c>
      <c r="N112" s="308">
        <f>H112*I112</f>
        <v>45152.949599999978</v>
      </c>
      <c r="O112" s="25">
        <f>N112/$N$115</f>
        <v>0.99005532791349671</v>
      </c>
      <c r="Q112" s="311"/>
    </row>
    <row r="113" spans="1:17" ht="12.75" x14ac:dyDescent="0.2">
      <c r="A113" s="129" t="s">
        <v>207</v>
      </c>
      <c r="B113" s="88" t="s">
        <v>206</v>
      </c>
      <c r="G113" s="97" t="s">
        <v>17</v>
      </c>
      <c r="H113" s="308">
        <v>144.44</v>
      </c>
      <c r="I113" s="323">
        <f>VLOOKUP(A113,'[1]TAB OGU JUN18'!$A:$G,6,"falso")</f>
        <v>3.14</v>
      </c>
      <c r="J113" s="323">
        <f>VLOOKUP(A113,'[1]TAB OGU JUN18'!$A:$G,4,"falso")</f>
        <v>3.01</v>
      </c>
      <c r="K113" s="308">
        <f>H113*J113</f>
        <v>434.76439999999997</v>
      </c>
      <c r="L113" s="323">
        <f>VLOOKUP(A113,'[1]TAB OGU JUN18'!$A:$G,5,"falso")</f>
        <v>0.13</v>
      </c>
      <c r="M113" s="308">
        <f>H113*L113</f>
        <v>18.777200000000001</v>
      </c>
      <c r="N113" s="308">
        <f>H113*I113</f>
        <v>453.54160000000002</v>
      </c>
      <c r="O113" s="25">
        <f>N113/$N$115</f>
        <v>9.9446720865033408E-3</v>
      </c>
      <c r="Q113" s="311"/>
    </row>
    <row r="114" spans="1:17" ht="12" customHeight="1" x14ac:dyDescent="0.2">
      <c r="B114" s="130"/>
      <c r="G114" s="52"/>
      <c r="H114" s="324"/>
      <c r="I114" s="323"/>
      <c r="J114" s="323"/>
      <c r="K114" s="313"/>
      <c r="L114" s="323"/>
      <c r="M114" s="313"/>
      <c r="N114" s="308"/>
      <c r="O114" s="25"/>
      <c r="Q114" s="311"/>
    </row>
    <row r="115" spans="1:17" ht="12" customHeight="1" x14ac:dyDescent="0.2">
      <c r="B115" s="130" t="s">
        <v>18</v>
      </c>
      <c r="C115" s="131"/>
      <c r="D115" s="131"/>
      <c r="E115" s="131"/>
      <c r="F115" s="131"/>
      <c r="G115" s="53"/>
      <c r="H115" s="325"/>
      <c r="I115" s="582"/>
      <c r="J115" s="582"/>
      <c r="K115" s="326"/>
      <c r="L115" s="582"/>
      <c r="M115" s="326"/>
      <c r="N115" s="308">
        <f>N112+N113</f>
        <v>45606.491199999975</v>
      </c>
      <c r="O115" s="25">
        <f>N115/N138</f>
        <v>0.1269883985560013</v>
      </c>
      <c r="Q115" s="311"/>
    </row>
    <row r="116" spans="1:17" ht="12" customHeight="1" x14ac:dyDescent="0.2">
      <c r="B116" s="130"/>
      <c r="G116" s="52"/>
      <c r="H116" s="324"/>
      <c r="I116" s="323"/>
      <c r="J116" s="323"/>
      <c r="K116" s="313"/>
      <c r="L116" s="323"/>
      <c r="M116" s="313"/>
      <c r="N116" s="308"/>
      <c r="O116" s="25"/>
      <c r="Q116" s="311"/>
    </row>
    <row r="117" spans="1:17" ht="12" customHeight="1" x14ac:dyDescent="0.2">
      <c r="A117" s="129" t="s">
        <v>133</v>
      </c>
      <c r="B117" s="88" t="s">
        <v>135</v>
      </c>
      <c r="H117" s="329"/>
      <c r="I117" s="323"/>
      <c r="J117" s="323"/>
      <c r="K117" s="311"/>
      <c r="L117" s="323"/>
      <c r="M117" s="311"/>
      <c r="N117" s="311"/>
      <c r="O117" s="19"/>
      <c r="Q117" s="311"/>
    </row>
    <row r="118" spans="1:17" ht="12" customHeight="1" x14ac:dyDescent="0.2">
      <c r="A118" s="129" t="s">
        <v>134</v>
      </c>
      <c r="B118" s="88" t="s">
        <v>136</v>
      </c>
      <c r="G118" s="97" t="s">
        <v>24</v>
      </c>
      <c r="H118" s="308">
        <f>T6</f>
        <v>199</v>
      </c>
      <c r="I118" s="323">
        <f>VLOOKUP(A118,'[1]TAB OGU JUN18'!$A:$G,6,"falso")</f>
        <v>30.79</v>
      </c>
      <c r="J118" s="323">
        <f>VLOOKUP(A118,'[1]TAB OGU JUN18'!$A:$G,4,"falso")</f>
        <v>22.49</v>
      </c>
      <c r="K118" s="308">
        <f>H118*J118</f>
        <v>4475.5099999999993</v>
      </c>
      <c r="L118" s="323">
        <f>VLOOKUP(A118,'[1]TAB OGU JUN18'!$A:$G,5,"falso")</f>
        <v>8.3000000000000007</v>
      </c>
      <c r="M118" s="308">
        <f>H118*L118</f>
        <v>1651.7</v>
      </c>
      <c r="N118" s="308">
        <f>H118*I118</f>
        <v>6127.21</v>
      </c>
      <c r="O118" s="25">
        <f>N118/N120</f>
        <v>1</v>
      </c>
      <c r="Q118" s="311"/>
    </row>
    <row r="119" spans="1:17" ht="12" customHeight="1" x14ac:dyDescent="0.2">
      <c r="B119" s="130"/>
      <c r="G119" s="52"/>
      <c r="H119" s="324"/>
      <c r="I119" s="323"/>
      <c r="J119" s="323"/>
      <c r="K119" s="313"/>
      <c r="L119" s="323"/>
      <c r="M119" s="313"/>
      <c r="N119" s="308"/>
      <c r="O119" s="25"/>
      <c r="Q119" s="311"/>
    </row>
    <row r="120" spans="1:17" ht="12" customHeight="1" x14ac:dyDescent="0.2">
      <c r="B120" s="130" t="s">
        <v>18</v>
      </c>
      <c r="C120" s="131"/>
      <c r="D120" s="131"/>
      <c r="E120" s="131"/>
      <c r="F120" s="131"/>
      <c r="G120" s="53"/>
      <c r="H120" s="325"/>
      <c r="I120" s="582"/>
      <c r="J120" s="582"/>
      <c r="K120" s="326"/>
      <c r="L120" s="582"/>
      <c r="M120" s="326"/>
      <c r="N120" s="308">
        <f>N118</f>
        <v>6127.21</v>
      </c>
      <c r="O120" s="25">
        <f>N120/N138</f>
        <v>1.7060829830213228E-2</v>
      </c>
      <c r="Q120" s="311"/>
    </row>
    <row r="121" spans="1:17" ht="12" customHeight="1" x14ac:dyDescent="0.2">
      <c r="B121" s="130"/>
      <c r="G121" s="52"/>
      <c r="H121" s="324"/>
      <c r="I121" s="323"/>
      <c r="J121" s="323"/>
      <c r="K121" s="313"/>
      <c r="L121" s="323"/>
      <c r="M121" s="313"/>
      <c r="N121" s="308"/>
      <c r="O121" s="25"/>
      <c r="Q121" s="311"/>
    </row>
    <row r="122" spans="1:17" ht="12" customHeight="1" x14ac:dyDescent="0.2">
      <c r="A122" s="129" t="s">
        <v>137</v>
      </c>
      <c r="B122" s="88" t="s">
        <v>25</v>
      </c>
      <c r="H122" s="329"/>
      <c r="I122" s="323"/>
      <c r="J122" s="323"/>
      <c r="K122" s="311"/>
      <c r="L122" s="323"/>
      <c r="M122" s="311"/>
      <c r="N122" s="311"/>
      <c r="O122" s="19"/>
      <c r="Q122" s="311"/>
    </row>
    <row r="123" spans="1:17" ht="12" customHeight="1" x14ac:dyDescent="0.2">
      <c r="A123" s="129" t="s">
        <v>138</v>
      </c>
      <c r="B123" s="88" t="s">
        <v>136</v>
      </c>
      <c r="G123" s="97" t="s">
        <v>24</v>
      </c>
      <c r="H123" s="308">
        <f>T7</f>
        <v>15</v>
      </c>
      <c r="I123" s="323">
        <f>VLOOKUP(A123,'[1]TAB OGU JUN18'!$A:$G,6,"falso")</f>
        <v>84.78</v>
      </c>
      <c r="J123" s="323">
        <f>VLOOKUP(A123,'[1]TAB OGU JUN18'!$A:$G,4,"falso")</f>
        <v>54.92</v>
      </c>
      <c r="K123" s="308">
        <f>H123*J123</f>
        <v>823.80000000000007</v>
      </c>
      <c r="L123" s="323">
        <f>VLOOKUP(A123,'[1]TAB OGU JUN18'!$A:$G,5,"falso")</f>
        <v>29.86</v>
      </c>
      <c r="M123" s="308">
        <f>H123*L123</f>
        <v>447.9</v>
      </c>
      <c r="N123" s="308">
        <f>H123*I123</f>
        <v>1271.7</v>
      </c>
      <c r="O123" s="25">
        <f>N123/N125</f>
        <v>1</v>
      </c>
      <c r="Q123" s="311"/>
    </row>
    <row r="124" spans="1:17" ht="12" customHeight="1" x14ac:dyDescent="0.2">
      <c r="B124" s="130"/>
      <c r="G124" s="493"/>
      <c r="H124" s="585"/>
      <c r="I124" s="583"/>
      <c r="J124" s="583"/>
      <c r="K124" s="584"/>
      <c r="L124" s="583"/>
      <c r="M124" s="584"/>
      <c r="N124" s="308"/>
      <c r="O124" s="25"/>
      <c r="Q124" s="311"/>
    </row>
    <row r="125" spans="1:17" ht="12" customHeight="1" x14ac:dyDescent="0.2">
      <c r="B125" s="130" t="s">
        <v>18</v>
      </c>
      <c r="C125" s="131"/>
      <c r="D125" s="131"/>
      <c r="E125" s="131"/>
      <c r="F125" s="131"/>
      <c r="G125" s="53"/>
      <c r="H125" s="325"/>
      <c r="I125" s="582"/>
      <c r="J125" s="582"/>
      <c r="K125" s="326"/>
      <c r="L125" s="582"/>
      <c r="M125" s="326"/>
      <c r="N125" s="308">
        <f>N123</f>
        <v>1271.7</v>
      </c>
      <c r="O125" s="25">
        <f>N125/N138</f>
        <v>3.5409684497646017E-3</v>
      </c>
      <c r="Q125" s="311"/>
    </row>
    <row r="126" spans="1:17" ht="12" customHeight="1" x14ac:dyDescent="0.2">
      <c r="B126" s="130"/>
      <c r="G126" s="52"/>
      <c r="H126" s="324"/>
      <c r="I126" s="323"/>
      <c r="J126" s="323"/>
      <c r="K126" s="313"/>
      <c r="L126" s="323"/>
      <c r="M126" s="313"/>
      <c r="N126" s="308"/>
      <c r="O126" s="25"/>
      <c r="Q126" s="311"/>
    </row>
    <row r="127" spans="1:17" ht="12" customHeight="1" x14ac:dyDescent="0.2">
      <c r="A127" s="98" t="s">
        <v>139</v>
      </c>
      <c r="B127" s="88" t="s">
        <v>142</v>
      </c>
      <c r="G127" s="97"/>
      <c r="H127" s="308"/>
      <c r="I127" s="323"/>
      <c r="J127" s="323"/>
      <c r="K127" s="308"/>
      <c r="L127" s="323"/>
      <c r="M127" s="308"/>
      <c r="N127" s="308"/>
      <c r="O127" s="25"/>
      <c r="Q127" s="311"/>
    </row>
    <row r="128" spans="1:17" ht="12" customHeight="1" x14ac:dyDescent="0.2">
      <c r="A128" s="98" t="s">
        <v>140</v>
      </c>
      <c r="B128" s="88" t="s">
        <v>143</v>
      </c>
      <c r="G128" s="97" t="s">
        <v>24</v>
      </c>
      <c r="H128" s="308">
        <f>T8</f>
        <v>312</v>
      </c>
      <c r="I128" s="323">
        <f>VLOOKUP(A128,'[1]TAB OGU JUN18'!$A:$G,6,"falso")</f>
        <v>466.82</v>
      </c>
      <c r="J128" s="323">
        <f>VLOOKUP(A128,'[1]TAB OGU JUN18'!$A:$G,4,"falso")</f>
        <v>143.97</v>
      </c>
      <c r="K128" s="308">
        <f>H128*J128</f>
        <v>44918.64</v>
      </c>
      <c r="L128" s="323">
        <f>VLOOKUP(A128,'[1]TAB OGU JUN18'!$A:$G,5,"falso")</f>
        <v>322.85000000000002</v>
      </c>
      <c r="M128" s="308">
        <f>H128*L128</f>
        <v>100729.20000000001</v>
      </c>
      <c r="N128" s="308">
        <f>H128*I128</f>
        <v>145647.84</v>
      </c>
      <c r="O128" s="25">
        <f>N128/N131</f>
        <v>0.89165153036889078</v>
      </c>
      <c r="Q128" s="311"/>
    </row>
    <row r="129" spans="1:20" ht="12" customHeight="1" x14ac:dyDescent="0.2">
      <c r="A129" s="98" t="s">
        <v>141</v>
      </c>
      <c r="B129" s="88" t="s">
        <v>144</v>
      </c>
      <c r="G129" s="97" t="s">
        <v>17</v>
      </c>
      <c r="H129" s="308">
        <f>(Q6-1.1)*H128</f>
        <v>69.986969354405744</v>
      </c>
      <c r="I129" s="323">
        <f>VLOOKUP(A129,'[1]TAB OGU JUN18'!$A:$G,6,"falso")</f>
        <v>252.88</v>
      </c>
      <c r="J129" s="323">
        <f>VLOOKUP(A129,'[1]TAB OGU JUN18'!$A:$G,4,"falso")</f>
        <v>47.83</v>
      </c>
      <c r="K129" s="308">
        <f>H129*J129</f>
        <v>3347.4767442212265</v>
      </c>
      <c r="L129" s="323">
        <f>VLOOKUP(A129,'[1]TAB OGU JUN18'!$A:$G,5,"falso")</f>
        <v>205.05</v>
      </c>
      <c r="M129" s="308">
        <f>H129*L129</f>
        <v>14350.828066120899</v>
      </c>
      <c r="N129" s="308">
        <f>H129*I129</f>
        <v>17698.304810342124</v>
      </c>
      <c r="O129" s="25">
        <f>N129/N131</f>
        <v>0.10834846963110924</v>
      </c>
      <c r="Q129" s="311"/>
    </row>
    <row r="130" spans="1:20" ht="12" customHeight="1" x14ac:dyDescent="0.2">
      <c r="B130" s="130"/>
      <c r="G130" s="52"/>
      <c r="H130" s="324"/>
      <c r="I130" s="323"/>
      <c r="J130" s="323"/>
      <c r="K130" s="313"/>
      <c r="L130" s="323"/>
      <c r="M130" s="313"/>
      <c r="N130" s="308"/>
      <c r="O130" s="25"/>
      <c r="Q130" s="311"/>
    </row>
    <row r="131" spans="1:20" ht="12" customHeight="1" x14ac:dyDescent="0.2">
      <c r="B131" s="130" t="s">
        <v>18</v>
      </c>
      <c r="C131" s="131"/>
      <c r="D131" s="131"/>
      <c r="E131" s="131"/>
      <c r="F131" s="131"/>
      <c r="G131" s="53"/>
      <c r="H131" s="325"/>
      <c r="I131" s="582"/>
      <c r="J131" s="582"/>
      <c r="K131" s="326"/>
      <c r="L131" s="582"/>
      <c r="M131" s="326"/>
      <c r="N131" s="308">
        <f>N129+N128</f>
        <v>163346.14481034211</v>
      </c>
      <c r="O131" s="25">
        <f>N131/N138</f>
        <v>0.45482703873877584</v>
      </c>
      <c r="Q131" s="311"/>
    </row>
    <row r="132" spans="1:20" ht="12" customHeight="1" x14ac:dyDescent="0.2">
      <c r="B132" s="130"/>
      <c r="G132" s="52"/>
      <c r="H132" s="324"/>
      <c r="I132" s="323"/>
      <c r="J132" s="323"/>
      <c r="K132" s="313"/>
      <c r="L132" s="323"/>
      <c r="M132" s="313"/>
      <c r="N132" s="308"/>
      <c r="O132" s="25"/>
      <c r="Q132" s="311"/>
    </row>
    <row r="133" spans="1:20" ht="12" customHeight="1" x14ac:dyDescent="0.2">
      <c r="A133" s="129" t="s">
        <v>145</v>
      </c>
      <c r="B133" s="88" t="s">
        <v>26</v>
      </c>
      <c r="H133" s="329"/>
      <c r="I133" s="323"/>
      <c r="J133" s="323"/>
      <c r="K133" s="311"/>
      <c r="L133" s="323"/>
      <c r="M133" s="311"/>
      <c r="N133" s="311"/>
      <c r="O133" s="19"/>
      <c r="Q133" s="311"/>
    </row>
    <row r="134" spans="1:20" ht="12" customHeight="1" x14ac:dyDescent="0.2">
      <c r="A134" s="129" t="s">
        <v>146</v>
      </c>
      <c r="B134" s="88" t="s">
        <v>147</v>
      </c>
      <c r="G134" s="97" t="s">
        <v>32</v>
      </c>
      <c r="H134" s="308">
        <f>H14*R6*0.1</f>
        <v>903.77549999999928</v>
      </c>
      <c r="I134" s="323">
        <f>VLOOKUP(A134,'[1]TAB OGU JUN18'!$A:$G,6,"falso")</f>
        <v>157.99</v>
      </c>
      <c r="J134" s="323">
        <f>VLOOKUP(A134,'[1]TAB OGU JUN18'!$A:$G,4,"falso")</f>
        <v>39.5</v>
      </c>
      <c r="K134" s="308">
        <f>H134*J134</f>
        <v>35699.132249999973</v>
      </c>
      <c r="L134" s="323">
        <f>VLOOKUP(A134,'[1]TAB OGU JUN18'!$A:$G,5,"falso")</f>
        <v>118.49</v>
      </c>
      <c r="M134" s="308">
        <f>H134*L134</f>
        <v>107088.35899499992</v>
      </c>
      <c r="N134" s="308">
        <f>H134*I134</f>
        <v>142787.4912449999</v>
      </c>
      <c r="O134" s="25">
        <f>N134/N136</f>
        <v>1</v>
      </c>
      <c r="Q134" s="311"/>
    </row>
    <row r="135" spans="1:20" ht="12" customHeight="1" x14ac:dyDescent="0.2">
      <c r="B135" s="130"/>
      <c r="G135" s="52"/>
      <c r="H135" s="324"/>
      <c r="I135" s="323"/>
      <c r="J135" s="323"/>
      <c r="K135" s="313"/>
      <c r="L135" s="323"/>
      <c r="M135" s="313"/>
      <c r="N135" s="308"/>
      <c r="O135" s="25"/>
      <c r="Q135" s="311"/>
    </row>
    <row r="136" spans="1:20" ht="12" customHeight="1" x14ac:dyDescent="0.2">
      <c r="B136" s="130" t="s">
        <v>18</v>
      </c>
      <c r="C136" s="131"/>
      <c r="D136" s="131"/>
      <c r="E136" s="131"/>
      <c r="F136" s="131"/>
      <c r="G136" s="53"/>
      <c r="H136" s="325"/>
      <c r="I136" s="582"/>
      <c r="J136" s="582"/>
      <c r="K136" s="326"/>
      <c r="L136" s="582"/>
      <c r="M136" s="326"/>
      <c r="N136" s="308">
        <f>N134</f>
        <v>142787.4912449999</v>
      </c>
      <c r="O136" s="25">
        <f>N136/N138</f>
        <v>0.39758276442524487</v>
      </c>
      <c r="Q136" s="311"/>
    </row>
    <row r="137" spans="1:20" ht="12" customHeight="1" x14ac:dyDescent="0.2">
      <c r="B137" s="130"/>
      <c r="G137" s="52"/>
      <c r="H137" s="324"/>
      <c r="I137" s="323"/>
      <c r="J137" s="323"/>
      <c r="K137" s="313"/>
      <c r="L137" s="323"/>
      <c r="M137" s="313"/>
      <c r="N137" s="308"/>
      <c r="O137" s="25"/>
      <c r="Q137" s="311"/>
    </row>
    <row r="138" spans="1:20" s="132" customFormat="1" ht="12" customHeight="1" x14ac:dyDescent="0.2">
      <c r="B138" s="133" t="s">
        <v>20</v>
      </c>
      <c r="C138" s="134"/>
      <c r="D138" s="134"/>
      <c r="E138" s="134"/>
      <c r="F138" s="134"/>
      <c r="G138" s="78"/>
      <c r="H138" s="327"/>
      <c r="I138" s="582"/>
      <c r="J138" s="582"/>
      <c r="K138" s="328"/>
      <c r="L138" s="582"/>
      <c r="M138" s="328"/>
      <c r="N138" s="310">
        <f>N136+N131+N125+N120+N115</f>
        <v>359139.03725534206</v>
      </c>
      <c r="O138" s="77">
        <f>N138/N190</f>
        <v>0.3519366644270282</v>
      </c>
      <c r="Q138" s="311"/>
      <c r="R138" s="51"/>
    </row>
    <row r="139" spans="1:20" ht="12" customHeight="1" x14ac:dyDescent="0.2">
      <c r="B139" s="130"/>
      <c r="G139" s="52"/>
      <c r="H139" s="324"/>
      <c r="I139" s="323"/>
      <c r="J139" s="323"/>
      <c r="K139" s="313"/>
      <c r="L139" s="323"/>
      <c r="M139" s="313"/>
      <c r="N139" s="308"/>
      <c r="O139" s="25"/>
      <c r="Q139" s="311"/>
    </row>
    <row r="140" spans="1:20" ht="12" customHeight="1" x14ac:dyDescent="0.2">
      <c r="A140" s="98" t="s">
        <v>148</v>
      </c>
      <c r="B140" s="88" t="s">
        <v>27</v>
      </c>
      <c r="G140" s="97"/>
      <c r="H140" s="308"/>
      <c r="I140" s="323"/>
      <c r="J140" s="323"/>
      <c r="K140" s="308"/>
      <c r="L140" s="323"/>
      <c r="M140" s="308"/>
      <c r="N140" s="308"/>
      <c r="O140" s="25"/>
      <c r="Q140" s="311"/>
    </row>
    <row r="141" spans="1:20" ht="12" customHeight="1" x14ac:dyDescent="0.2">
      <c r="A141" s="98" t="s">
        <v>149</v>
      </c>
      <c r="B141" s="88" t="s">
        <v>33</v>
      </c>
      <c r="G141" s="97"/>
      <c r="H141" s="308"/>
      <c r="I141" s="323"/>
      <c r="J141" s="323"/>
      <c r="K141" s="308"/>
      <c r="L141" s="323"/>
      <c r="M141" s="308"/>
      <c r="N141" s="308"/>
      <c r="O141" s="25"/>
      <c r="Q141" s="311"/>
      <c r="R141" s="52"/>
      <c r="S141" s="52"/>
      <c r="T141" s="52"/>
    </row>
    <row r="142" spans="1:20" s="272" customFormat="1" ht="12.75" x14ac:dyDescent="0.2">
      <c r="A142" s="98" t="s">
        <v>241</v>
      </c>
      <c r="B142" s="88" t="s">
        <v>242</v>
      </c>
      <c r="C142" s="51"/>
      <c r="D142" s="51"/>
      <c r="E142" s="51"/>
      <c r="F142" s="51"/>
      <c r="G142" s="97" t="s">
        <v>31</v>
      </c>
      <c r="H142" s="308">
        <f>V6</f>
        <v>770.40434049149997</v>
      </c>
      <c r="I142" s="323">
        <f>VLOOKUP(A142,'[1]TAB OGU JUN18'!$A:$G,6,"falso")</f>
        <v>11.38</v>
      </c>
      <c r="J142" s="323">
        <f>VLOOKUP(A142,'[1]TAB OGU JUN18'!$A:$G,4,"falso")</f>
        <v>11.38</v>
      </c>
      <c r="K142" s="308">
        <f>H142*J142</f>
        <v>8767.2013947932701</v>
      </c>
      <c r="L142" s="323">
        <f>VLOOKUP(A142,'[1]TAB OGU JUN18'!$A:$G,5,"falso")</f>
        <v>0</v>
      </c>
      <c r="M142" s="308"/>
      <c r="N142" s="308">
        <f t="shared" ref="N142:N147" si="0">H142*I142</f>
        <v>8767.2013947932701</v>
      </c>
      <c r="O142" s="25">
        <f t="shared" ref="O142:O144" si="1">N142/$N$150</f>
        <v>0.15490585345047464</v>
      </c>
      <c r="Q142" s="477"/>
      <c r="R142" s="51"/>
    </row>
    <row r="143" spans="1:20" s="272" customFormat="1" ht="12.75" x14ac:dyDescent="0.2">
      <c r="A143" s="98" t="s">
        <v>243</v>
      </c>
      <c r="B143" s="88" t="s">
        <v>247</v>
      </c>
      <c r="C143" s="51"/>
      <c r="D143" s="51"/>
      <c r="E143" s="51"/>
      <c r="F143" s="51"/>
      <c r="G143" s="97" t="s">
        <v>31</v>
      </c>
      <c r="H143" s="308">
        <f t="shared" ref="H143:H147" si="2">V7</f>
        <v>148.96587991999996</v>
      </c>
      <c r="I143" s="323">
        <f>VLOOKUP(A143,'[1]TAB OGU JUN18'!$A:$G,6,"falso")</f>
        <v>11.38</v>
      </c>
      <c r="J143" s="323">
        <f>VLOOKUP(A143,'[1]TAB OGU JUN18'!$A:$G,4,"falso")</f>
        <v>11.38</v>
      </c>
      <c r="K143" s="308">
        <f t="shared" ref="K143:K148" si="3">H143*J143</f>
        <v>1695.2317134895998</v>
      </c>
      <c r="L143" s="323">
        <f>VLOOKUP(A143,'[1]TAB OGU JUN18'!$A:$G,5,"falso")</f>
        <v>0</v>
      </c>
      <c r="M143" s="308"/>
      <c r="N143" s="308">
        <f t="shared" si="0"/>
        <v>1695.2317134895998</v>
      </c>
      <c r="O143" s="25">
        <f t="shared" si="1"/>
        <v>2.9952695683524797E-2</v>
      </c>
      <c r="Q143" s="477"/>
      <c r="R143" s="51"/>
    </row>
    <row r="144" spans="1:20" s="272" customFormat="1" ht="12" customHeight="1" x14ac:dyDescent="0.2">
      <c r="A144" s="98" t="s">
        <v>150</v>
      </c>
      <c r="B144" s="88" t="s">
        <v>155</v>
      </c>
      <c r="C144" s="51"/>
      <c r="D144" s="51"/>
      <c r="E144" s="51"/>
      <c r="F144" s="51"/>
      <c r="G144" s="97" t="s">
        <v>31</v>
      </c>
      <c r="H144" s="308">
        <f t="shared" si="2"/>
        <v>4600.2055232704988</v>
      </c>
      <c r="I144" s="323">
        <f>VLOOKUP(A144,'[1]TAB OGU JUN18'!$A:$G,6,"falso")</f>
        <v>4.37</v>
      </c>
      <c r="J144" s="323">
        <f>VLOOKUP(A144,'[1]TAB OGU JUN18'!$A:$G,4,"falso")</f>
        <v>4.37</v>
      </c>
      <c r="K144" s="308">
        <f t="shared" si="3"/>
        <v>20102.898136692082</v>
      </c>
      <c r="L144" s="323">
        <f>VLOOKUP(A144,'[1]TAB OGU JUN18'!$A:$G,5,"falso")</f>
        <v>0</v>
      </c>
      <c r="M144" s="308"/>
      <c r="N144" s="308">
        <f t="shared" si="0"/>
        <v>20102.898136692082</v>
      </c>
      <c r="O144" s="25">
        <f t="shared" si="1"/>
        <v>0.35519391564811575</v>
      </c>
      <c r="Q144" s="477"/>
      <c r="R144" s="51"/>
    </row>
    <row r="145" spans="1:18" s="272" customFormat="1" ht="12" customHeight="1" x14ac:dyDescent="0.2">
      <c r="A145" s="98" t="s">
        <v>151</v>
      </c>
      <c r="B145" s="88" t="s">
        <v>28</v>
      </c>
      <c r="C145" s="51"/>
      <c r="D145" s="51"/>
      <c r="E145" s="51"/>
      <c r="F145" s="51"/>
      <c r="G145" s="97" t="s">
        <v>31</v>
      </c>
      <c r="H145" s="308">
        <f t="shared" si="2"/>
        <v>1202.7112563179996</v>
      </c>
      <c r="I145" s="323">
        <f>VLOOKUP(A145,'[1]TAB OGU JUN18'!$A:$G,6,"falso")</f>
        <v>6.58</v>
      </c>
      <c r="J145" s="323">
        <f>VLOOKUP(A145,'[1]TAB OGU JUN18'!$A:$G,4,"falso")</f>
        <v>6.58</v>
      </c>
      <c r="K145" s="308">
        <f t="shared" si="3"/>
        <v>7913.8400665724375</v>
      </c>
      <c r="L145" s="323">
        <f>VLOOKUP(A145,'[1]TAB OGU JUN18'!$A:$G,5,"falso")</f>
        <v>0</v>
      </c>
      <c r="M145" s="308"/>
      <c r="N145" s="308">
        <f t="shared" si="0"/>
        <v>7913.8400665724375</v>
      </c>
      <c r="O145" s="25">
        <f>N145/$N$150</f>
        <v>0.13982799007115443</v>
      </c>
      <c r="Q145" s="477"/>
      <c r="R145" s="51"/>
    </row>
    <row r="146" spans="1:18" s="272" customFormat="1" ht="12" customHeight="1" x14ac:dyDescent="0.2">
      <c r="A146" s="98" t="s">
        <v>152</v>
      </c>
      <c r="B146" s="88" t="s">
        <v>156</v>
      </c>
      <c r="C146" s="51"/>
      <c r="D146" s="51"/>
      <c r="E146" s="51"/>
      <c r="F146" s="51"/>
      <c r="G146" s="97" t="s">
        <v>31</v>
      </c>
      <c r="H146" s="308">
        <f t="shared" si="2"/>
        <v>424.81999999999994</v>
      </c>
      <c r="I146" s="323">
        <f>VLOOKUP(A146,'[1]TAB OGU JUN18'!$A:$G,6,"falso")</f>
        <v>6.58</v>
      </c>
      <c r="J146" s="323">
        <f>VLOOKUP(A146,'[1]TAB OGU JUN18'!$A:$G,4,"falso")</f>
        <v>6.58</v>
      </c>
      <c r="K146" s="308">
        <f t="shared" si="3"/>
        <v>2795.3155999999994</v>
      </c>
      <c r="L146" s="323">
        <f>VLOOKUP(A146,'[1]TAB OGU JUN18'!$A:$G,5,"falso")</f>
        <v>0</v>
      </c>
      <c r="M146" s="308"/>
      <c r="N146" s="308">
        <f t="shared" si="0"/>
        <v>2795.3155999999994</v>
      </c>
      <c r="O146" s="25">
        <f t="shared" ref="O146:O148" si="4">N146/$N$150</f>
        <v>4.9389848502691534E-2</v>
      </c>
      <c r="Q146" s="477"/>
      <c r="R146" s="51"/>
    </row>
    <row r="147" spans="1:18" s="272" customFormat="1" ht="12" customHeight="1" x14ac:dyDescent="0.2">
      <c r="A147" s="98" t="s">
        <v>153</v>
      </c>
      <c r="B147" s="88" t="s">
        <v>157</v>
      </c>
      <c r="C147" s="51"/>
      <c r="D147" s="51"/>
      <c r="E147" s="51"/>
      <c r="F147" s="51"/>
      <c r="G147" s="97" t="s">
        <v>17</v>
      </c>
      <c r="H147" s="308">
        <f t="shared" si="2"/>
        <v>42.443493181461072</v>
      </c>
      <c r="I147" s="323">
        <f>VLOOKUP(A147,'[1]TAB OGU JUN18'!$A:$G,6,"falso")</f>
        <v>9.6300000000000008</v>
      </c>
      <c r="J147" s="323">
        <f>VLOOKUP(A147,'[1]TAB OGU JUN18'!$A:$G,4,"falso")</f>
        <v>9.6300000000000008</v>
      </c>
      <c r="K147" s="308">
        <f t="shared" si="3"/>
        <v>408.73083933747017</v>
      </c>
      <c r="L147" s="323">
        <f>VLOOKUP(A147,'[1]TAB OGU JUN18'!$A:$G,5,"falso")</f>
        <v>0</v>
      </c>
      <c r="M147" s="308"/>
      <c r="N147" s="308">
        <f t="shared" si="0"/>
        <v>408.73083933747017</v>
      </c>
      <c r="O147" s="25">
        <f t="shared" si="4"/>
        <v>7.2217799783522154E-3</v>
      </c>
      <c r="Q147" s="477"/>
      <c r="R147" s="51"/>
    </row>
    <row r="148" spans="1:18" s="272" customFormat="1" ht="12" customHeight="1" x14ac:dyDescent="0.2">
      <c r="A148" s="98" t="s">
        <v>154</v>
      </c>
      <c r="B148" s="88" t="s">
        <v>158</v>
      </c>
      <c r="C148" s="51"/>
      <c r="D148" s="51"/>
      <c r="E148" s="51"/>
      <c r="F148" s="51"/>
      <c r="G148" s="97" t="s">
        <v>17</v>
      </c>
      <c r="H148" s="308">
        <f>V12</f>
        <v>6162.7060850799971</v>
      </c>
      <c r="I148" s="323">
        <f>VLOOKUP(A148,'[1]TAB OGU JUN18'!$A:$G,6,"falso")</f>
        <v>2.42</v>
      </c>
      <c r="J148" s="323">
        <f>VLOOKUP(A148,'[1]TAB OGU JUN18'!$A:$G,4,"falso")</f>
        <v>1.1499999999999999</v>
      </c>
      <c r="K148" s="308">
        <f t="shared" si="3"/>
        <v>7087.1119978419965</v>
      </c>
      <c r="L148" s="323">
        <f>VLOOKUP(A148,'[1]TAB OGU JUN18'!$A:$G,5,"falso")</f>
        <v>1.27</v>
      </c>
      <c r="M148" s="308">
        <f>H148*L148</f>
        <v>7826.636728051596</v>
      </c>
      <c r="N148" s="308">
        <f>H148*I148</f>
        <v>14913.748725893593</v>
      </c>
      <c r="O148" s="25">
        <f t="shared" si="4"/>
        <v>0.26350791666568657</v>
      </c>
      <c r="Q148" s="477"/>
      <c r="R148" s="51"/>
    </row>
    <row r="149" spans="1:18" ht="12" customHeight="1" x14ac:dyDescent="0.2">
      <c r="A149" s="98"/>
      <c r="B149" s="88"/>
      <c r="G149" s="97"/>
      <c r="H149" s="308"/>
      <c r="I149" s="323"/>
      <c r="J149" s="323"/>
      <c r="K149" s="308"/>
      <c r="L149" s="323"/>
      <c r="M149" s="308"/>
      <c r="N149" s="308"/>
      <c r="O149" s="25"/>
      <c r="Q149" s="311"/>
    </row>
    <row r="150" spans="1:18" ht="12" customHeight="1" x14ac:dyDescent="0.2">
      <c r="A150" s="98"/>
      <c r="B150" s="130" t="s">
        <v>18</v>
      </c>
      <c r="C150" s="131"/>
      <c r="D150" s="131"/>
      <c r="E150" s="131"/>
      <c r="F150" s="131"/>
      <c r="G150" s="53"/>
      <c r="H150" s="325"/>
      <c r="I150" s="582"/>
      <c r="J150" s="582"/>
      <c r="K150" s="326"/>
      <c r="L150" s="582"/>
      <c r="M150" s="326"/>
      <c r="N150" s="308">
        <f>SUM(N142:N148)</f>
        <v>56596.966476778456</v>
      </c>
      <c r="O150" s="25">
        <f>N150/N173</f>
        <v>0.35890316161251518</v>
      </c>
      <c r="Q150" s="311"/>
    </row>
    <row r="151" spans="1:18" ht="12.75" x14ac:dyDescent="0.2">
      <c r="A151" s="98"/>
      <c r="B151" s="88"/>
      <c r="G151" s="97"/>
      <c r="H151" s="308"/>
      <c r="I151" s="323"/>
      <c r="J151" s="323"/>
      <c r="K151" s="308"/>
      <c r="L151" s="323"/>
      <c r="M151" s="308"/>
      <c r="N151" s="308"/>
      <c r="O151" s="25"/>
      <c r="Q151" s="311"/>
    </row>
    <row r="152" spans="1:18" ht="12.75" x14ac:dyDescent="0.2">
      <c r="A152" s="98" t="s">
        <v>244</v>
      </c>
      <c r="B152" s="88" t="s">
        <v>162</v>
      </c>
      <c r="G152" s="97"/>
      <c r="H152" s="308"/>
      <c r="I152" s="323"/>
      <c r="J152" s="323"/>
      <c r="K152" s="308"/>
      <c r="L152" s="323"/>
      <c r="M152" s="308"/>
      <c r="N152" s="308"/>
      <c r="O152" s="25"/>
      <c r="Q152" s="311"/>
    </row>
    <row r="153" spans="1:18" ht="12.75" x14ac:dyDescent="0.2">
      <c r="A153" s="98"/>
      <c r="B153" s="88" t="s">
        <v>245</v>
      </c>
      <c r="G153" s="97"/>
      <c r="H153" s="308"/>
      <c r="I153" s="323"/>
      <c r="J153" s="323"/>
      <c r="K153" s="308"/>
      <c r="L153" s="323"/>
      <c r="M153" s="308"/>
      <c r="N153" s="308"/>
      <c r="O153" s="25"/>
      <c r="Q153" s="311"/>
    </row>
    <row r="154" spans="1:18" s="272" customFormat="1" ht="12.75" x14ac:dyDescent="0.2">
      <c r="A154" s="98" t="s">
        <v>246</v>
      </c>
      <c r="B154" s="88" t="s">
        <v>242</v>
      </c>
      <c r="C154" s="51"/>
      <c r="D154" s="51"/>
      <c r="E154" s="51"/>
      <c r="F154" s="51"/>
      <c r="G154" s="97" t="s">
        <v>31</v>
      </c>
      <c r="H154" s="308">
        <f>H142</f>
        <v>770.40434049149997</v>
      </c>
      <c r="I154" s="323">
        <f>VLOOKUP(A154,'[1]TAB OGU JUN18'!$A:$G,6,"falso")</f>
        <v>30.65</v>
      </c>
      <c r="J154" s="323">
        <f>VLOOKUP(A154,'[1]TAB OGU JUN18'!$A:$G,4,"falso")</f>
        <v>26.25</v>
      </c>
      <c r="K154" s="308">
        <f>H154*J154</f>
        <v>20223.113937901875</v>
      </c>
      <c r="L154" s="323">
        <f>VLOOKUP(A154,'[1]TAB OGU JUN18'!$A:$G,5,"falso")</f>
        <v>4.4000000000000004</v>
      </c>
      <c r="M154" s="308">
        <f>H154*L154</f>
        <v>3389.7790981626003</v>
      </c>
      <c r="N154" s="308">
        <f>H154*I154</f>
        <v>23612.893036064474</v>
      </c>
      <c r="O154" s="25">
        <f>N154/$N$157</f>
        <v>0.82296023102539984</v>
      </c>
      <c r="Q154" s="311"/>
      <c r="R154" s="51"/>
    </row>
    <row r="155" spans="1:18" s="272" customFormat="1" ht="12.75" x14ac:dyDescent="0.2">
      <c r="A155" s="98" t="s">
        <v>248</v>
      </c>
      <c r="B155" s="88" t="s">
        <v>247</v>
      </c>
      <c r="C155" s="51"/>
      <c r="D155" s="51"/>
      <c r="E155" s="51"/>
      <c r="F155" s="51"/>
      <c r="G155" s="97" t="s">
        <v>31</v>
      </c>
      <c r="H155" s="308">
        <f>H143</f>
        <v>148.96587991999996</v>
      </c>
      <c r="I155" s="323">
        <f>VLOOKUP(A155,'[1]TAB OGU JUN18'!$A:$G,6,"falso")</f>
        <v>34.1</v>
      </c>
      <c r="J155" s="323">
        <f>VLOOKUP(A155,'[1]TAB OGU JUN18'!$A:$G,4,"falso")</f>
        <v>30.8</v>
      </c>
      <c r="K155" s="308">
        <f>H155*J155</f>
        <v>4588.1491015359989</v>
      </c>
      <c r="L155" s="323">
        <f>VLOOKUP(A155,'[1]TAB OGU JUN18'!$A:$G,5,"falso")</f>
        <v>3.3</v>
      </c>
      <c r="M155" s="308">
        <f>H155*L155</f>
        <v>491.58740373599983</v>
      </c>
      <c r="N155" s="308">
        <f>H155*I155</f>
        <v>5079.7365052719988</v>
      </c>
      <c r="O155" s="25">
        <f>N155/$N$157</f>
        <v>0.17703976897460025</v>
      </c>
      <c r="Q155" s="311"/>
      <c r="R155" s="51"/>
    </row>
    <row r="156" spans="1:18" ht="12.75" x14ac:dyDescent="0.2">
      <c r="B156" s="130"/>
      <c r="G156" s="52"/>
      <c r="H156" s="324"/>
      <c r="I156" s="323"/>
      <c r="J156" s="323"/>
      <c r="K156" s="313"/>
      <c r="L156" s="323"/>
      <c r="M156" s="313"/>
      <c r="N156" s="308"/>
      <c r="O156" s="25"/>
      <c r="Q156" s="311"/>
    </row>
    <row r="157" spans="1:18" ht="12.75" x14ac:dyDescent="0.2">
      <c r="B157" s="130" t="s">
        <v>18</v>
      </c>
      <c r="C157" s="131"/>
      <c r="D157" s="131"/>
      <c r="E157" s="131"/>
      <c r="F157" s="131"/>
      <c r="G157" s="53"/>
      <c r="H157" s="325"/>
      <c r="I157" s="582"/>
      <c r="J157" s="582"/>
      <c r="K157" s="326"/>
      <c r="L157" s="582"/>
      <c r="M157" s="326"/>
      <c r="N157" s="308">
        <f>N155+N154</f>
        <v>28692.629541336471</v>
      </c>
      <c r="O157" s="25">
        <f>N157/N173</f>
        <v>0.18195101431076691</v>
      </c>
      <c r="Q157" s="311"/>
    </row>
    <row r="158" spans="1:18" ht="12.75" x14ac:dyDescent="0.2">
      <c r="A158" s="98"/>
      <c r="B158" s="88"/>
      <c r="G158" s="97"/>
      <c r="H158" s="308"/>
      <c r="I158" s="323"/>
      <c r="J158" s="323"/>
      <c r="K158" s="308"/>
      <c r="L158" s="323"/>
      <c r="M158" s="308"/>
      <c r="N158" s="308"/>
      <c r="O158" s="25"/>
      <c r="Q158" s="311"/>
    </row>
    <row r="159" spans="1:18" ht="12.75" x14ac:dyDescent="0.2">
      <c r="A159" s="98" t="s">
        <v>159</v>
      </c>
      <c r="B159" s="88" t="s">
        <v>162</v>
      </c>
      <c r="G159" s="97"/>
      <c r="H159" s="308"/>
      <c r="I159" s="323"/>
      <c r="J159" s="323"/>
      <c r="K159" s="308"/>
      <c r="L159" s="323"/>
      <c r="M159" s="308"/>
      <c r="N159" s="308"/>
      <c r="O159" s="25"/>
      <c r="Q159" s="311"/>
    </row>
    <row r="160" spans="1:18" ht="12" customHeight="1" x14ac:dyDescent="0.2">
      <c r="A160" s="98"/>
      <c r="B160" s="88" t="s">
        <v>163</v>
      </c>
      <c r="G160" s="97"/>
      <c r="H160" s="308"/>
      <c r="I160" s="323"/>
      <c r="J160" s="323"/>
      <c r="K160" s="308"/>
      <c r="L160" s="323"/>
      <c r="M160" s="308"/>
      <c r="N160" s="308"/>
      <c r="O160" s="25"/>
      <c r="Q160" s="311"/>
    </row>
    <row r="161" spans="1:18" s="272" customFormat="1" ht="12" customHeight="1" x14ac:dyDescent="0.2">
      <c r="A161" s="98" t="s">
        <v>160</v>
      </c>
      <c r="B161" s="88" t="s">
        <v>155</v>
      </c>
      <c r="C161" s="51"/>
      <c r="D161" s="51"/>
      <c r="E161" s="51"/>
      <c r="F161" s="51"/>
      <c r="G161" s="97" t="s">
        <v>31</v>
      </c>
      <c r="H161" s="308">
        <f>H144</f>
        <v>4600.2055232704988</v>
      </c>
      <c r="I161" s="323">
        <f>VLOOKUP(A161,'[1]TAB OGU JUN18'!$A:$G,6,"falso")</f>
        <v>5.77</v>
      </c>
      <c r="J161" s="323">
        <f>VLOOKUP(A161,'[1]TAB OGU JUN18'!$A:$G,4,"falso")</f>
        <v>5.57</v>
      </c>
      <c r="K161" s="308">
        <f>H161*J161</f>
        <v>25623.144764616678</v>
      </c>
      <c r="L161" s="323">
        <f>VLOOKUP(A161,'[1]TAB OGU JUN18'!$A:$G,5,"falso")</f>
        <v>0.2</v>
      </c>
      <c r="M161" s="308">
        <f>H161*L161</f>
        <v>920.04110465409985</v>
      </c>
      <c r="N161" s="308">
        <f>H161*I161</f>
        <v>26543.185869270776</v>
      </c>
      <c r="O161" s="25">
        <f>N161/$N$164</f>
        <v>0.95182846614742878</v>
      </c>
      <c r="Q161" s="311"/>
      <c r="R161" s="51"/>
    </row>
    <row r="162" spans="1:18" s="272" customFormat="1" ht="12" customHeight="1" x14ac:dyDescent="0.2">
      <c r="A162" s="98" t="s">
        <v>161</v>
      </c>
      <c r="B162" s="88" t="s">
        <v>157</v>
      </c>
      <c r="C162" s="51"/>
      <c r="D162" s="51"/>
      <c r="E162" s="51"/>
      <c r="F162" s="51"/>
      <c r="G162" s="97" t="s">
        <v>17</v>
      </c>
      <c r="H162" s="308">
        <f>H147</f>
        <v>42.443493181461072</v>
      </c>
      <c r="I162" s="323">
        <f>VLOOKUP(A162,'[1]TAB OGU JUN18'!$A:$G,6,"falso")</f>
        <v>31.65</v>
      </c>
      <c r="J162" s="323">
        <f>VLOOKUP(A162,'[1]TAB OGU JUN18'!$A:$G,4,"falso")</f>
        <v>27.83</v>
      </c>
      <c r="K162" s="308">
        <f>H162*J162</f>
        <v>1181.2024152400616</v>
      </c>
      <c r="L162" s="323">
        <f>VLOOKUP(A162,'[1]TAB OGU JUN18'!$A:$G,5,"falso")</f>
        <v>3.82</v>
      </c>
      <c r="M162" s="308">
        <f>H162*L162</f>
        <v>162.13414395318128</v>
      </c>
      <c r="N162" s="308">
        <f>H162*I162</f>
        <v>1343.3365591932429</v>
      </c>
      <c r="O162" s="25">
        <f>N162/$N$164</f>
        <v>4.8171533852571287E-2</v>
      </c>
      <c r="Q162" s="311"/>
      <c r="R162" s="51"/>
    </row>
    <row r="163" spans="1:18" ht="12" customHeight="1" x14ac:dyDescent="0.2">
      <c r="B163" s="130"/>
      <c r="G163" s="52"/>
      <c r="H163" s="324"/>
      <c r="I163" s="323"/>
      <c r="J163" s="323"/>
      <c r="K163" s="313"/>
      <c r="L163" s="323"/>
      <c r="M163" s="313"/>
      <c r="N163" s="308"/>
      <c r="O163" s="25"/>
      <c r="Q163" s="311"/>
    </row>
    <row r="164" spans="1:18" ht="12" customHeight="1" x14ac:dyDescent="0.2">
      <c r="B164" s="130" t="s">
        <v>18</v>
      </c>
      <c r="C164" s="131"/>
      <c r="D164" s="131"/>
      <c r="E164" s="131"/>
      <c r="F164" s="131"/>
      <c r="G164" s="53"/>
      <c r="H164" s="325"/>
      <c r="I164" s="582"/>
      <c r="J164" s="582"/>
      <c r="K164" s="326"/>
      <c r="L164" s="582"/>
      <c r="M164" s="326"/>
      <c r="N164" s="308">
        <f>N162+N161</f>
        <v>27886.522428464017</v>
      </c>
      <c r="O164" s="25">
        <f>N164/N173</f>
        <v>0.17683917865210197</v>
      </c>
      <c r="Q164" s="311"/>
    </row>
    <row r="165" spans="1:18" ht="12" customHeight="1" x14ac:dyDescent="0.2">
      <c r="A165" s="98"/>
      <c r="B165" s="88"/>
      <c r="G165" s="97"/>
      <c r="H165" s="308"/>
      <c r="I165" s="323"/>
      <c r="J165" s="323"/>
      <c r="K165" s="308"/>
      <c r="L165" s="323"/>
      <c r="M165" s="308"/>
      <c r="N165" s="308"/>
      <c r="O165" s="25"/>
      <c r="Q165" s="311"/>
    </row>
    <row r="166" spans="1:18" ht="12" customHeight="1" x14ac:dyDescent="0.2">
      <c r="A166" s="98" t="s">
        <v>164</v>
      </c>
      <c r="B166" s="88" t="s">
        <v>263</v>
      </c>
      <c r="G166" s="97"/>
      <c r="H166" s="308"/>
      <c r="I166" s="323"/>
      <c r="J166" s="323"/>
      <c r="K166" s="308"/>
      <c r="L166" s="323"/>
      <c r="M166" s="308"/>
      <c r="N166" s="308"/>
      <c r="O166" s="25"/>
      <c r="Q166" s="311"/>
    </row>
    <row r="167" spans="1:18" ht="12" customHeight="1" x14ac:dyDescent="0.2">
      <c r="A167" s="98"/>
      <c r="B167" s="88" t="s">
        <v>167</v>
      </c>
      <c r="G167" s="97"/>
      <c r="H167" s="308"/>
      <c r="I167" s="323"/>
      <c r="J167" s="323"/>
      <c r="K167" s="308"/>
      <c r="L167" s="323"/>
      <c r="M167" s="308"/>
      <c r="N167" s="308"/>
      <c r="O167" s="25"/>
      <c r="Q167" s="311"/>
    </row>
    <row r="168" spans="1:18" s="272" customFormat="1" ht="12" customHeight="1" x14ac:dyDescent="0.2">
      <c r="A168" s="98" t="s">
        <v>165</v>
      </c>
      <c r="B168" s="88" t="s">
        <v>28</v>
      </c>
      <c r="C168" s="51"/>
      <c r="D168" s="51"/>
      <c r="E168" s="51"/>
      <c r="F168" s="51"/>
      <c r="G168" s="97" t="s">
        <v>32</v>
      </c>
      <c r="H168" s="308">
        <f>0.05*H145</f>
        <v>60.135562815899988</v>
      </c>
      <c r="I168" s="323">
        <f>VLOOKUP(A168,'[1]TAB OGU JUN18'!$A:$G,6,"falso")</f>
        <v>495.59</v>
      </c>
      <c r="J168" s="323">
        <f>VLOOKUP(A168,'[1]TAB OGU JUN18'!$A:$G,4,"falso")</f>
        <v>326.67</v>
      </c>
      <c r="K168" s="308">
        <f>H168*J168</f>
        <v>19644.484305070051</v>
      </c>
      <c r="L168" s="323">
        <f>VLOOKUP(A168,'[1]TAB OGU JUN18'!$A:$G,5,"falso")</f>
        <v>168.92</v>
      </c>
      <c r="M168" s="308">
        <f>H168*L168</f>
        <v>10158.099270861825</v>
      </c>
      <c r="N168" s="308">
        <f>H168*I168</f>
        <v>29802.583575931872</v>
      </c>
      <c r="O168" s="25">
        <f>N168/N171</f>
        <v>0.66944814577903078</v>
      </c>
      <c r="Q168" s="311"/>
      <c r="R168" s="51"/>
    </row>
    <row r="169" spans="1:18" s="272" customFormat="1" ht="12" customHeight="1" x14ac:dyDescent="0.2">
      <c r="A169" s="98" t="s">
        <v>166</v>
      </c>
      <c r="B169" s="88" t="s">
        <v>168</v>
      </c>
      <c r="C169" s="51"/>
      <c r="D169" s="51"/>
      <c r="E169" s="51"/>
      <c r="F169" s="51"/>
      <c r="G169" s="97" t="s">
        <v>32</v>
      </c>
      <c r="H169" s="308">
        <f>H146*0.05</f>
        <v>21.241</v>
      </c>
      <c r="I169" s="323">
        <f>VLOOKUP(A169,'[1]TAB OGU JUN18'!$A:$G,6,"falso")</f>
        <v>692.79</v>
      </c>
      <c r="J169" s="323">
        <f>VLOOKUP(A169,'[1]TAB OGU JUN18'!$A:$G,4,"falso")</f>
        <v>141.47</v>
      </c>
      <c r="K169" s="308">
        <f>H169*J169</f>
        <v>3004.9642699999999</v>
      </c>
      <c r="L169" s="323">
        <f>VLOOKUP(A169,'[1]TAB OGU JUN18'!$A:$G,5,"falso")</f>
        <v>551.32000000000005</v>
      </c>
      <c r="M169" s="308">
        <f>H169*L169</f>
        <v>11710.58812</v>
      </c>
      <c r="N169" s="308">
        <f>H169*I169</f>
        <v>14715.552389999999</v>
      </c>
      <c r="O169" s="25">
        <f>N169/N171</f>
        <v>0.33055185422096922</v>
      </c>
      <c r="Q169" s="311"/>
      <c r="R169" s="51"/>
    </row>
    <row r="170" spans="1:18" ht="12" customHeight="1" x14ac:dyDescent="0.2">
      <c r="B170" s="130"/>
      <c r="G170" s="52"/>
      <c r="H170" s="324"/>
      <c r="I170" s="323"/>
      <c r="J170" s="323"/>
      <c r="K170" s="313"/>
      <c r="L170" s="323"/>
      <c r="M170" s="313"/>
      <c r="N170" s="308"/>
      <c r="O170" s="25"/>
      <c r="Q170" s="311"/>
    </row>
    <row r="171" spans="1:18" ht="12" customHeight="1" x14ac:dyDescent="0.2">
      <c r="B171" s="130" t="s">
        <v>18</v>
      </c>
      <c r="C171" s="131"/>
      <c r="D171" s="131"/>
      <c r="E171" s="131"/>
      <c r="F171" s="131"/>
      <c r="G171" s="53"/>
      <c r="H171" s="325"/>
      <c r="I171" s="582"/>
      <c r="J171" s="582"/>
      <c r="K171" s="326"/>
      <c r="L171" s="582"/>
      <c r="M171" s="326"/>
      <c r="N171" s="308">
        <f>N169+N168</f>
        <v>44518.13596593187</v>
      </c>
      <c r="O171" s="25">
        <f>N171/N173</f>
        <v>0.28230664542461598</v>
      </c>
      <c r="Q171" s="311"/>
    </row>
    <row r="172" spans="1:18" ht="12" customHeight="1" x14ac:dyDescent="0.2">
      <c r="A172" s="98"/>
      <c r="B172" s="88"/>
      <c r="G172" s="97"/>
      <c r="H172" s="308"/>
      <c r="I172" s="323"/>
      <c r="J172" s="323"/>
      <c r="K172" s="308"/>
      <c r="L172" s="323"/>
      <c r="M172" s="308"/>
      <c r="N172" s="308"/>
      <c r="O172" s="25"/>
      <c r="Q172" s="311"/>
    </row>
    <row r="173" spans="1:18" s="132" customFormat="1" ht="12" customHeight="1" x14ac:dyDescent="0.2">
      <c r="A173" s="145"/>
      <c r="B173" s="133" t="s">
        <v>20</v>
      </c>
      <c r="C173" s="134"/>
      <c r="D173" s="134"/>
      <c r="E173" s="134"/>
      <c r="F173" s="134"/>
      <c r="G173" s="78"/>
      <c r="H173" s="327"/>
      <c r="I173" s="582"/>
      <c r="J173" s="582"/>
      <c r="K173" s="328"/>
      <c r="L173" s="582"/>
      <c r="M173" s="328"/>
      <c r="N173" s="310">
        <f>N171+N164+N150+N157</f>
        <v>157694.25441251081</v>
      </c>
      <c r="O173" s="77">
        <f>N173/N190</f>
        <v>0.15453176664219814</v>
      </c>
      <c r="Q173" s="311"/>
      <c r="R173" s="51"/>
    </row>
    <row r="174" spans="1:18" ht="12" customHeight="1" x14ac:dyDescent="0.2">
      <c r="A174" s="98"/>
      <c r="B174" s="88"/>
      <c r="G174" s="97"/>
      <c r="H174" s="308"/>
      <c r="I174" s="323"/>
      <c r="J174" s="323"/>
      <c r="K174" s="308"/>
      <c r="L174" s="323"/>
      <c r="M174" s="308"/>
      <c r="N174" s="308"/>
      <c r="O174" s="25"/>
      <c r="Q174" s="311"/>
    </row>
    <row r="175" spans="1:18" ht="12" customHeight="1" x14ac:dyDescent="0.2">
      <c r="A175" s="98" t="s">
        <v>169</v>
      </c>
      <c r="B175" s="88" t="s">
        <v>172</v>
      </c>
      <c r="G175" s="97"/>
      <c r="H175" s="308"/>
      <c r="I175" s="323"/>
      <c r="J175" s="323"/>
      <c r="K175" s="308"/>
      <c r="L175" s="323"/>
      <c r="M175" s="308"/>
      <c r="N175" s="308"/>
      <c r="O175" s="25"/>
      <c r="Q175" s="311"/>
    </row>
    <row r="176" spans="1:18" ht="12" customHeight="1" x14ac:dyDescent="0.2">
      <c r="A176" s="98" t="s">
        <v>217</v>
      </c>
      <c r="B176" s="88" t="s">
        <v>218</v>
      </c>
      <c r="G176" s="97"/>
      <c r="H176" s="308"/>
      <c r="I176" s="323"/>
      <c r="J176" s="323"/>
      <c r="K176" s="308"/>
      <c r="L176" s="323"/>
      <c r="M176" s="308"/>
      <c r="N176" s="308"/>
      <c r="O176" s="25"/>
      <c r="Q176" s="311"/>
    </row>
    <row r="177" spans="1:18" ht="12" customHeight="1" x14ac:dyDescent="0.2">
      <c r="A177" s="98" t="s">
        <v>219</v>
      </c>
      <c r="B177" s="88" t="s">
        <v>221</v>
      </c>
      <c r="G177" s="97" t="s">
        <v>24</v>
      </c>
      <c r="H177" s="308">
        <f>ROUND(H178/2,0)</f>
        <v>115</v>
      </c>
      <c r="I177" s="323">
        <f>VLOOKUP(A177,'[1]TAB OGU JUN18'!$A:$G,6,"falso")</f>
        <v>196.78</v>
      </c>
      <c r="J177" s="323">
        <f>VLOOKUP(A177,'[1]TAB OGU JUN18'!$A:$G,4,"falso")</f>
        <v>196.78</v>
      </c>
      <c r="K177" s="308">
        <f>H177*J177</f>
        <v>22629.7</v>
      </c>
      <c r="L177" s="323">
        <f>VLOOKUP(A177,'[1]TAB OGU JUN18'!$A:$G,5,"falso")</f>
        <v>0</v>
      </c>
      <c r="M177" s="308"/>
      <c r="N177" s="308">
        <f>H177*I177</f>
        <v>22629.7</v>
      </c>
      <c r="O177" s="25">
        <f>N177/N180</f>
        <v>0.69585406606520228</v>
      </c>
      <c r="Q177" s="311"/>
    </row>
    <row r="178" spans="1:18" ht="12" customHeight="1" x14ac:dyDescent="0.2">
      <c r="A178" s="98" t="s">
        <v>220</v>
      </c>
      <c r="B178" s="88" t="s">
        <v>222</v>
      </c>
      <c r="G178" s="97" t="s">
        <v>17</v>
      </c>
      <c r="H178" s="308">
        <f>H14/75</f>
        <v>229.97106666666653</v>
      </c>
      <c r="I178" s="323">
        <f>VLOOKUP(A178,'[1]TAB OGU JUN18'!$A:$G,6,"falso")</f>
        <v>43.01</v>
      </c>
      <c r="J178" s="323">
        <f>VLOOKUP(A178,'[1]TAB OGU JUN18'!$A:$G,4,"falso")</f>
        <v>34.25</v>
      </c>
      <c r="K178" s="308">
        <f>H178*J178</f>
        <v>7876.5090333333283</v>
      </c>
      <c r="L178" s="323">
        <f>VLOOKUP(A178,'[1]TAB OGU JUN18'!$A:$G,5,"falso")</f>
        <v>8.76</v>
      </c>
      <c r="M178" s="308">
        <f>H178*L178</f>
        <v>2014.5465439999987</v>
      </c>
      <c r="N178" s="308">
        <f>H178*I178</f>
        <v>9891.0555773333272</v>
      </c>
      <c r="O178" s="25">
        <f>N178/N180</f>
        <v>0.30414593393479772</v>
      </c>
      <c r="Q178" s="311"/>
    </row>
    <row r="179" spans="1:18" ht="12" customHeight="1" x14ac:dyDescent="0.2">
      <c r="B179" s="130"/>
      <c r="G179" s="52"/>
      <c r="H179" s="324"/>
      <c r="I179" s="323"/>
      <c r="J179" s="323"/>
      <c r="K179" s="313"/>
      <c r="L179" s="323"/>
      <c r="M179" s="313"/>
      <c r="N179" s="308"/>
      <c r="O179" s="25"/>
      <c r="Q179" s="311"/>
    </row>
    <row r="180" spans="1:18" ht="12" customHeight="1" x14ac:dyDescent="0.2">
      <c r="B180" s="130" t="s">
        <v>18</v>
      </c>
      <c r="C180" s="131"/>
      <c r="D180" s="131"/>
      <c r="E180" s="131"/>
      <c r="F180" s="131"/>
      <c r="G180" s="53"/>
      <c r="H180" s="325"/>
      <c r="I180" s="582"/>
      <c r="J180" s="582"/>
      <c r="K180" s="326"/>
      <c r="L180" s="582"/>
      <c r="M180" s="326"/>
      <c r="N180" s="308">
        <f>N177+N178</f>
        <v>32520.75557733333</v>
      </c>
      <c r="O180" s="25">
        <f>N180/N188</f>
        <v>0.42605334357638391</v>
      </c>
      <c r="Q180" s="311"/>
    </row>
    <row r="181" spans="1:18" ht="12" customHeight="1" x14ac:dyDescent="0.2">
      <c r="A181" s="98"/>
      <c r="B181" s="88"/>
      <c r="G181" s="97"/>
      <c r="H181" s="308"/>
      <c r="I181" s="323"/>
      <c r="J181" s="323"/>
      <c r="K181" s="308"/>
      <c r="L181" s="323"/>
      <c r="M181" s="308"/>
      <c r="N181" s="308"/>
      <c r="O181" s="25"/>
      <c r="Q181" s="311"/>
    </row>
    <row r="182" spans="1:18" ht="12" customHeight="1" x14ac:dyDescent="0.2">
      <c r="A182" s="98" t="s">
        <v>170</v>
      </c>
      <c r="B182" s="88" t="s">
        <v>173</v>
      </c>
      <c r="G182" s="97"/>
      <c r="H182" s="308"/>
      <c r="I182" s="323"/>
      <c r="J182" s="323"/>
      <c r="K182" s="308"/>
      <c r="L182" s="323"/>
      <c r="M182" s="308"/>
      <c r="N182" s="308"/>
      <c r="O182" s="25"/>
      <c r="Q182" s="311"/>
    </row>
    <row r="183" spans="1:18" ht="12" customHeight="1" x14ac:dyDescent="0.2">
      <c r="A183" s="98" t="s">
        <v>187</v>
      </c>
      <c r="B183" s="88" t="s">
        <v>223</v>
      </c>
      <c r="G183" s="97" t="s">
        <v>17</v>
      </c>
      <c r="H183" s="308">
        <f>H14</f>
        <v>17247.829999999991</v>
      </c>
      <c r="I183" s="323">
        <f>VLOOKUP(A183,'[1]TAB OGU JUN18'!$A:$G,6,"falso")</f>
        <v>1.23</v>
      </c>
      <c r="J183" s="323">
        <f>VLOOKUP(A183,'[1]TAB OGU JUN18'!$A:$G,4,"falso")</f>
        <v>1.23</v>
      </c>
      <c r="K183" s="308">
        <f>H183*J183</f>
        <v>21214.83089999999</v>
      </c>
      <c r="L183" s="323">
        <f>VLOOKUP(A183,'[1]TAB OGU JUN18'!$A:$G,5,"falso")</f>
        <v>0</v>
      </c>
      <c r="M183" s="308"/>
      <c r="N183" s="308">
        <f>H183*I183</f>
        <v>21214.83089999999</v>
      </c>
      <c r="O183" s="25">
        <f>N183/N186</f>
        <v>0.48425196850393704</v>
      </c>
      <c r="Q183" s="311"/>
    </row>
    <row r="184" spans="1:18" ht="12" customHeight="1" x14ac:dyDescent="0.2">
      <c r="A184" s="98" t="s">
        <v>171</v>
      </c>
      <c r="B184" s="88" t="s">
        <v>174</v>
      </c>
      <c r="G184" s="97" t="s">
        <v>17</v>
      </c>
      <c r="H184" s="308">
        <f>H183</f>
        <v>17247.829999999991</v>
      </c>
      <c r="I184" s="323">
        <f>VLOOKUP(A184,'[1]TAB OGU JUN18'!$A:$G,6,"falso")</f>
        <v>1.31</v>
      </c>
      <c r="J184" s="323">
        <f>VLOOKUP(A184,'[1]TAB OGU JUN18'!$A:$G,4,"falso")</f>
        <v>1.1399999999999999</v>
      </c>
      <c r="K184" s="308">
        <f>H184*J184</f>
        <v>19662.526199999989</v>
      </c>
      <c r="L184" s="323">
        <f>VLOOKUP(A184,'[1]TAB OGU JUN18'!$A:$G,5,"falso")</f>
        <v>0.17</v>
      </c>
      <c r="M184" s="308">
        <f>H184*L184</f>
        <v>2932.1310999999987</v>
      </c>
      <c r="N184" s="308">
        <f>H184*I184</f>
        <v>22594.657299999988</v>
      </c>
      <c r="O184" s="25">
        <f>N184/N186</f>
        <v>0.51574803149606296</v>
      </c>
      <c r="Q184" s="311"/>
    </row>
    <row r="185" spans="1:18" ht="12" customHeight="1" x14ac:dyDescent="0.2">
      <c r="B185" s="130"/>
      <c r="G185" s="52"/>
      <c r="H185" s="324"/>
      <c r="I185" s="313"/>
      <c r="J185" s="313"/>
      <c r="K185" s="313"/>
      <c r="L185" s="313"/>
      <c r="M185" s="313"/>
      <c r="N185" s="308"/>
      <c r="O185" s="25"/>
      <c r="Q185" s="311"/>
    </row>
    <row r="186" spans="1:18" ht="12" customHeight="1" x14ac:dyDescent="0.2">
      <c r="B186" s="130" t="s">
        <v>18</v>
      </c>
      <c r="C186" s="131"/>
      <c r="D186" s="131"/>
      <c r="E186" s="131"/>
      <c r="F186" s="131"/>
      <c r="G186" s="53"/>
      <c r="H186" s="325"/>
      <c r="I186" s="326"/>
      <c r="J186" s="326"/>
      <c r="K186" s="326"/>
      <c r="L186" s="326"/>
      <c r="M186" s="326"/>
      <c r="N186" s="308">
        <f>N184+N183</f>
        <v>43809.488199999978</v>
      </c>
      <c r="O186" s="25">
        <f>N186/N188</f>
        <v>0.57394665642361609</v>
      </c>
      <c r="Q186" s="311"/>
    </row>
    <row r="187" spans="1:18" ht="12" customHeight="1" x14ac:dyDescent="0.2">
      <c r="A187" s="98"/>
      <c r="B187" s="88"/>
      <c r="G187" s="97"/>
      <c r="H187" s="308"/>
      <c r="I187" s="308"/>
      <c r="J187" s="308"/>
      <c r="K187" s="308"/>
      <c r="L187" s="308"/>
      <c r="M187" s="308"/>
      <c r="N187" s="308"/>
      <c r="O187" s="25"/>
      <c r="Q187" s="311"/>
    </row>
    <row r="188" spans="1:18" s="132" customFormat="1" ht="12" customHeight="1" x14ac:dyDescent="0.2">
      <c r="A188" s="145"/>
      <c r="B188" s="133" t="s">
        <v>20</v>
      </c>
      <c r="C188" s="134"/>
      <c r="D188" s="134"/>
      <c r="E188" s="134"/>
      <c r="F188" s="134"/>
      <c r="G188" s="78"/>
      <c r="H188" s="327"/>
      <c r="I188" s="328"/>
      <c r="J188" s="328"/>
      <c r="K188" s="328"/>
      <c r="L188" s="328"/>
      <c r="M188" s="328"/>
      <c r="N188" s="310">
        <f>N186+N180</f>
        <v>76330.243777333308</v>
      </c>
      <c r="O188" s="77">
        <f>N188/N190</f>
        <v>7.4799474864096036E-2</v>
      </c>
      <c r="Q188" s="311"/>
      <c r="R188" s="51"/>
    </row>
    <row r="189" spans="1:18" ht="7.5" customHeight="1" x14ac:dyDescent="0.2">
      <c r="A189" s="98"/>
      <c r="B189" s="88"/>
      <c r="G189" s="97"/>
      <c r="H189" s="308"/>
      <c r="I189" s="308"/>
      <c r="J189" s="308"/>
      <c r="K189" s="308"/>
      <c r="L189" s="308"/>
      <c r="M189" s="308"/>
      <c r="N189" s="308"/>
      <c r="O189" s="25"/>
      <c r="Q189" s="311"/>
    </row>
    <row r="190" spans="1:18" ht="12" customHeight="1" x14ac:dyDescent="0.2">
      <c r="A190" s="146"/>
      <c r="B190" s="147" t="s">
        <v>30</v>
      </c>
      <c r="C190" s="146"/>
      <c r="D190" s="146"/>
      <c r="E190" s="146"/>
      <c r="F190" s="146"/>
      <c r="G190" s="146"/>
      <c r="H190" s="342"/>
      <c r="I190" s="342"/>
      <c r="J190" s="342"/>
      <c r="K190" s="274">
        <f>SUM(K14:K189)</f>
        <v>741482.37920422759</v>
      </c>
      <c r="L190" s="274"/>
      <c r="M190" s="275">
        <f>SUM(M14:M189)</f>
        <v>278982.58951404906</v>
      </c>
      <c r="N190" s="343">
        <f>N188+N173+N138+N108+N100+N86+N49+N34</f>
        <v>1020464.9687182769</v>
      </c>
      <c r="O190" s="322"/>
      <c r="Q190" s="311"/>
    </row>
    <row r="191" spans="1:18" ht="7.5" customHeight="1" x14ac:dyDescent="0.2">
      <c r="A191" s="98"/>
      <c r="B191" s="88"/>
      <c r="G191" s="97"/>
      <c r="H191" s="308"/>
      <c r="I191" s="308"/>
      <c r="J191" s="308"/>
      <c r="K191" s="308"/>
      <c r="L191" s="308"/>
      <c r="M191" s="308"/>
      <c r="N191" s="308"/>
      <c r="O191" s="25"/>
    </row>
    <row r="192" spans="1:18" ht="12" customHeight="1" x14ac:dyDescent="0.2">
      <c r="A192" s="146"/>
      <c r="B192" s="147" t="s">
        <v>265</v>
      </c>
      <c r="C192" s="146"/>
      <c r="D192" s="146"/>
      <c r="E192" s="146"/>
      <c r="F192" s="146"/>
      <c r="G192" s="146"/>
      <c r="H192" s="342"/>
      <c r="I192" s="342"/>
      <c r="J192" s="342"/>
      <c r="K192" s="274">
        <f>K190+(K190*O5)</f>
        <v>945983.21938875352</v>
      </c>
      <c r="L192" s="274"/>
      <c r="M192" s="275">
        <f>M190+(M190*O7)</f>
        <v>328418.30437593855</v>
      </c>
      <c r="N192" s="343">
        <f>K192+M192</f>
        <v>1274401.523764692</v>
      </c>
      <c r="O192" s="29">
        <f>N192/RESUMO!H95</f>
        <v>0.17598622950031306</v>
      </c>
    </row>
    <row r="196" spans="1:15" ht="12" customHeight="1" x14ac:dyDescent="0.2">
      <c r="M196" s="311"/>
    </row>
    <row r="197" spans="1:15" s="150" customFormat="1" ht="12" customHeight="1" x14ac:dyDescent="0.2">
      <c r="A197" s="51"/>
      <c r="B197" s="51"/>
      <c r="C197" s="51"/>
      <c r="D197" s="51"/>
      <c r="E197" s="51"/>
      <c r="F197" s="51"/>
      <c r="G197" s="51"/>
      <c r="H197" s="51"/>
      <c r="I197" s="51"/>
      <c r="J197" s="51"/>
      <c r="K197" s="51"/>
      <c r="L197" s="51"/>
      <c r="M197" s="51"/>
      <c r="N197" s="51"/>
      <c r="O197" s="52"/>
    </row>
    <row r="198" spans="1:15" s="150" customFormat="1" ht="12" customHeight="1" x14ac:dyDescent="0.2">
      <c r="A198" s="51"/>
      <c r="B198" s="51"/>
      <c r="C198" s="51"/>
      <c r="D198" s="51"/>
      <c r="E198" s="51"/>
      <c r="F198" s="51"/>
      <c r="G198" s="51"/>
      <c r="H198" s="51"/>
      <c r="I198" s="51"/>
      <c r="J198" s="51"/>
      <c r="K198" s="51"/>
      <c r="L198" s="51"/>
      <c r="M198" s="51"/>
      <c r="N198" s="51"/>
      <c r="O198" s="52"/>
    </row>
  </sheetData>
  <mergeCells count="13">
    <mergeCell ref="Y4:Y5"/>
    <mergeCell ref="W4:W5"/>
    <mergeCell ref="N4:O4"/>
    <mergeCell ref="A5:B6"/>
    <mergeCell ref="A2:O2"/>
    <mergeCell ref="Q4:Q5"/>
    <mergeCell ref="R4:R5"/>
    <mergeCell ref="P4:P5"/>
    <mergeCell ref="S4:S5"/>
    <mergeCell ref="T4:T5"/>
    <mergeCell ref="U4:U5"/>
    <mergeCell ref="V4:V5"/>
    <mergeCell ref="X4:X5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rowBreaks count="1" manualBreakCount="1">
    <brk id="50" max="15" man="1"/>
  </rowBreaks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3">
    <tabColor theme="6" tint="0.39997558519241921"/>
    <pageSetUpPr fitToPage="1"/>
  </sheetPr>
  <dimension ref="A1:P63"/>
  <sheetViews>
    <sheetView view="pageBreakPreview" zoomScale="85" zoomScaleNormal="90" zoomScaleSheetLayoutView="85" workbookViewId="0">
      <selection activeCell="S33" sqref="S33"/>
    </sheetView>
  </sheetViews>
  <sheetFormatPr defaultColWidth="11.42578125" defaultRowHeight="12" customHeight="1" x14ac:dyDescent="0.2"/>
  <cols>
    <col min="1" max="5" width="11.42578125" style="51" customWidth="1"/>
    <col min="6" max="6" width="28.42578125" style="51" customWidth="1"/>
    <col min="7" max="9" width="11.42578125" style="51" customWidth="1"/>
    <col min="10" max="10" width="11.42578125" style="51" hidden="1" customWidth="1"/>
    <col min="11" max="11" width="14.28515625" style="51" customWidth="1"/>
    <col min="12" max="12" width="7.42578125" style="51" hidden="1" customWidth="1"/>
    <col min="13" max="13" width="14.28515625" style="51" customWidth="1"/>
    <col min="14" max="14" width="17.140625" style="51" customWidth="1"/>
    <col min="15" max="15" width="11.42578125" style="52" customWidth="1"/>
    <col min="16" max="16" width="6.140625" style="51" bestFit="1" customWidth="1"/>
    <col min="17" max="16384" width="11.42578125" style="51"/>
  </cols>
  <sheetData>
    <row r="1" spans="1:16" ht="6.75" customHeight="1" x14ac:dyDescent="0.2"/>
    <row r="2" spans="1:16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6" ht="6.7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95"/>
    </row>
    <row r="4" spans="1:16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6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6" ht="12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6" ht="12" customHeight="1" x14ac:dyDescent="0.2">
      <c r="A7" s="253"/>
      <c r="B7" s="253"/>
      <c r="C7" s="260" t="s">
        <v>6</v>
      </c>
      <c r="D7" s="263" t="str">
        <f>RESUMO!A14</f>
        <v>U.C. : 04</v>
      </c>
      <c r="E7" s="258"/>
      <c r="F7" s="258"/>
      <c r="G7" s="260" t="s">
        <v>9</v>
      </c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6" ht="12" customHeight="1" thickBot="1" x14ac:dyDescent="0.25">
      <c r="A8" s="124"/>
      <c r="B8" s="125"/>
      <c r="C8" s="266" t="s">
        <v>8</v>
      </c>
      <c r="D8" s="267" t="str">
        <f>RESUMO!B14</f>
        <v>REDE COLETORA DE ESGOTOS</v>
      </c>
      <c r="E8" s="268"/>
      <c r="F8" s="268"/>
      <c r="G8" s="266"/>
      <c r="H8" s="123"/>
      <c r="I8" s="278"/>
      <c r="J8" s="278"/>
      <c r="K8" s="278"/>
      <c r="L8" s="278"/>
      <c r="M8" s="278" t="str">
        <f>'[1]TAB OGU JUN18'!$B$1</f>
        <v>Descrição</v>
      </c>
      <c r="N8" s="271"/>
      <c r="O8" s="427"/>
    </row>
    <row r="9" spans="1:16" ht="12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6" ht="6.75" customHeight="1" x14ac:dyDescent="0.2">
      <c r="O10" s="19"/>
    </row>
    <row r="11" spans="1:16" ht="12" customHeight="1" x14ac:dyDescent="0.2">
      <c r="A11" s="93">
        <f>RESUMO!A16</f>
        <v>2</v>
      </c>
      <c r="B11" s="93" t="str">
        <f>RESUMO!B16</f>
        <v>REDE COLETORA - MATERIAIS</v>
      </c>
      <c r="O11" s="19"/>
    </row>
    <row r="12" spans="1:16" ht="12" customHeight="1" x14ac:dyDescent="0.2">
      <c r="A12" s="129" t="s">
        <v>266</v>
      </c>
      <c r="B12" s="88" t="s">
        <v>71</v>
      </c>
      <c r="I12" s="491"/>
      <c r="O12" s="19"/>
    </row>
    <row r="13" spans="1:16" ht="12" customHeight="1" x14ac:dyDescent="0.2">
      <c r="A13" s="129" t="s">
        <v>267</v>
      </c>
      <c r="B13" s="88" t="s">
        <v>72</v>
      </c>
      <c r="I13" s="491"/>
      <c r="O13" s="19"/>
    </row>
    <row r="14" spans="1:16" ht="12" customHeight="1" x14ac:dyDescent="0.2">
      <c r="A14" s="129" t="s">
        <v>283</v>
      </c>
      <c r="B14" s="88" t="s">
        <v>73</v>
      </c>
      <c r="G14" s="97" t="s">
        <v>24</v>
      </c>
      <c r="H14" s="308">
        <f>'04'!H118</f>
        <v>199</v>
      </c>
      <c r="I14" s="495">
        <v>31.4</v>
      </c>
      <c r="J14" s="308"/>
      <c r="K14" s="308"/>
      <c r="L14" s="323">
        <v>31.4</v>
      </c>
      <c r="M14" s="308">
        <f>H14*L14</f>
        <v>6248.5999999999995</v>
      </c>
      <c r="N14" s="308">
        <f>H14*I14</f>
        <v>6248.5999999999995</v>
      </c>
      <c r="O14" s="25">
        <f>(N14*1)/$N$17</f>
        <v>1</v>
      </c>
      <c r="P14" s="51">
        <v>6251</v>
      </c>
    </row>
    <row r="15" spans="1:16" ht="12.75" x14ac:dyDescent="0.2">
      <c r="A15" s="98" t="s">
        <v>282</v>
      </c>
      <c r="B15" s="88" t="s">
        <v>260</v>
      </c>
      <c r="G15" s="97" t="s">
        <v>24</v>
      </c>
      <c r="H15" s="308">
        <v>0</v>
      </c>
      <c r="I15" s="495">
        <v>43.13</v>
      </c>
      <c r="J15" s="308"/>
      <c r="K15" s="308"/>
      <c r="L15" s="323">
        <v>43.13</v>
      </c>
      <c r="M15" s="308">
        <f>H15*L15</f>
        <v>0</v>
      </c>
      <c r="N15" s="308">
        <f>H15*I15</f>
        <v>0</v>
      </c>
      <c r="O15" s="25">
        <f>N15/N17</f>
        <v>0</v>
      </c>
      <c r="P15" s="51">
        <v>13255</v>
      </c>
    </row>
    <row r="16" spans="1:16" ht="12" customHeight="1" x14ac:dyDescent="0.2">
      <c r="G16" s="52"/>
      <c r="H16" s="324"/>
      <c r="I16" s="516"/>
      <c r="J16" s="313"/>
      <c r="K16" s="313"/>
      <c r="L16" s="313"/>
      <c r="M16" s="313"/>
      <c r="N16" s="309"/>
      <c r="O16" s="25"/>
    </row>
    <row r="17" spans="1:15" ht="12" customHeight="1" x14ac:dyDescent="0.2">
      <c r="B17" s="130" t="s">
        <v>18</v>
      </c>
      <c r="C17" s="131"/>
      <c r="D17" s="131"/>
      <c r="E17" s="131"/>
      <c r="F17" s="131"/>
      <c r="G17" s="53"/>
      <c r="H17" s="325"/>
      <c r="I17" s="326"/>
      <c r="J17" s="326"/>
      <c r="K17" s="326"/>
      <c r="L17" s="326"/>
      <c r="M17" s="326"/>
      <c r="N17" s="308">
        <f>SUM(N14:N15)</f>
        <v>6248.5999999999995</v>
      </c>
      <c r="O17" s="25">
        <f>N17/N19</f>
        <v>1</v>
      </c>
    </row>
    <row r="18" spans="1:15" ht="12" customHeight="1" x14ac:dyDescent="0.2">
      <c r="B18" s="130"/>
      <c r="G18" s="52"/>
      <c r="H18" s="324"/>
      <c r="I18" s="313"/>
      <c r="J18" s="313"/>
      <c r="K18" s="313"/>
      <c r="L18" s="313"/>
      <c r="M18" s="313"/>
      <c r="N18" s="308"/>
      <c r="O18" s="25"/>
    </row>
    <row r="19" spans="1:15" s="132" customFormat="1" ht="12" customHeight="1" x14ac:dyDescent="0.2">
      <c r="B19" s="133" t="s">
        <v>20</v>
      </c>
      <c r="C19" s="134"/>
      <c r="D19" s="134"/>
      <c r="E19" s="134"/>
      <c r="F19" s="134"/>
      <c r="G19" s="78"/>
      <c r="H19" s="327"/>
      <c r="I19" s="328"/>
      <c r="J19" s="328"/>
      <c r="K19" s="328"/>
      <c r="L19" s="328"/>
      <c r="M19" s="328"/>
      <c r="N19" s="310">
        <f>N17</f>
        <v>6248.5999999999995</v>
      </c>
      <c r="O19" s="77">
        <f>N19/N48</f>
        <v>8.042317770533736E-3</v>
      </c>
    </row>
    <row r="20" spans="1:15" ht="12" customHeight="1" x14ac:dyDescent="0.2">
      <c r="B20" s="130"/>
      <c r="G20" s="52"/>
      <c r="H20" s="324"/>
      <c r="I20" s="313"/>
      <c r="J20" s="313"/>
      <c r="K20" s="313"/>
      <c r="L20" s="313"/>
      <c r="M20" s="313"/>
      <c r="N20" s="308"/>
      <c r="O20" s="25"/>
    </row>
    <row r="21" spans="1:15" ht="12" customHeight="1" x14ac:dyDescent="0.2">
      <c r="A21" s="98" t="s">
        <v>268</v>
      </c>
      <c r="B21" s="88" t="s">
        <v>75</v>
      </c>
      <c r="G21" s="52"/>
      <c r="H21" s="324"/>
      <c r="I21" s="313"/>
      <c r="J21" s="313"/>
      <c r="K21" s="313"/>
      <c r="L21" s="313"/>
      <c r="M21" s="313"/>
      <c r="N21" s="313"/>
      <c r="O21" s="19"/>
    </row>
    <row r="22" spans="1:15" ht="12" customHeight="1" x14ac:dyDescent="0.2">
      <c r="A22" s="98" t="s">
        <v>269</v>
      </c>
      <c r="B22" s="88" t="s">
        <v>74</v>
      </c>
      <c r="G22" s="52"/>
      <c r="H22" s="324"/>
      <c r="I22" s="313"/>
      <c r="J22" s="313"/>
      <c r="K22" s="313"/>
      <c r="L22" s="313"/>
      <c r="M22" s="313"/>
      <c r="N22" s="313"/>
      <c r="O22" s="19"/>
    </row>
    <row r="23" spans="1:15" ht="12" customHeight="1" x14ac:dyDescent="0.2">
      <c r="A23" s="98" t="s">
        <v>284</v>
      </c>
      <c r="B23" s="88" t="s">
        <v>285</v>
      </c>
      <c r="G23" s="97" t="s">
        <v>24</v>
      </c>
      <c r="H23" s="308">
        <f>'04'!H128</f>
        <v>312</v>
      </c>
      <c r="I23" s="323">
        <f>VLOOKUP(A23,'[1]TAB OGU JUN18'!$A:$G,6,"falso")</f>
        <v>315</v>
      </c>
      <c r="J23" s="308"/>
      <c r="K23" s="308"/>
      <c r="L23" s="323">
        <f>VLOOKUP(A23,'[1]TAB OGU JUN18'!$A:$G,5,"falso")</f>
        <v>315</v>
      </c>
      <c r="M23" s="308">
        <f>H23*L23</f>
        <v>98280</v>
      </c>
      <c r="N23" s="308">
        <f>H23*I23</f>
        <v>98280</v>
      </c>
      <c r="O23" s="25">
        <f>N23/N25</f>
        <v>1</v>
      </c>
    </row>
    <row r="24" spans="1:15" ht="12" customHeight="1" x14ac:dyDescent="0.2">
      <c r="G24" s="52"/>
      <c r="H24" s="324"/>
      <c r="I24" s="323"/>
      <c r="J24" s="313"/>
      <c r="K24" s="313"/>
      <c r="L24" s="323"/>
      <c r="M24" s="313"/>
      <c r="N24" s="313"/>
      <c r="O24" s="19"/>
    </row>
    <row r="25" spans="1:15" ht="12" customHeight="1" x14ac:dyDescent="0.2">
      <c r="B25" s="130" t="s">
        <v>18</v>
      </c>
      <c r="C25" s="131"/>
      <c r="D25" s="131"/>
      <c r="E25" s="131"/>
      <c r="F25" s="131"/>
      <c r="G25" s="53"/>
      <c r="H25" s="325"/>
      <c r="I25" s="582"/>
      <c r="J25" s="326"/>
      <c r="K25" s="326"/>
      <c r="L25" s="582"/>
      <c r="M25" s="326"/>
      <c r="N25" s="308">
        <f>N23</f>
        <v>98280</v>
      </c>
      <c r="O25" s="25">
        <f>N25/N27</f>
        <v>1</v>
      </c>
    </row>
    <row r="26" spans="1:15" ht="12" customHeight="1" x14ac:dyDescent="0.2">
      <c r="B26" s="130"/>
      <c r="G26" s="52"/>
      <c r="H26" s="324"/>
      <c r="I26" s="323"/>
      <c r="J26" s="313"/>
      <c r="K26" s="313"/>
      <c r="L26" s="323"/>
      <c r="M26" s="313"/>
      <c r="N26" s="308"/>
      <c r="O26" s="25"/>
    </row>
    <row r="27" spans="1:15" s="132" customFormat="1" ht="12" customHeight="1" x14ac:dyDescent="0.2">
      <c r="B27" s="133" t="s">
        <v>20</v>
      </c>
      <c r="C27" s="134"/>
      <c r="D27" s="134"/>
      <c r="E27" s="134"/>
      <c r="F27" s="134"/>
      <c r="G27" s="78"/>
      <c r="H27" s="327"/>
      <c r="I27" s="582"/>
      <c r="J27" s="328"/>
      <c r="K27" s="328"/>
      <c r="L27" s="582"/>
      <c r="M27" s="328"/>
      <c r="N27" s="310">
        <f>N25</f>
        <v>98280</v>
      </c>
      <c r="O27" s="77">
        <f>N27/N48</f>
        <v>0.12649217272477925</v>
      </c>
    </row>
    <row r="28" spans="1:15" ht="12" customHeight="1" x14ac:dyDescent="0.2">
      <c r="G28" s="52"/>
      <c r="H28" s="324"/>
      <c r="I28" s="323"/>
      <c r="J28" s="313"/>
      <c r="K28" s="313"/>
      <c r="L28" s="323"/>
      <c r="M28" s="313"/>
      <c r="N28" s="313"/>
      <c r="O28" s="19"/>
    </row>
    <row r="29" spans="1:15" ht="12" customHeight="1" x14ac:dyDescent="0.2">
      <c r="A29" s="98" t="s">
        <v>270</v>
      </c>
      <c r="B29" s="88" t="s">
        <v>29</v>
      </c>
      <c r="G29" s="52"/>
      <c r="H29" s="324"/>
      <c r="I29" s="323"/>
      <c r="J29" s="313"/>
      <c r="K29" s="313"/>
      <c r="L29" s="323"/>
      <c r="M29" s="313"/>
      <c r="N29" s="313"/>
      <c r="O29" s="19"/>
    </row>
    <row r="30" spans="1:15" ht="12" customHeight="1" x14ac:dyDescent="0.2">
      <c r="A30" s="98" t="s">
        <v>271</v>
      </c>
      <c r="B30" s="88" t="s">
        <v>34</v>
      </c>
      <c r="G30" s="52"/>
      <c r="H30" s="324"/>
      <c r="I30" s="323"/>
      <c r="J30" s="313"/>
      <c r="K30" s="313"/>
      <c r="L30" s="323"/>
      <c r="M30" s="313"/>
      <c r="N30" s="313"/>
      <c r="O30" s="19"/>
    </row>
    <row r="31" spans="1:15" s="279" customFormat="1" ht="12" customHeight="1" x14ac:dyDescent="0.2">
      <c r="A31" s="98" t="s">
        <v>272</v>
      </c>
      <c r="B31" s="88" t="s">
        <v>76</v>
      </c>
      <c r="C31" s="51"/>
      <c r="D31" s="51"/>
      <c r="E31" s="51"/>
      <c r="F31" s="51"/>
      <c r="G31" s="97" t="s">
        <v>24</v>
      </c>
      <c r="H31" s="308">
        <f>'04'!H118+'04'!H123</f>
        <v>214</v>
      </c>
      <c r="I31" s="323">
        <f>VLOOKUP(A31,'[1]TAB OGU JUN18'!$A:$G,6,"falso")</f>
        <v>87.25</v>
      </c>
      <c r="J31" s="308"/>
      <c r="K31" s="308"/>
      <c r="L31" s="323">
        <f>VLOOKUP(A31,'[1]TAB OGU JUN18'!$A:$G,5,"falso")</f>
        <v>87.25</v>
      </c>
      <c r="M31" s="308">
        <f>H31*L31</f>
        <v>18671.5</v>
      </c>
      <c r="N31" s="308">
        <f>H31*I31</f>
        <v>18671.5</v>
      </c>
      <c r="O31" s="25">
        <f>(N31*1)/N31</f>
        <v>1</v>
      </c>
    </row>
    <row r="32" spans="1:15" ht="12" customHeight="1" x14ac:dyDescent="0.2">
      <c r="A32" s="273"/>
      <c r="B32" s="88"/>
      <c r="G32" s="97"/>
      <c r="H32" s="308"/>
      <c r="I32" s="323"/>
      <c r="J32" s="311"/>
      <c r="K32" s="308"/>
      <c r="L32" s="323"/>
      <c r="M32" s="308"/>
      <c r="N32" s="308"/>
      <c r="O32" s="25"/>
    </row>
    <row r="33" spans="1:16" ht="12" customHeight="1" x14ac:dyDescent="0.2">
      <c r="B33" s="130" t="s">
        <v>18</v>
      </c>
      <c r="C33" s="131"/>
      <c r="D33" s="131"/>
      <c r="E33" s="131"/>
      <c r="F33" s="131"/>
      <c r="G33" s="53"/>
      <c r="H33" s="325"/>
      <c r="I33" s="582"/>
      <c r="J33" s="326"/>
      <c r="K33" s="326"/>
      <c r="L33" s="582"/>
      <c r="M33" s="326"/>
      <c r="N33" s="308">
        <f>N31</f>
        <v>18671.5</v>
      </c>
      <c r="O33" s="25">
        <f>N33/N46</f>
        <v>2.7766935311975254E-2</v>
      </c>
    </row>
    <row r="34" spans="1:16" ht="12" customHeight="1" x14ac:dyDescent="0.2">
      <c r="A34" s="130"/>
      <c r="G34" s="52"/>
      <c r="H34" s="324"/>
      <c r="I34" s="323"/>
      <c r="J34" s="311"/>
      <c r="K34" s="313"/>
      <c r="L34" s="323"/>
      <c r="M34" s="313"/>
      <c r="N34" s="308"/>
      <c r="O34" s="25"/>
    </row>
    <row r="35" spans="1:16" ht="12" customHeight="1" x14ac:dyDescent="0.2">
      <c r="A35" s="98" t="s">
        <v>273</v>
      </c>
      <c r="B35" s="88" t="s">
        <v>35</v>
      </c>
      <c r="G35" s="97"/>
      <c r="H35" s="308"/>
      <c r="I35" s="323"/>
      <c r="J35" s="311"/>
      <c r="K35" s="308"/>
      <c r="L35" s="323"/>
      <c r="M35" s="308"/>
      <c r="N35" s="308"/>
      <c r="O35" s="25"/>
    </row>
    <row r="36" spans="1:16" s="279" customFormat="1" ht="12" customHeight="1" x14ac:dyDescent="0.2">
      <c r="A36" s="98" t="s">
        <v>274</v>
      </c>
      <c r="B36" s="88" t="s">
        <v>77</v>
      </c>
      <c r="C36" s="51"/>
      <c r="D36" s="51"/>
      <c r="E36" s="51"/>
      <c r="F36" s="51"/>
      <c r="G36" s="97" t="s">
        <v>24</v>
      </c>
      <c r="H36" s="308">
        <f>'04'!H123</f>
        <v>15</v>
      </c>
      <c r="I36" s="323">
        <f>VLOOKUP(A36,'[1]TAB OGU JUN18'!$A:$G,6,"falso")</f>
        <v>112</v>
      </c>
      <c r="J36" s="308"/>
      <c r="K36" s="308"/>
      <c r="L36" s="323">
        <f>VLOOKUP(A36,'[1]TAB OGU JUN18'!$A:$G,5,"falso")</f>
        <v>112</v>
      </c>
      <c r="M36" s="308">
        <f>H36*L36</f>
        <v>1680</v>
      </c>
      <c r="N36" s="308">
        <f>H36*I36</f>
        <v>1680</v>
      </c>
      <c r="O36" s="25">
        <f>N36/N38</f>
        <v>1</v>
      </c>
    </row>
    <row r="37" spans="1:16" ht="12" customHeight="1" x14ac:dyDescent="0.2">
      <c r="G37" s="52"/>
      <c r="H37" s="324"/>
      <c r="I37" s="323"/>
      <c r="J37" s="311"/>
      <c r="K37" s="313"/>
      <c r="L37" s="323"/>
      <c r="M37" s="313"/>
      <c r="N37" s="313"/>
      <c r="O37" s="19"/>
    </row>
    <row r="38" spans="1:16" ht="12" customHeight="1" x14ac:dyDescent="0.2">
      <c r="B38" s="130" t="s">
        <v>18</v>
      </c>
      <c r="C38" s="131"/>
      <c r="D38" s="131"/>
      <c r="E38" s="131"/>
      <c r="F38" s="131"/>
      <c r="G38" s="53"/>
      <c r="H38" s="325"/>
      <c r="I38" s="582"/>
      <c r="J38" s="326"/>
      <c r="K38" s="326"/>
      <c r="L38" s="582"/>
      <c r="M38" s="326"/>
      <c r="N38" s="308">
        <f>N36</f>
        <v>1680</v>
      </c>
      <c r="O38" s="25">
        <f>N38/N46</f>
        <v>2.4983772768185967E-3</v>
      </c>
    </row>
    <row r="39" spans="1:16" ht="12" customHeight="1" x14ac:dyDescent="0.2">
      <c r="G39" s="52"/>
      <c r="H39" s="324"/>
      <c r="I39" s="323"/>
      <c r="J39" s="311"/>
      <c r="K39" s="313"/>
      <c r="L39" s="323"/>
      <c r="M39" s="313"/>
      <c r="N39" s="313"/>
      <c r="O39" s="19"/>
    </row>
    <row r="40" spans="1:16" ht="12" customHeight="1" x14ac:dyDescent="0.2">
      <c r="A40" s="98" t="s">
        <v>275</v>
      </c>
      <c r="B40" s="88" t="s">
        <v>36</v>
      </c>
      <c r="G40" s="52"/>
      <c r="H40" s="324"/>
      <c r="I40" s="323"/>
      <c r="J40" s="311"/>
      <c r="K40" s="313"/>
      <c r="L40" s="323"/>
      <c r="M40" s="313"/>
      <c r="N40" s="313"/>
      <c r="O40" s="19"/>
    </row>
    <row r="41" spans="1:16" s="279" customFormat="1" ht="12" customHeight="1" x14ac:dyDescent="0.2">
      <c r="A41" s="98" t="s">
        <v>276</v>
      </c>
      <c r="B41" s="88" t="s">
        <v>78</v>
      </c>
      <c r="C41" s="51"/>
      <c r="D41" s="51"/>
      <c r="E41" s="51"/>
      <c r="F41" s="51"/>
      <c r="G41" s="97" t="s">
        <v>17</v>
      </c>
      <c r="H41" s="308">
        <f>'04'!H112</f>
        <v>17103.389999999992</v>
      </c>
      <c r="I41" s="323">
        <f>VLOOKUP(A41,'[1]TAB OGU JUN18'!$A:$G,6,"falso")</f>
        <v>37.630000000000003</v>
      </c>
      <c r="J41" s="308"/>
      <c r="K41" s="308"/>
      <c r="L41" s="323">
        <f>VLOOKUP(A41,'[1]TAB OGU JUN18'!$A:$G,5,"falso")</f>
        <v>37.630000000000003</v>
      </c>
      <c r="M41" s="308">
        <f>H41*L41</f>
        <v>643600.5656999998</v>
      </c>
      <c r="N41" s="308">
        <f>H41*I41</f>
        <v>643600.5656999998</v>
      </c>
      <c r="O41" s="25">
        <f>N41/$N$44</f>
        <v>0.98698880364765118</v>
      </c>
    </row>
    <row r="42" spans="1:16" s="279" customFormat="1" ht="12.75" x14ac:dyDescent="0.2">
      <c r="A42" s="98" t="s">
        <v>277</v>
      </c>
      <c r="B42" s="88" t="s">
        <v>205</v>
      </c>
      <c r="C42" s="51"/>
      <c r="D42" s="51"/>
      <c r="E42" s="51"/>
      <c r="F42" s="51"/>
      <c r="G42" s="97" t="s">
        <v>17</v>
      </c>
      <c r="H42" s="308">
        <f>'04'!H113</f>
        <v>144.44</v>
      </c>
      <c r="I42" s="323">
        <f>VLOOKUP(A42,'[1]TAB OGU JUN18'!$A:$G,6,"falso")</f>
        <v>58.74</v>
      </c>
      <c r="J42" s="308"/>
      <c r="K42" s="308"/>
      <c r="L42" s="323">
        <f>VLOOKUP(A42,'[1]TAB OGU JUN18'!$A:$G,5,"falso")</f>
        <v>58.74</v>
      </c>
      <c r="M42" s="308">
        <f>H42*L42</f>
        <v>8484.4056</v>
      </c>
      <c r="N42" s="308">
        <f>H42*I42</f>
        <v>8484.4056</v>
      </c>
      <c r="O42" s="25">
        <f>N42/$N$44</f>
        <v>1.3011196352348754E-2</v>
      </c>
    </row>
    <row r="43" spans="1:16" s="279" customFormat="1" ht="12" customHeight="1" x14ac:dyDescent="0.2">
      <c r="A43" s="98"/>
      <c r="B43" s="88"/>
      <c r="C43" s="51"/>
      <c r="D43" s="51"/>
      <c r="E43" s="51"/>
      <c r="F43" s="51"/>
      <c r="G43" s="97"/>
      <c r="H43" s="308"/>
      <c r="I43" s="308"/>
      <c r="J43" s="308"/>
      <c r="K43" s="308"/>
      <c r="L43" s="308"/>
      <c r="M43" s="308"/>
      <c r="N43" s="308"/>
      <c r="O43" s="25"/>
    </row>
    <row r="44" spans="1:16" ht="12" customHeight="1" x14ac:dyDescent="0.2">
      <c r="B44" s="130" t="s">
        <v>18</v>
      </c>
      <c r="C44" s="131"/>
      <c r="D44" s="131"/>
      <c r="E44" s="131"/>
      <c r="F44" s="131"/>
      <c r="G44" s="53"/>
      <c r="H44" s="325"/>
      <c r="I44" s="326"/>
      <c r="J44" s="326"/>
      <c r="K44" s="326"/>
      <c r="L44" s="326"/>
      <c r="M44" s="326"/>
      <c r="N44" s="308">
        <f>N41+N42</f>
        <v>652084.97129999986</v>
      </c>
      <c r="O44" s="25">
        <f>N44/N46</f>
        <v>0.96973468741120616</v>
      </c>
    </row>
    <row r="45" spans="1:16" ht="12" customHeight="1" x14ac:dyDescent="0.2">
      <c r="G45" s="52"/>
      <c r="H45" s="313"/>
      <c r="I45" s="313"/>
      <c r="J45" s="313"/>
      <c r="K45" s="313"/>
      <c r="L45" s="313"/>
      <c r="M45" s="313"/>
      <c r="N45" s="313"/>
      <c r="O45" s="19"/>
    </row>
    <row r="46" spans="1:16" s="132" customFormat="1" ht="12" customHeight="1" x14ac:dyDescent="0.2">
      <c r="B46" s="133" t="s">
        <v>20</v>
      </c>
      <c r="C46" s="134"/>
      <c r="D46" s="134"/>
      <c r="E46" s="134"/>
      <c r="F46" s="134"/>
      <c r="G46" s="78"/>
      <c r="H46" s="328"/>
      <c r="I46" s="328"/>
      <c r="J46" s="328"/>
      <c r="K46" s="328"/>
      <c r="L46" s="328"/>
      <c r="M46" s="328"/>
      <c r="N46" s="310">
        <f>N44+N38+N33</f>
        <v>672436.47129999986</v>
      </c>
      <c r="O46" s="77">
        <f>N46/N48</f>
        <v>0.86546550950468704</v>
      </c>
    </row>
    <row r="47" spans="1:16" ht="7.5" customHeight="1" x14ac:dyDescent="0.2">
      <c r="G47" s="52"/>
      <c r="H47" s="313"/>
      <c r="I47" s="313"/>
      <c r="J47" s="313"/>
      <c r="K47" s="313"/>
      <c r="L47" s="313"/>
      <c r="M47" s="313"/>
      <c r="N47" s="313"/>
      <c r="O47" s="19"/>
    </row>
    <row r="48" spans="1:16" s="148" customFormat="1" ht="12" customHeight="1" x14ac:dyDescent="0.2">
      <c r="B48" s="280" t="s">
        <v>30</v>
      </c>
      <c r="H48" s="342"/>
      <c r="I48" s="342"/>
      <c r="J48" s="342"/>
      <c r="K48" s="274"/>
      <c r="L48" s="274"/>
      <c r="M48" s="274">
        <f>SUM(M13:M47)</f>
        <v>776965.07129999984</v>
      </c>
      <c r="N48" s="344">
        <f>N46+N27+N19</f>
        <v>776965.07129999984</v>
      </c>
      <c r="O48" s="436"/>
      <c r="P48" s="281"/>
    </row>
    <row r="49" spans="1:16" ht="7.5" customHeight="1" x14ac:dyDescent="0.2">
      <c r="G49" s="52"/>
      <c r="H49" s="313"/>
      <c r="I49" s="313"/>
      <c r="J49" s="313"/>
      <c r="K49" s="313"/>
      <c r="L49" s="313"/>
      <c r="M49" s="313"/>
      <c r="N49" s="313"/>
      <c r="O49" s="19"/>
    </row>
    <row r="50" spans="1:16" s="148" customFormat="1" ht="12" customHeight="1" x14ac:dyDescent="0.2">
      <c r="B50" s="280" t="s">
        <v>265</v>
      </c>
      <c r="H50" s="342"/>
      <c r="I50" s="342"/>
      <c r="J50" s="342"/>
      <c r="K50" s="274"/>
      <c r="L50" s="274"/>
      <c r="M50" s="274">
        <f>M48+(M48*O7)</f>
        <v>914643.28193435981</v>
      </c>
      <c r="N50" s="344">
        <f>M50</f>
        <v>914643.28193435981</v>
      </c>
      <c r="O50" s="29">
        <f>N50/RESUMO!H95</f>
        <v>0.12630604995662309</v>
      </c>
      <c r="P50" s="281"/>
    </row>
    <row r="62" spans="1:16" ht="12" customHeight="1" x14ac:dyDescent="0.2">
      <c r="A62" s="150"/>
      <c r="B62" s="150"/>
      <c r="C62" s="150"/>
      <c r="D62" s="150"/>
      <c r="E62" s="150"/>
      <c r="F62" s="150"/>
      <c r="G62" s="150"/>
      <c r="H62" s="150"/>
      <c r="I62" s="150"/>
      <c r="J62" s="150"/>
      <c r="K62" s="150"/>
      <c r="L62" s="150"/>
      <c r="M62" s="150"/>
      <c r="N62" s="211"/>
      <c r="O62" s="210"/>
    </row>
    <row r="63" spans="1:16" ht="12" customHeight="1" x14ac:dyDescent="0.2">
      <c r="A63" s="88"/>
      <c r="C63" s="184"/>
      <c r="D63" s="184"/>
      <c r="E63" s="184"/>
      <c r="F63" s="184"/>
      <c r="G63" s="184"/>
      <c r="H63" s="184"/>
      <c r="I63" s="184"/>
      <c r="J63" s="184"/>
      <c r="K63" s="184"/>
      <c r="L63" s="184"/>
      <c r="M63" s="184"/>
      <c r="N63" s="184"/>
      <c r="O63" s="437"/>
    </row>
  </sheetData>
  <mergeCells count="3">
    <mergeCell ref="N4:O4"/>
    <mergeCell ref="A5:B6"/>
    <mergeCell ref="A2:O2"/>
  </mergeCells>
  <printOptions horizontalCentered="1"/>
  <pageMargins left="0.78740157480314965" right="0.59055118110236227" top="0.59055118110236227" bottom="0.59055118110236227" header="0.31496062992125984" footer="0.31496062992125984"/>
  <pageSetup paperSize="9" scale="74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rowBreaks count="1" manualBreakCount="1">
    <brk id="39" max="14" man="1"/>
  </rowBreaks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6">
    <tabColor theme="6" tint="0.39997558519241921"/>
    <pageSetUpPr fitToPage="1"/>
  </sheetPr>
  <dimension ref="A1:T119"/>
  <sheetViews>
    <sheetView view="pageBreakPreview" zoomScale="85" zoomScaleNormal="90" zoomScaleSheetLayoutView="85" workbookViewId="0">
      <selection activeCell="Q35" sqref="Q35"/>
    </sheetView>
  </sheetViews>
  <sheetFormatPr defaultColWidth="11.42578125" defaultRowHeight="12.75" customHeight="1" x14ac:dyDescent="0.2"/>
  <cols>
    <col min="1" max="1" width="11.42578125" style="51" customWidth="1"/>
    <col min="2" max="5" width="11.42578125" style="51"/>
    <col min="6" max="6" width="28.42578125" style="51" customWidth="1"/>
    <col min="7" max="7" width="11.42578125" style="51"/>
    <col min="8" max="9" width="11.42578125" style="51" customWidth="1"/>
    <col min="10" max="10" width="7.42578125" style="51" hidden="1" customWidth="1"/>
    <col min="11" max="11" width="14.28515625" style="51" customWidth="1"/>
    <col min="12" max="12" width="7.42578125" style="51" hidden="1" customWidth="1"/>
    <col min="13" max="13" width="14.28515625" style="51" customWidth="1"/>
    <col min="14" max="14" width="17.140625" style="51" customWidth="1"/>
    <col min="15" max="15" width="11.42578125" style="52" customWidth="1"/>
    <col min="16" max="16384" width="11.42578125" style="51"/>
  </cols>
  <sheetData>
    <row r="1" spans="1:20" ht="7.5" customHeight="1" x14ac:dyDescent="0.2"/>
    <row r="2" spans="1:20" ht="12.75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20" ht="7.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95"/>
    </row>
    <row r="4" spans="1:20" ht="12.75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20" ht="12.75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20" ht="12.75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K6" s="258"/>
      <c r="L6" s="258"/>
      <c r="M6" s="258"/>
      <c r="N6" s="261" t="str">
        <f>RESUMO!H6</f>
        <v>Serv Terc:</v>
      </c>
      <c r="O6" s="234">
        <f>RESUMO!I6</f>
        <v>0.1772</v>
      </c>
      <c r="Q6" s="57">
        <f>'04'!X6</f>
        <v>517</v>
      </c>
      <c r="S6" s="51">
        <f>(PI()*0.1^2)/4</f>
        <v>7.8539816339744835E-3</v>
      </c>
      <c r="T6" s="51">
        <f>S6*H96</f>
        <v>6.0907627571472123</v>
      </c>
    </row>
    <row r="7" spans="1:20" ht="12.75" customHeight="1" x14ac:dyDescent="0.2">
      <c r="A7" s="253"/>
      <c r="B7" s="253"/>
      <c r="C7" s="260" t="s">
        <v>6</v>
      </c>
      <c r="D7" s="263" t="str">
        <f>RESUMO!A17</f>
        <v>U.C. : 05</v>
      </c>
      <c r="E7" s="258"/>
      <c r="F7" s="258"/>
      <c r="G7" s="260" t="s">
        <v>9</v>
      </c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20" ht="12.75" customHeight="1" thickBot="1" x14ac:dyDescent="0.25">
      <c r="A8" s="124"/>
      <c r="B8" s="125"/>
      <c r="C8" s="266" t="s">
        <v>8</v>
      </c>
      <c r="D8" s="267" t="str">
        <f>RESUMO!B17</f>
        <v>LIGAÇÕES PREDIAIS</v>
      </c>
      <c r="E8" s="268"/>
      <c r="F8" s="268"/>
      <c r="G8" s="266"/>
      <c r="H8" s="123"/>
      <c r="I8" s="278"/>
      <c r="J8" s="278"/>
      <c r="K8" s="278"/>
      <c r="L8" s="278"/>
      <c r="M8" s="278"/>
      <c r="N8" s="271"/>
      <c r="O8" s="427"/>
    </row>
    <row r="9" spans="1:20" ht="12.75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20" ht="7.5" customHeight="1" x14ac:dyDescent="0.2">
      <c r="O10" s="19"/>
    </row>
    <row r="11" spans="1:20" ht="12.75" customHeight="1" x14ac:dyDescent="0.2">
      <c r="A11" s="93">
        <f>RESUMO!A18</f>
        <v>1</v>
      </c>
      <c r="B11" s="93" t="str">
        <f>RESUMO!B18</f>
        <v>LIGAÇÕES PREDIAIS  - SERVIÇOS</v>
      </c>
      <c r="O11" s="19"/>
    </row>
    <row r="12" spans="1:20" ht="12.75" customHeight="1" x14ac:dyDescent="0.2">
      <c r="A12" s="129" t="s">
        <v>93</v>
      </c>
      <c r="B12" s="88" t="s">
        <v>96</v>
      </c>
      <c r="H12" s="61"/>
      <c r="O12" s="19"/>
    </row>
    <row r="13" spans="1:20" ht="12.75" customHeight="1" x14ac:dyDescent="0.2">
      <c r="A13" s="129" t="s">
        <v>94</v>
      </c>
      <c r="B13" s="88" t="s">
        <v>97</v>
      </c>
      <c r="H13" s="61"/>
      <c r="O13" s="19"/>
    </row>
    <row r="14" spans="1:20" ht="12.75" customHeight="1" x14ac:dyDescent="0.2">
      <c r="A14" s="129" t="s">
        <v>95</v>
      </c>
      <c r="B14" s="88" t="s">
        <v>228</v>
      </c>
      <c r="G14" s="97" t="s">
        <v>32</v>
      </c>
      <c r="H14" s="308">
        <f>Q96/3</f>
        <v>129.25</v>
      </c>
      <c r="I14" s="323">
        <f>VLOOKUP(A14,'[1]TAB OGU JUN18'!$A:$G,6,"falso")</f>
        <v>32.9</v>
      </c>
      <c r="J14" s="323">
        <f>VLOOKUP(A14,'[1]TAB OGU JUN18'!$A:$G,4,"falso")</f>
        <v>32.9</v>
      </c>
      <c r="K14" s="308">
        <f>H14*J14</f>
        <v>4252.3249999999998</v>
      </c>
      <c r="L14" s="323">
        <f>VLOOKUP(A14,'[1]TAB OGU JUN18'!$A:$G,5,"falso")</f>
        <v>0</v>
      </c>
      <c r="M14" s="308"/>
      <c r="N14" s="308">
        <f>H14*I14</f>
        <v>4252.3249999999998</v>
      </c>
      <c r="O14" s="25">
        <f>N14/N16</f>
        <v>1</v>
      </c>
    </row>
    <row r="15" spans="1:20" ht="12.75" customHeight="1" x14ac:dyDescent="0.2">
      <c r="G15" s="52"/>
      <c r="H15" s="324"/>
      <c r="I15" s="323"/>
      <c r="J15" s="323"/>
      <c r="K15" s="313"/>
      <c r="L15" s="323"/>
      <c r="M15" s="313"/>
      <c r="N15" s="309"/>
      <c r="O15" s="25"/>
    </row>
    <row r="16" spans="1:20" ht="12.75" customHeight="1" x14ac:dyDescent="0.2">
      <c r="B16" s="130" t="s">
        <v>18</v>
      </c>
      <c r="C16" s="131"/>
      <c r="D16" s="131"/>
      <c r="E16" s="131"/>
      <c r="F16" s="131"/>
      <c r="G16" s="53"/>
      <c r="H16" s="325"/>
      <c r="I16" s="582"/>
      <c r="J16" s="582"/>
      <c r="K16" s="326"/>
      <c r="L16" s="582"/>
      <c r="M16" s="326"/>
      <c r="N16" s="308">
        <f>N14</f>
        <v>4252.3249999999998</v>
      </c>
      <c r="O16" s="25">
        <f>N16/N43</f>
        <v>0.45455822270388857</v>
      </c>
    </row>
    <row r="17" spans="1:15" ht="12.75" customHeight="1" x14ac:dyDescent="0.2">
      <c r="B17" s="130"/>
      <c r="G17" s="52"/>
      <c r="H17" s="324"/>
      <c r="I17" s="323"/>
      <c r="J17" s="323"/>
      <c r="K17" s="313"/>
      <c r="L17" s="323"/>
      <c r="M17" s="313"/>
      <c r="N17" s="308"/>
      <c r="O17" s="25"/>
    </row>
    <row r="18" spans="1:15" ht="12.75" customHeight="1" x14ac:dyDescent="0.2">
      <c r="A18" s="98" t="s">
        <v>98</v>
      </c>
      <c r="B18" s="88" t="s">
        <v>100</v>
      </c>
      <c r="G18" s="52"/>
      <c r="H18" s="324"/>
      <c r="I18" s="323"/>
      <c r="J18" s="323"/>
      <c r="K18" s="313"/>
      <c r="L18" s="323"/>
      <c r="M18" s="313"/>
      <c r="N18" s="313"/>
      <c r="O18" s="19"/>
    </row>
    <row r="19" spans="1:15" ht="12.75" customHeight="1" x14ac:dyDescent="0.2">
      <c r="A19" s="98" t="s">
        <v>99</v>
      </c>
      <c r="B19" s="88" t="s">
        <v>227</v>
      </c>
      <c r="G19" s="97" t="s">
        <v>32</v>
      </c>
      <c r="H19" s="308">
        <f>H14*2</f>
        <v>258.5</v>
      </c>
      <c r="I19" s="323">
        <f>VLOOKUP(A19,'[1]TAB OGU JUN18'!$A:$G,6,"falso")</f>
        <v>9.77</v>
      </c>
      <c r="J19" s="323">
        <f>VLOOKUP(A19,'[1]TAB OGU JUN18'!$A:$G,4,"falso")</f>
        <v>9.77</v>
      </c>
      <c r="K19" s="308">
        <f>H19*J19</f>
        <v>2525.5450000000001</v>
      </c>
      <c r="L19" s="323">
        <f>VLOOKUP(A19,'[1]TAB OGU JUN18'!$A:$G,5,"falso")</f>
        <v>0</v>
      </c>
      <c r="M19" s="308"/>
      <c r="N19" s="308">
        <f>H19*I19</f>
        <v>2525.5450000000001</v>
      </c>
      <c r="O19" s="25">
        <f>N19/N21</f>
        <v>1</v>
      </c>
    </row>
    <row r="20" spans="1:15" ht="12.75" customHeight="1" x14ac:dyDescent="0.2">
      <c r="G20" s="52"/>
      <c r="H20" s="324"/>
      <c r="I20" s="323"/>
      <c r="J20" s="323"/>
      <c r="K20" s="313"/>
      <c r="L20" s="323"/>
      <c r="M20" s="313"/>
      <c r="N20" s="313"/>
      <c r="O20" s="19"/>
    </row>
    <row r="21" spans="1:15" ht="12.75" customHeight="1" x14ac:dyDescent="0.2">
      <c r="B21" s="130" t="s">
        <v>18</v>
      </c>
      <c r="C21" s="131"/>
      <c r="D21" s="131"/>
      <c r="E21" s="131"/>
      <c r="F21" s="131"/>
      <c r="G21" s="53"/>
      <c r="H21" s="325"/>
      <c r="I21" s="582"/>
      <c r="J21" s="582"/>
      <c r="K21" s="326"/>
      <c r="L21" s="582"/>
      <c r="M21" s="326"/>
      <c r="N21" s="308">
        <f>N19</f>
        <v>2525.5450000000001</v>
      </c>
      <c r="O21" s="25">
        <f>N21/N43</f>
        <v>0.26997166175179282</v>
      </c>
    </row>
    <row r="22" spans="1:15" ht="12.75" customHeight="1" x14ac:dyDescent="0.2">
      <c r="B22" s="130"/>
      <c r="G22" s="52"/>
      <c r="H22" s="324"/>
      <c r="I22" s="323"/>
      <c r="J22" s="323"/>
      <c r="K22" s="313"/>
      <c r="L22" s="323"/>
      <c r="M22" s="313"/>
      <c r="N22" s="308"/>
      <c r="O22" s="25"/>
    </row>
    <row r="23" spans="1:15" ht="12.75" customHeight="1" x14ac:dyDescent="0.2">
      <c r="A23" s="98" t="s">
        <v>101</v>
      </c>
      <c r="B23" s="88" t="s">
        <v>21</v>
      </c>
      <c r="G23" s="97"/>
      <c r="H23" s="308"/>
      <c r="I23" s="323"/>
      <c r="J23" s="323"/>
      <c r="K23" s="308"/>
      <c r="L23" s="323"/>
      <c r="M23" s="308"/>
      <c r="N23" s="308"/>
      <c r="O23" s="25"/>
    </row>
    <row r="24" spans="1:15" ht="12.75" customHeight="1" x14ac:dyDescent="0.2">
      <c r="A24" s="98" t="s">
        <v>102</v>
      </c>
      <c r="B24" s="88" t="s">
        <v>104</v>
      </c>
      <c r="G24" s="97" t="s">
        <v>32</v>
      </c>
      <c r="H24" s="308">
        <f>H14-H34</f>
        <v>84.384237242852777</v>
      </c>
      <c r="I24" s="323">
        <f>VLOOKUP(A24,'[1]TAB OGU JUN18'!$A:$G,6,"falso")</f>
        <v>7.4</v>
      </c>
      <c r="J24" s="323">
        <f>VLOOKUP(A24,'[1]TAB OGU JUN18'!$A:$G,4,"falso")</f>
        <v>7.4</v>
      </c>
      <c r="K24" s="308">
        <f>H24*J24</f>
        <v>624.44335559711055</v>
      </c>
      <c r="L24" s="323">
        <f>VLOOKUP(A24,'[1]TAB OGU JUN18'!$A:$G,5,"falso")</f>
        <v>0</v>
      </c>
      <c r="M24" s="308"/>
      <c r="N24" s="308">
        <f>H24*I24</f>
        <v>624.44335559711055</v>
      </c>
      <c r="O24" s="68">
        <f>N24/N26</f>
        <v>1</v>
      </c>
    </row>
    <row r="25" spans="1:15" ht="12.75" customHeight="1" x14ac:dyDescent="0.2">
      <c r="B25" s="130"/>
      <c r="G25" s="52"/>
      <c r="H25" s="324"/>
      <c r="I25" s="323"/>
      <c r="J25" s="323"/>
      <c r="K25" s="313"/>
      <c r="L25" s="323"/>
      <c r="M25" s="313"/>
      <c r="N25" s="308"/>
      <c r="O25" s="25"/>
    </row>
    <row r="26" spans="1:15" ht="12.75" customHeight="1" x14ac:dyDescent="0.2">
      <c r="B26" s="130" t="s">
        <v>18</v>
      </c>
      <c r="C26" s="131"/>
      <c r="D26" s="131"/>
      <c r="E26" s="131"/>
      <c r="F26" s="131"/>
      <c r="G26" s="53"/>
      <c r="H26" s="325"/>
      <c r="I26" s="582"/>
      <c r="J26" s="582"/>
      <c r="K26" s="326"/>
      <c r="L26" s="582"/>
      <c r="M26" s="326"/>
      <c r="N26" s="308">
        <f>N24</f>
        <v>624.44335559711055</v>
      </c>
      <c r="O26" s="25">
        <f>N26/N43</f>
        <v>6.6750745039354908E-2</v>
      </c>
    </row>
    <row r="27" spans="1:15" ht="12.75" customHeight="1" x14ac:dyDescent="0.2">
      <c r="B27" s="130"/>
      <c r="G27" s="52"/>
      <c r="H27" s="324"/>
      <c r="I27" s="323"/>
      <c r="J27" s="323"/>
      <c r="K27" s="313"/>
      <c r="L27" s="323"/>
      <c r="M27" s="313"/>
      <c r="N27" s="308"/>
      <c r="O27" s="25"/>
    </row>
    <row r="28" spans="1:15" ht="12.75" customHeight="1" x14ac:dyDescent="0.2">
      <c r="A28" s="98" t="s">
        <v>106</v>
      </c>
      <c r="B28" s="88" t="s">
        <v>109</v>
      </c>
      <c r="G28" s="97"/>
      <c r="H28" s="308"/>
      <c r="I28" s="323"/>
      <c r="J28" s="323"/>
      <c r="K28" s="308"/>
      <c r="L28" s="323"/>
      <c r="M28" s="308"/>
      <c r="N28" s="308"/>
      <c r="O28" s="25"/>
    </row>
    <row r="29" spans="1:15" ht="12.75" customHeight="1" x14ac:dyDescent="0.2">
      <c r="A29" s="98" t="s">
        <v>107</v>
      </c>
      <c r="B29" s="88" t="s">
        <v>104</v>
      </c>
      <c r="G29" s="97" t="s">
        <v>32</v>
      </c>
      <c r="H29" s="308">
        <f>H24</f>
        <v>84.384237242852777</v>
      </c>
      <c r="I29" s="323">
        <f>VLOOKUP(A29,'[1]TAB OGU JUN18'!$A:$G,6,"falso")</f>
        <v>20.56</v>
      </c>
      <c r="J29" s="323">
        <f>VLOOKUP(A29,'[1]TAB OGU JUN18'!$A:$G,4,"falso")</f>
        <v>20.56</v>
      </c>
      <c r="K29" s="308">
        <f>H29*J29</f>
        <v>1734.9399177130531</v>
      </c>
      <c r="L29" s="323">
        <f>VLOOKUP(A29,'[1]TAB OGU JUN18'!$A:$G,5,"falso")</f>
        <v>0</v>
      </c>
      <c r="M29" s="308"/>
      <c r="N29" s="308">
        <f>H29*I29</f>
        <v>1734.9399177130531</v>
      </c>
      <c r="O29" s="68">
        <f>N29/N31</f>
        <v>1</v>
      </c>
    </row>
    <row r="30" spans="1:15" ht="12.75" customHeight="1" x14ac:dyDescent="0.2">
      <c r="B30" s="130"/>
      <c r="G30" s="52"/>
      <c r="H30" s="324"/>
      <c r="I30" s="323"/>
      <c r="J30" s="323"/>
      <c r="K30" s="313"/>
      <c r="L30" s="323"/>
      <c r="M30" s="313"/>
      <c r="N30" s="308"/>
      <c r="O30" s="25"/>
    </row>
    <row r="31" spans="1:15" ht="12.75" customHeight="1" x14ac:dyDescent="0.2">
      <c r="B31" s="130" t="s">
        <v>18</v>
      </c>
      <c r="C31" s="131"/>
      <c r="D31" s="131"/>
      <c r="E31" s="131"/>
      <c r="F31" s="131"/>
      <c r="G31" s="53"/>
      <c r="H31" s="325"/>
      <c r="I31" s="582"/>
      <c r="J31" s="582"/>
      <c r="K31" s="326"/>
      <c r="L31" s="582"/>
      <c r="M31" s="326"/>
      <c r="N31" s="308">
        <f>N29</f>
        <v>1734.9399177130531</v>
      </c>
      <c r="O31" s="25">
        <f>N31/N43</f>
        <v>0.1854588267579915</v>
      </c>
    </row>
    <row r="32" spans="1:15" ht="12.75" customHeight="1" x14ac:dyDescent="0.2">
      <c r="B32" s="130"/>
      <c r="G32" s="52"/>
      <c r="H32" s="324"/>
      <c r="I32" s="323"/>
      <c r="J32" s="323"/>
      <c r="K32" s="313"/>
      <c r="L32" s="323"/>
      <c r="M32" s="313"/>
      <c r="N32" s="308"/>
      <c r="O32" s="25"/>
    </row>
    <row r="33" spans="1:15" ht="12.75" customHeight="1" x14ac:dyDescent="0.2">
      <c r="A33" s="98" t="s">
        <v>110</v>
      </c>
      <c r="B33" s="88" t="s">
        <v>112</v>
      </c>
      <c r="G33" s="52"/>
      <c r="H33" s="324"/>
      <c r="I33" s="323"/>
      <c r="J33" s="323"/>
      <c r="K33" s="313"/>
      <c r="L33" s="323"/>
      <c r="M33" s="313"/>
      <c r="N33" s="313"/>
      <c r="O33" s="19"/>
    </row>
    <row r="34" spans="1:15" ht="12.75" customHeight="1" x14ac:dyDescent="0.2">
      <c r="A34" s="98" t="s">
        <v>111</v>
      </c>
      <c r="B34" s="88" t="s">
        <v>113</v>
      </c>
      <c r="G34" s="97" t="s">
        <v>32</v>
      </c>
      <c r="H34" s="308">
        <f>H57+T6</f>
        <v>44.865762757147216</v>
      </c>
      <c r="I34" s="323">
        <f>VLOOKUP(A34,'[1]TAB OGU JUN18'!$A:$G,6,"falso")</f>
        <v>1.85</v>
      </c>
      <c r="J34" s="323">
        <f>VLOOKUP(A34,'[1]TAB OGU JUN18'!$A:$G,4,"falso")</f>
        <v>1.85</v>
      </c>
      <c r="K34" s="308">
        <f>H34*J34</f>
        <v>83.001661100722359</v>
      </c>
      <c r="L34" s="323">
        <f>VLOOKUP(A34,'[1]TAB OGU JUN18'!$A:$G,5,"falso")</f>
        <v>0</v>
      </c>
      <c r="M34" s="308"/>
      <c r="N34" s="308">
        <f>H34*I34</f>
        <v>83.001661100722359</v>
      </c>
      <c r="O34" s="68">
        <f>N34/N36</f>
        <v>1</v>
      </c>
    </row>
    <row r="35" spans="1:15" ht="12.75" customHeight="1" x14ac:dyDescent="0.2">
      <c r="G35" s="52"/>
      <c r="H35" s="324"/>
      <c r="I35" s="323"/>
      <c r="J35" s="323"/>
      <c r="K35" s="313"/>
      <c r="L35" s="323"/>
      <c r="M35" s="313"/>
      <c r="N35" s="313"/>
      <c r="O35" s="19"/>
    </row>
    <row r="36" spans="1:15" ht="12.75" customHeight="1" x14ac:dyDescent="0.2">
      <c r="B36" s="130" t="s">
        <v>18</v>
      </c>
      <c r="C36" s="131"/>
      <c r="D36" s="131"/>
      <c r="E36" s="131"/>
      <c r="F36" s="131"/>
      <c r="G36" s="53"/>
      <c r="H36" s="325"/>
      <c r="I36" s="582"/>
      <c r="J36" s="582"/>
      <c r="K36" s="326"/>
      <c r="L36" s="582"/>
      <c r="M36" s="326"/>
      <c r="N36" s="308">
        <f>N34</f>
        <v>83.001661100722359</v>
      </c>
      <c r="O36" s="25">
        <f>N36/N43</f>
        <v>8.8725785426595656E-3</v>
      </c>
    </row>
    <row r="37" spans="1:15" ht="12.75" customHeight="1" x14ac:dyDescent="0.2">
      <c r="B37" s="130"/>
      <c r="G37" s="52"/>
      <c r="H37" s="324"/>
      <c r="I37" s="323"/>
      <c r="J37" s="323"/>
      <c r="K37" s="313"/>
      <c r="L37" s="323"/>
      <c r="M37" s="313"/>
      <c r="N37" s="308"/>
      <c r="O37" s="25"/>
    </row>
    <row r="38" spans="1:15" ht="12.75" customHeight="1" x14ac:dyDescent="0.2">
      <c r="A38" s="98" t="s">
        <v>114</v>
      </c>
      <c r="B38" s="88" t="s">
        <v>737</v>
      </c>
      <c r="G38" s="52"/>
      <c r="H38" s="324"/>
      <c r="I38" s="323"/>
      <c r="J38" s="323"/>
      <c r="K38" s="313"/>
      <c r="L38" s="323"/>
      <c r="M38" s="313"/>
      <c r="N38" s="313"/>
      <c r="O38" s="19"/>
    </row>
    <row r="39" spans="1:15" ht="12.75" customHeight="1" x14ac:dyDescent="0.2">
      <c r="A39" s="98" t="s">
        <v>115</v>
      </c>
      <c r="B39" s="88" t="s">
        <v>116</v>
      </c>
      <c r="G39" s="97" t="s">
        <v>180</v>
      </c>
      <c r="H39" s="308">
        <f>H34*3</f>
        <v>134.59728827144164</v>
      </c>
      <c r="I39" s="323">
        <f>VLOOKUP(A39,'[1]TAB OGU JUN18'!$A:$G,6,"falso")</f>
        <v>1</v>
      </c>
      <c r="J39" s="323">
        <f>VLOOKUP(A39,'[1]TAB OGU JUN18'!$A:$G,4,"falso")</f>
        <v>1</v>
      </c>
      <c r="K39" s="308">
        <f>H39*J39</f>
        <v>134.59728827144164</v>
      </c>
      <c r="L39" s="323">
        <f>VLOOKUP(A39,'[1]TAB OGU JUN18'!$A:$G,5,"falso")</f>
        <v>0</v>
      </c>
      <c r="M39" s="308"/>
      <c r="N39" s="308">
        <f>H39*I39</f>
        <v>134.59728827144164</v>
      </c>
      <c r="O39" s="68">
        <f>N39/N41</f>
        <v>1</v>
      </c>
    </row>
    <row r="40" spans="1:15" ht="12.75" customHeight="1" x14ac:dyDescent="0.2">
      <c r="G40" s="52"/>
      <c r="H40" s="324"/>
      <c r="I40" s="323"/>
      <c r="J40" s="323"/>
      <c r="K40" s="313"/>
      <c r="L40" s="323"/>
      <c r="M40" s="313"/>
      <c r="N40" s="313"/>
      <c r="O40" s="19"/>
    </row>
    <row r="41" spans="1:15" ht="12.75" customHeight="1" x14ac:dyDescent="0.2">
      <c r="B41" s="130" t="s">
        <v>18</v>
      </c>
      <c r="C41" s="131"/>
      <c r="D41" s="131"/>
      <c r="E41" s="131"/>
      <c r="F41" s="131"/>
      <c r="G41" s="53"/>
      <c r="H41" s="325"/>
      <c r="I41" s="582"/>
      <c r="J41" s="582"/>
      <c r="K41" s="326"/>
      <c r="L41" s="582"/>
      <c r="M41" s="326"/>
      <c r="N41" s="308">
        <f>N39</f>
        <v>134.59728827144164</v>
      </c>
      <c r="O41" s="25">
        <f>N41/N43</f>
        <v>1.4387965204312809E-2</v>
      </c>
    </row>
    <row r="42" spans="1:15" ht="12.75" customHeight="1" x14ac:dyDescent="0.2">
      <c r="B42" s="130"/>
      <c r="G42" s="52"/>
      <c r="H42" s="324"/>
      <c r="I42" s="323"/>
      <c r="J42" s="323"/>
      <c r="K42" s="313"/>
      <c r="L42" s="323"/>
      <c r="M42" s="313"/>
      <c r="N42" s="308"/>
      <c r="O42" s="25"/>
    </row>
    <row r="43" spans="1:15" s="132" customFormat="1" ht="12.75" customHeight="1" x14ac:dyDescent="0.2">
      <c r="B43" s="133" t="s">
        <v>20</v>
      </c>
      <c r="C43" s="134"/>
      <c r="D43" s="134"/>
      <c r="E43" s="134"/>
      <c r="F43" s="134"/>
      <c r="G43" s="78"/>
      <c r="H43" s="327"/>
      <c r="I43" s="582"/>
      <c r="J43" s="582"/>
      <c r="K43" s="328"/>
      <c r="L43" s="582"/>
      <c r="M43" s="328"/>
      <c r="N43" s="310">
        <f>N41+N36+N31+N26+N21+N16</f>
        <v>9354.8522226823261</v>
      </c>
      <c r="O43" s="77">
        <f>N43/N102</f>
        <v>0.22310395595305033</v>
      </c>
    </row>
    <row r="44" spans="1:15" ht="12.75" customHeight="1" x14ac:dyDescent="0.2">
      <c r="B44" s="130"/>
      <c r="G44" s="52"/>
      <c r="H44" s="324"/>
      <c r="I44" s="323"/>
      <c r="J44" s="323"/>
      <c r="K44" s="313"/>
      <c r="L44" s="323"/>
      <c r="M44" s="313"/>
      <c r="N44" s="308"/>
      <c r="O44" s="25"/>
    </row>
    <row r="45" spans="1:15" ht="12.75" customHeight="1" x14ac:dyDescent="0.2">
      <c r="A45" s="129" t="s">
        <v>127</v>
      </c>
      <c r="B45" s="88" t="s">
        <v>130</v>
      </c>
      <c r="H45" s="329"/>
      <c r="I45" s="323"/>
      <c r="J45" s="323"/>
      <c r="K45" s="311"/>
      <c r="L45" s="323"/>
      <c r="M45" s="311"/>
      <c r="N45" s="311"/>
      <c r="O45" s="19"/>
    </row>
    <row r="46" spans="1:15" ht="12.75" customHeight="1" x14ac:dyDescent="0.2">
      <c r="A46" s="129" t="s">
        <v>128</v>
      </c>
      <c r="B46" s="88" t="s">
        <v>131</v>
      </c>
      <c r="H46" s="329"/>
      <c r="I46" s="323"/>
      <c r="J46" s="323"/>
      <c r="K46" s="311"/>
      <c r="L46" s="323"/>
      <c r="M46" s="311"/>
      <c r="N46" s="311"/>
      <c r="O46" s="19"/>
    </row>
    <row r="47" spans="1:15" ht="12.75" customHeight="1" x14ac:dyDescent="0.2">
      <c r="A47" s="129" t="s">
        <v>181</v>
      </c>
      <c r="B47" s="88" t="s">
        <v>182</v>
      </c>
      <c r="G47" s="97" t="s">
        <v>17</v>
      </c>
      <c r="H47" s="308">
        <f>Q6*2.5</f>
        <v>1292.5</v>
      </c>
      <c r="I47" s="323">
        <f>VLOOKUP(A47,'[1]TAB OGU JUN18'!$A:$G,6,"falso")</f>
        <v>2.17</v>
      </c>
      <c r="J47" s="323">
        <f>VLOOKUP(A47,'[1]TAB OGU JUN18'!$A:$G,4,"falso")</f>
        <v>2.13</v>
      </c>
      <c r="K47" s="308">
        <f>H47*J47</f>
        <v>2753.0249999999996</v>
      </c>
      <c r="L47" s="323">
        <f>VLOOKUP(A47,'[1]TAB OGU JUN18'!$A:$G,5,"falso")</f>
        <v>0.04</v>
      </c>
      <c r="M47" s="308">
        <f>H47*L47</f>
        <v>51.7</v>
      </c>
      <c r="N47" s="308">
        <f>H47*I47</f>
        <v>2804.7249999999999</v>
      </c>
      <c r="O47" s="68">
        <f>N47/N49</f>
        <v>1</v>
      </c>
    </row>
    <row r="48" spans="1:15" ht="12.75" customHeight="1" x14ac:dyDescent="0.2">
      <c r="B48" s="130"/>
      <c r="G48" s="52"/>
      <c r="H48" s="324"/>
      <c r="I48" s="323"/>
      <c r="J48" s="323"/>
      <c r="K48" s="313"/>
      <c r="L48" s="323"/>
      <c r="M48" s="313"/>
      <c r="N48" s="308"/>
      <c r="O48" s="25"/>
    </row>
    <row r="49" spans="1:15" ht="12.75" customHeight="1" x14ac:dyDescent="0.2">
      <c r="B49" s="130" t="s">
        <v>18</v>
      </c>
      <c r="C49" s="131"/>
      <c r="D49" s="131"/>
      <c r="E49" s="131"/>
      <c r="F49" s="131"/>
      <c r="G49" s="53"/>
      <c r="H49" s="325"/>
      <c r="I49" s="582"/>
      <c r="J49" s="582"/>
      <c r="K49" s="326"/>
      <c r="L49" s="582"/>
      <c r="M49" s="326"/>
      <c r="N49" s="308">
        <f>N47</f>
        <v>2804.7249999999999</v>
      </c>
      <c r="O49" s="25">
        <f>N49/N61</f>
        <v>0.11771917737621856</v>
      </c>
    </row>
    <row r="50" spans="1:15" ht="12.75" customHeight="1" x14ac:dyDescent="0.2">
      <c r="B50" s="130"/>
      <c r="G50" s="52"/>
      <c r="H50" s="324"/>
      <c r="I50" s="323"/>
      <c r="J50" s="323"/>
      <c r="K50" s="313"/>
      <c r="L50" s="323"/>
      <c r="M50" s="313"/>
      <c r="N50" s="308"/>
      <c r="O50" s="25"/>
    </row>
    <row r="51" spans="1:15" ht="12.75" customHeight="1" x14ac:dyDescent="0.2">
      <c r="A51" s="129" t="s">
        <v>183</v>
      </c>
      <c r="B51" s="88" t="s">
        <v>185</v>
      </c>
      <c r="H51" s="329"/>
      <c r="I51" s="323"/>
      <c r="J51" s="323"/>
      <c r="K51" s="311"/>
      <c r="L51" s="323"/>
      <c r="M51" s="311"/>
      <c r="N51" s="311"/>
      <c r="O51" s="19"/>
    </row>
    <row r="52" spans="1:15" ht="12.75" customHeight="1" x14ac:dyDescent="0.2">
      <c r="A52" s="129" t="s">
        <v>184</v>
      </c>
      <c r="B52" s="88" t="s">
        <v>186</v>
      </c>
      <c r="G52" s="97" t="s">
        <v>24</v>
      </c>
      <c r="H52" s="308">
        <f>Q6</f>
        <v>517</v>
      </c>
      <c r="I52" s="323">
        <f>VLOOKUP(A52,'[1]TAB OGU JUN18'!$A:$G,6,"falso")</f>
        <v>28.81</v>
      </c>
      <c r="J52" s="323">
        <f>VLOOKUP(A52,'[1]TAB OGU JUN18'!$A:$G,4,"falso")</f>
        <v>22.49</v>
      </c>
      <c r="K52" s="308">
        <f>H52*J52</f>
        <v>11627.33</v>
      </c>
      <c r="L52" s="323">
        <f>VLOOKUP(A52,'[1]TAB OGU JUN18'!$A:$G,5,"falso")</f>
        <v>6.32</v>
      </c>
      <c r="M52" s="308">
        <f>H52*L52</f>
        <v>3267.44</v>
      </c>
      <c r="N52" s="308">
        <f>H52*I52</f>
        <v>14894.769999999999</v>
      </c>
      <c r="O52" s="68">
        <f>N52/N54</f>
        <v>1</v>
      </c>
    </row>
    <row r="53" spans="1:15" ht="12.75" customHeight="1" x14ac:dyDescent="0.2">
      <c r="B53" s="130"/>
      <c r="G53" s="52"/>
      <c r="H53" s="324"/>
      <c r="I53" s="323"/>
      <c r="J53" s="323"/>
      <c r="K53" s="313"/>
      <c r="L53" s="323"/>
      <c r="M53" s="313"/>
      <c r="N53" s="308"/>
      <c r="O53" s="25"/>
    </row>
    <row r="54" spans="1:15" ht="12.75" customHeight="1" x14ac:dyDescent="0.2">
      <c r="B54" s="130" t="s">
        <v>18</v>
      </c>
      <c r="C54" s="131"/>
      <c r="D54" s="131"/>
      <c r="E54" s="131"/>
      <c r="F54" s="131"/>
      <c r="G54" s="53"/>
      <c r="H54" s="325"/>
      <c r="I54" s="582"/>
      <c r="J54" s="582"/>
      <c r="K54" s="326"/>
      <c r="L54" s="582"/>
      <c r="M54" s="326"/>
      <c r="N54" s="308">
        <f>N52</f>
        <v>14894.769999999999</v>
      </c>
      <c r="O54" s="25">
        <f>N54/N61</f>
        <v>0.62515935487720864</v>
      </c>
    </row>
    <row r="55" spans="1:15" ht="12.75" customHeight="1" x14ac:dyDescent="0.2">
      <c r="B55" s="130"/>
      <c r="G55" s="52"/>
      <c r="H55" s="324"/>
      <c r="I55" s="323"/>
      <c r="J55" s="323"/>
      <c r="K55" s="313"/>
      <c r="L55" s="323"/>
      <c r="M55" s="313"/>
      <c r="N55" s="308"/>
      <c r="O55" s="25"/>
    </row>
    <row r="56" spans="1:15" ht="12.75" customHeight="1" x14ac:dyDescent="0.2">
      <c r="A56" s="129" t="s">
        <v>145</v>
      </c>
      <c r="B56" s="88" t="s">
        <v>26</v>
      </c>
      <c r="H56" s="329"/>
      <c r="I56" s="323"/>
      <c r="J56" s="323"/>
      <c r="K56" s="311"/>
      <c r="L56" s="323"/>
      <c r="M56" s="311"/>
      <c r="N56" s="311"/>
      <c r="O56" s="19"/>
    </row>
    <row r="57" spans="1:15" ht="12.75" customHeight="1" x14ac:dyDescent="0.2">
      <c r="A57" s="129" t="s">
        <v>146</v>
      </c>
      <c r="B57" s="88" t="s">
        <v>147</v>
      </c>
      <c r="G57" s="97" t="s">
        <v>32</v>
      </c>
      <c r="H57" s="308">
        <f>H96*0.5*0.1</f>
        <v>38.775000000000006</v>
      </c>
      <c r="I57" s="323">
        <f>VLOOKUP(A57,'[1]TAB OGU JUN18'!$A:$G,6,"falso")</f>
        <v>157.99</v>
      </c>
      <c r="J57" s="323">
        <f>VLOOKUP(A57,'[1]TAB OGU JUN18'!$A:$G,4,"falso")</f>
        <v>39.5</v>
      </c>
      <c r="K57" s="308">
        <f>H57*J57</f>
        <v>1531.6125000000002</v>
      </c>
      <c r="L57" s="323">
        <f>VLOOKUP(A57,'[1]TAB OGU JUN18'!$A:$G,5,"falso")</f>
        <v>118.49</v>
      </c>
      <c r="M57" s="308">
        <f>H57*L57</f>
        <v>4594.4497500000007</v>
      </c>
      <c r="N57" s="308">
        <f>H57*I57</f>
        <v>6126.0622500000009</v>
      </c>
      <c r="O57" s="68">
        <f>N57/N59</f>
        <v>1</v>
      </c>
    </row>
    <row r="58" spans="1:15" ht="12.75" customHeight="1" x14ac:dyDescent="0.2">
      <c r="B58" s="130"/>
      <c r="G58" s="52"/>
      <c r="H58" s="324"/>
      <c r="I58" s="323"/>
      <c r="J58" s="323"/>
      <c r="K58" s="313"/>
      <c r="L58" s="323"/>
      <c r="M58" s="313"/>
      <c r="N58" s="308"/>
      <c r="O58" s="25"/>
    </row>
    <row r="59" spans="1:15" ht="12.75" customHeight="1" x14ac:dyDescent="0.2">
      <c r="B59" s="130" t="s">
        <v>18</v>
      </c>
      <c r="C59" s="131"/>
      <c r="D59" s="131"/>
      <c r="E59" s="131"/>
      <c r="F59" s="131"/>
      <c r="G59" s="53"/>
      <c r="H59" s="325"/>
      <c r="I59" s="582"/>
      <c r="J59" s="582"/>
      <c r="K59" s="326"/>
      <c r="L59" s="582"/>
      <c r="M59" s="326"/>
      <c r="N59" s="308">
        <f>N57</f>
        <v>6126.0622500000009</v>
      </c>
      <c r="O59" s="25">
        <f>N59/N61</f>
        <v>0.25712146774657291</v>
      </c>
    </row>
    <row r="60" spans="1:15" ht="12.75" customHeight="1" x14ac:dyDescent="0.2">
      <c r="B60" s="130"/>
      <c r="G60" s="52"/>
      <c r="H60" s="324"/>
      <c r="I60" s="323"/>
      <c r="J60" s="323"/>
      <c r="K60" s="313"/>
      <c r="L60" s="323"/>
      <c r="M60" s="313"/>
      <c r="N60" s="308"/>
      <c r="O60" s="25"/>
    </row>
    <row r="61" spans="1:15" s="132" customFormat="1" ht="12.75" customHeight="1" x14ac:dyDescent="0.2">
      <c r="B61" s="133" t="s">
        <v>20</v>
      </c>
      <c r="C61" s="134"/>
      <c r="D61" s="134"/>
      <c r="E61" s="134"/>
      <c r="F61" s="134"/>
      <c r="G61" s="78"/>
      <c r="H61" s="327"/>
      <c r="I61" s="582"/>
      <c r="J61" s="582"/>
      <c r="K61" s="328"/>
      <c r="L61" s="582"/>
      <c r="M61" s="328"/>
      <c r="N61" s="310">
        <f>N59+N54+N49</f>
        <v>23825.557249999998</v>
      </c>
      <c r="O61" s="77">
        <f>N61/N102</f>
        <v>0.56821593208842136</v>
      </c>
    </row>
    <row r="62" spans="1:15" ht="12.75" customHeight="1" x14ac:dyDescent="0.2">
      <c r="B62" s="130"/>
      <c r="G62" s="52"/>
      <c r="H62" s="324"/>
      <c r="I62" s="323"/>
      <c r="J62" s="323"/>
      <c r="K62" s="313"/>
      <c r="L62" s="323"/>
      <c r="M62" s="313"/>
      <c r="N62" s="308"/>
      <c r="O62" s="25"/>
    </row>
    <row r="63" spans="1:15" ht="12.75" customHeight="1" x14ac:dyDescent="0.2">
      <c r="A63" s="98" t="s">
        <v>148</v>
      </c>
      <c r="B63" s="88" t="s">
        <v>27</v>
      </c>
      <c r="G63" s="97"/>
      <c r="H63" s="308"/>
      <c r="I63" s="323"/>
      <c r="J63" s="323"/>
      <c r="K63" s="308"/>
      <c r="L63" s="323"/>
      <c r="M63" s="308"/>
      <c r="N63" s="308"/>
      <c r="O63" s="25"/>
    </row>
    <row r="64" spans="1:15" ht="12.75" customHeight="1" x14ac:dyDescent="0.2">
      <c r="A64" s="98" t="s">
        <v>149</v>
      </c>
      <c r="B64" s="88" t="s">
        <v>33</v>
      </c>
      <c r="G64" s="97"/>
      <c r="H64" s="308"/>
      <c r="I64" s="323"/>
      <c r="J64" s="323"/>
      <c r="K64" s="308"/>
      <c r="L64" s="323"/>
      <c r="M64" s="308"/>
      <c r="N64" s="308"/>
      <c r="O64" s="25"/>
    </row>
    <row r="65" spans="1:18" s="272" customFormat="1" x14ac:dyDescent="0.2">
      <c r="A65" s="98" t="s">
        <v>241</v>
      </c>
      <c r="B65" s="88" t="s">
        <v>242</v>
      </c>
      <c r="C65" s="51"/>
      <c r="D65" s="51"/>
      <c r="E65" s="51"/>
      <c r="F65" s="51"/>
      <c r="G65" s="97" t="s">
        <v>31</v>
      </c>
      <c r="H65" s="308">
        <f>'04'!Y6</f>
        <v>44.437894875000012</v>
      </c>
      <c r="I65" s="323">
        <f>VLOOKUP(A65,'[1]TAB OGU JUN18'!$A:$G,6,"falso")</f>
        <v>11.38</v>
      </c>
      <c r="J65" s="323">
        <f>VLOOKUP(A65,'[1]TAB OGU JUN18'!$A:$G,4,"falso")</f>
        <v>11.38</v>
      </c>
      <c r="K65" s="308">
        <f>H65*J65</f>
        <v>505.70324367750015</v>
      </c>
      <c r="L65" s="323">
        <f>VLOOKUP(A65,'[1]TAB OGU JUN18'!$A:$G,5,"falso")</f>
        <v>0</v>
      </c>
      <c r="M65" s="308"/>
      <c r="N65" s="308">
        <f t="shared" ref="N65:N66" si="0">H65*I65</f>
        <v>505.70324367750015</v>
      </c>
      <c r="O65" s="25">
        <f t="shared" ref="O65:O66" si="1">N65/$N$71</f>
        <v>0.17491926698742516</v>
      </c>
      <c r="Q65" s="477"/>
      <c r="R65" s="51"/>
    </row>
    <row r="66" spans="1:18" s="272" customFormat="1" x14ac:dyDescent="0.2">
      <c r="A66" s="98" t="s">
        <v>243</v>
      </c>
      <c r="B66" s="88" t="s">
        <v>247</v>
      </c>
      <c r="C66" s="51"/>
      <c r="D66" s="51"/>
      <c r="E66" s="51"/>
      <c r="F66" s="51"/>
      <c r="G66" s="97" t="s">
        <v>31</v>
      </c>
      <c r="H66" s="308">
        <f>'04'!Y7</f>
        <v>8.5925399999999996</v>
      </c>
      <c r="I66" s="323">
        <f>VLOOKUP(A66,'[1]TAB OGU JUN18'!$A:$G,6,"falso")</f>
        <v>11.38</v>
      </c>
      <c r="J66" s="323">
        <f>VLOOKUP(A66,'[1]TAB OGU JUN18'!$A:$G,4,"falso")</f>
        <v>11.38</v>
      </c>
      <c r="K66" s="308">
        <f t="shared" ref="K66" si="2">H66*J66</f>
        <v>97.783105200000008</v>
      </c>
      <c r="L66" s="323">
        <f>VLOOKUP(A66,'[1]TAB OGU JUN18'!$A:$G,5,"falso")</f>
        <v>0</v>
      </c>
      <c r="M66" s="308"/>
      <c r="N66" s="308">
        <f t="shared" si="0"/>
        <v>97.783105200000008</v>
      </c>
      <c r="O66" s="25">
        <f t="shared" si="1"/>
        <v>3.382250222671309E-2</v>
      </c>
      <c r="Q66" s="477"/>
      <c r="R66" s="51"/>
    </row>
    <row r="67" spans="1:18" s="272" customFormat="1" ht="12.75" customHeight="1" x14ac:dyDescent="0.2">
      <c r="A67" s="98" t="s">
        <v>150</v>
      </c>
      <c r="B67" s="88" t="s">
        <v>155</v>
      </c>
      <c r="C67" s="51"/>
      <c r="D67" s="51"/>
      <c r="E67" s="51"/>
      <c r="F67" s="51"/>
      <c r="G67" s="97" t="s">
        <v>31</v>
      </c>
      <c r="H67" s="308">
        <f>'04'!Y8</f>
        <v>265.34566162499999</v>
      </c>
      <c r="I67" s="323">
        <f>VLOOKUP(A67,'[1]TAB OGU JUN18'!$A:$G,6,"falso")</f>
        <v>4.37</v>
      </c>
      <c r="J67" s="323">
        <f>VLOOKUP(A67,'[1]TAB OGU JUN18'!$A:$G,4,"falso")</f>
        <v>4.37</v>
      </c>
      <c r="K67" s="308">
        <f>H67*J67</f>
        <v>1159.5605413012499</v>
      </c>
      <c r="L67" s="323">
        <f>VLOOKUP(A67,'[1]TAB OGU JUN18'!$A:$G,5,"falso")</f>
        <v>0</v>
      </c>
      <c r="M67" s="308"/>
      <c r="N67" s="308">
        <f>H67*I67</f>
        <v>1159.5605413012499</v>
      </c>
      <c r="O67" s="25">
        <f>N67/$N$71</f>
        <v>0.40108400024680502</v>
      </c>
    </row>
    <row r="68" spans="1:18" s="272" customFormat="1" ht="12.75" customHeight="1" x14ac:dyDescent="0.2">
      <c r="A68" s="98" t="s">
        <v>151</v>
      </c>
      <c r="B68" s="88" t="s">
        <v>28</v>
      </c>
      <c r="C68" s="51"/>
      <c r="D68" s="51"/>
      <c r="E68" s="51"/>
      <c r="F68" s="51"/>
      <c r="G68" s="97" t="s">
        <v>31</v>
      </c>
      <c r="H68" s="308">
        <f>'04'!Y9</f>
        <v>69.373903499999997</v>
      </c>
      <c r="I68" s="323">
        <f>VLOOKUP(A68,'[1]TAB OGU JUN18'!$A:$G,6,"falso")</f>
        <v>6.58</v>
      </c>
      <c r="J68" s="323">
        <f>VLOOKUP(A68,'[1]TAB OGU JUN18'!$A:$G,4,"falso")</f>
        <v>6.58</v>
      </c>
      <c r="K68" s="308">
        <f>H68*J68</f>
        <v>456.48028503</v>
      </c>
      <c r="L68" s="323">
        <f>VLOOKUP(A68,'[1]TAB OGU JUN18'!$A:$G,5,"falso")</f>
        <v>0</v>
      </c>
      <c r="M68" s="308"/>
      <c r="N68" s="308">
        <f>H68*I68</f>
        <v>456.48028503</v>
      </c>
      <c r="O68" s="25">
        <f t="shared" ref="O68:O69" si="3">N68/$N$71</f>
        <v>0.15789338480608817</v>
      </c>
    </row>
    <row r="69" spans="1:18" s="272" customFormat="1" ht="12.75" customHeight="1" x14ac:dyDescent="0.2">
      <c r="A69" s="98" t="s">
        <v>154</v>
      </c>
      <c r="B69" s="88" t="s">
        <v>158</v>
      </c>
      <c r="C69" s="51"/>
      <c r="D69" s="51"/>
      <c r="E69" s="51"/>
      <c r="F69" s="51"/>
      <c r="G69" s="97" t="s">
        <v>17</v>
      </c>
      <c r="H69" s="308">
        <f>'04'!Y10</f>
        <v>277.49561399999999</v>
      </c>
      <c r="I69" s="323">
        <f>VLOOKUP(A69,'[1]TAB OGU JUN18'!$A:$G,6,"falso")</f>
        <v>2.42</v>
      </c>
      <c r="J69" s="323">
        <f>VLOOKUP(A69,'[1]TAB OGU JUN18'!$A:$G,4,"falso")</f>
        <v>1.1499999999999999</v>
      </c>
      <c r="K69" s="308">
        <f>H69*J69</f>
        <v>319.11995609999997</v>
      </c>
      <c r="L69" s="323">
        <f>VLOOKUP(A69,'[1]TAB OGU JUN18'!$A:$G,5,"falso")</f>
        <v>1.27</v>
      </c>
      <c r="M69" s="308">
        <f>H69*L69</f>
        <v>352.41942977999997</v>
      </c>
      <c r="N69" s="308">
        <f>H69*I69</f>
        <v>671.53938587999994</v>
      </c>
      <c r="O69" s="25">
        <f t="shared" si="3"/>
        <v>0.23228084573296859</v>
      </c>
    </row>
    <row r="70" spans="1:18" ht="12.75" customHeight="1" x14ac:dyDescent="0.2">
      <c r="A70" s="98"/>
      <c r="B70" s="88"/>
      <c r="G70" s="97"/>
      <c r="H70" s="308"/>
      <c r="I70" s="323"/>
      <c r="J70" s="323"/>
      <c r="K70" s="308"/>
      <c r="L70" s="323"/>
      <c r="M70" s="308"/>
      <c r="N70" s="308"/>
      <c r="O70" s="25"/>
    </row>
    <row r="71" spans="1:18" ht="12.75" customHeight="1" x14ac:dyDescent="0.2">
      <c r="A71" s="98"/>
      <c r="B71" s="130" t="s">
        <v>18</v>
      </c>
      <c r="C71" s="131"/>
      <c r="D71" s="131"/>
      <c r="E71" s="131"/>
      <c r="F71" s="131"/>
      <c r="G71" s="53"/>
      <c r="H71" s="325"/>
      <c r="I71" s="582"/>
      <c r="J71" s="582"/>
      <c r="K71" s="326"/>
      <c r="L71" s="582"/>
      <c r="M71" s="326"/>
      <c r="N71" s="308">
        <f>SUM(N65:N70)</f>
        <v>2891.0665610887499</v>
      </c>
      <c r="O71" s="25">
        <f>N71/N92</f>
        <v>0.3708307545150879</v>
      </c>
    </row>
    <row r="72" spans="1:18" ht="12.75" customHeight="1" x14ac:dyDescent="0.2">
      <c r="A72" s="98"/>
      <c r="B72" s="88"/>
      <c r="G72" s="97"/>
      <c r="H72" s="308"/>
      <c r="I72" s="323"/>
      <c r="J72" s="323"/>
      <c r="K72" s="308"/>
      <c r="L72" s="323"/>
      <c r="M72" s="308"/>
      <c r="N72" s="308"/>
      <c r="O72" s="25"/>
    </row>
    <row r="73" spans="1:18" x14ac:dyDescent="0.2">
      <c r="A73" s="98" t="s">
        <v>244</v>
      </c>
      <c r="B73" s="88" t="s">
        <v>162</v>
      </c>
      <c r="G73" s="97"/>
      <c r="H73" s="308"/>
      <c r="I73" s="323"/>
      <c r="J73" s="323"/>
      <c r="K73" s="308"/>
      <c r="L73" s="323"/>
      <c r="M73" s="308"/>
      <c r="N73" s="308"/>
      <c r="O73" s="25"/>
      <c r="Q73" s="311"/>
    </row>
    <row r="74" spans="1:18" x14ac:dyDescent="0.2">
      <c r="A74" s="98"/>
      <c r="B74" s="88" t="s">
        <v>245</v>
      </c>
      <c r="G74" s="97"/>
      <c r="H74" s="308"/>
      <c r="I74" s="323"/>
      <c r="J74" s="323"/>
      <c r="K74" s="308"/>
      <c r="L74" s="323"/>
      <c r="M74" s="308"/>
      <c r="N74" s="308"/>
      <c r="O74" s="25"/>
      <c r="Q74" s="311"/>
    </row>
    <row r="75" spans="1:18" s="272" customFormat="1" x14ac:dyDescent="0.2">
      <c r="A75" s="98" t="s">
        <v>246</v>
      </c>
      <c r="B75" s="88" t="s">
        <v>242</v>
      </c>
      <c r="C75" s="51"/>
      <c r="D75" s="51"/>
      <c r="E75" s="51"/>
      <c r="F75" s="51"/>
      <c r="G75" s="97" t="s">
        <v>31</v>
      </c>
      <c r="H75" s="308">
        <f>H65</f>
        <v>44.437894875000012</v>
      </c>
      <c r="I75" s="323">
        <f>VLOOKUP(A75,'[1]TAB OGU JUN18'!$A:$G,6,"falso")</f>
        <v>30.65</v>
      </c>
      <c r="J75" s="323">
        <f>VLOOKUP(A75,'[1]TAB OGU JUN18'!$A:$G,4,"falso")</f>
        <v>26.25</v>
      </c>
      <c r="K75" s="308">
        <f>H75*J75</f>
        <v>1166.4947404687503</v>
      </c>
      <c r="L75" s="323">
        <f>VLOOKUP(A75,'[1]TAB OGU JUN18'!$A:$G,5,"falso")</f>
        <v>4.4000000000000004</v>
      </c>
      <c r="M75" s="308">
        <f>H75*L75</f>
        <v>195.52673745000007</v>
      </c>
      <c r="N75" s="308">
        <f>H75*I75</f>
        <v>1362.0214779187504</v>
      </c>
      <c r="O75" s="25">
        <f>N75/$N$78</f>
        <v>0.82296023102539984</v>
      </c>
      <c r="Q75" s="311"/>
      <c r="R75" s="51"/>
    </row>
    <row r="76" spans="1:18" s="272" customFormat="1" x14ac:dyDescent="0.2">
      <c r="A76" s="98" t="s">
        <v>248</v>
      </c>
      <c r="B76" s="88" t="s">
        <v>247</v>
      </c>
      <c r="C76" s="51"/>
      <c r="D76" s="51"/>
      <c r="E76" s="51"/>
      <c r="F76" s="51"/>
      <c r="G76" s="97" t="s">
        <v>31</v>
      </c>
      <c r="H76" s="308">
        <f>H66</f>
        <v>8.5925399999999996</v>
      </c>
      <c r="I76" s="323">
        <f>VLOOKUP(A76,'[1]TAB OGU JUN18'!$A:$G,6,"falso")</f>
        <v>34.1</v>
      </c>
      <c r="J76" s="323">
        <f>VLOOKUP(A76,'[1]TAB OGU JUN18'!$A:$G,4,"falso")</f>
        <v>30.8</v>
      </c>
      <c r="K76" s="308">
        <f>H76*J76</f>
        <v>264.65023200000002</v>
      </c>
      <c r="L76" s="323">
        <f>VLOOKUP(A76,'[1]TAB OGU JUN18'!$A:$G,5,"falso")</f>
        <v>3.3</v>
      </c>
      <c r="M76" s="308">
        <f>H76*L76</f>
        <v>28.355381999999999</v>
      </c>
      <c r="N76" s="308">
        <f>H76*I76</f>
        <v>293.00561399999998</v>
      </c>
      <c r="O76" s="25">
        <f>N76/$N$78</f>
        <v>0.17703976897460022</v>
      </c>
      <c r="Q76" s="311"/>
      <c r="R76" s="51"/>
    </row>
    <row r="77" spans="1:18" x14ac:dyDescent="0.2">
      <c r="B77" s="130"/>
      <c r="G77" s="52"/>
      <c r="H77" s="324"/>
      <c r="I77" s="323"/>
      <c r="J77" s="323"/>
      <c r="K77" s="313"/>
      <c r="L77" s="323"/>
      <c r="M77" s="313"/>
      <c r="N77" s="308"/>
      <c r="O77" s="25"/>
      <c r="Q77" s="311"/>
    </row>
    <row r="78" spans="1:18" x14ac:dyDescent="0.2">
      <c r="B78" s="130" t="s">
        <v>18</v>
      </c>
      <c r="C78" s="131"/>
      <c r="D78" s="131"/>
      <c r="E78" s="131"/>
      <c r="F78" s="131"/>
      <c r="G78" s="53"/>
      <c r="H78" s="325"/>
      <c r="I78" s="582"/>
      <c r="J78" s="582"/>
      <c r="K78" s="326"/>
      <c r="L78" s="582"/>
      <c r="M78" s="326"/>
      <c r="N78" s="308">
        <f>N76+N75</f>
        <v>1655.0270919187503</v>
      </c>
      <c r="O78" s="25">
        <f>N78/N92</f>
        <v>0.21228668806850812</v>
      </c>
      <c r="Q78" s="311"/>
    </row>
    <row r="79" spans="1:18" x14ac:dyDescent="0.2">
      <c r="A79" s="98"/>
      <c r="B79" s="88"/>
      <c r="G79" s="97"/>
      <c r="H79" s="308"/>
      <c r="I79" s="323"/>
      <c r="J79" s="323"/>
      <c r="K79" s="308"/>
      <c r="L79" s="323"/>
      <c r="M79" s="308"/>
      <c r="N79" s="308"/>
      <c r="O79" s="25"/>
      <c r="Q79" s="311"/>
    </row>
    <row r="80" spans="1:18" ht="12.75" customHeight="1" x14ac:dyDescent="0.2">
      <c r="A80" s="98" t="s">
        <v>159</v>
      </c>
      <c r="B80" s="88" t="s">
        <v>162</v>
      </c>
      <c r="G80" s="97"/>
      <c r="H80" s="308"/>
      <c r="I80" s="323"/>
      <c r="J80" s="323"/>
      <c r="K80" s="308"/>
      <c r="L80" s="323"/>
      <c r="M80" s="308"/>
      <c r="N80" s="308"/>
      <c r="O80" s="25"/>
    </row>
    <row r="81" spans="1:17" ht="12.75" customHeight="1" x14ac:dyDescent="0.2">
      <c r="A81" s="98"/>
      <c r="B81" s="88" t="s">
        <v>163</v>
      </c>
      <c r="G81" s="97"/>
      <c r="H81" s="308"/>
      <c r="I81" s="323"/>
      <c r="J81" s="323"/>
      <c r="K81" s="308"/>
      <c r="L81" s="323"/>
      <c r="M81" s="308"/>
      <c r="N81" s="308"/>
      <c r="O81" s="25"/>
    </row>
    <row r="82" spans="1:17" s="272" customFormat="1" ht="12.75" customHeight="1" x14ac:dyDescent="0.2">
      <c r="A82" s="98" t="s">
        <v>160</v>
      </c>
      <c r="B82" s="88" t="s">
        <v>155</v>
      </c>
      <c r="C82" s="51"/>
      <c r="D82" s="51"/>
      <c r="E82" s="51"/>
      <c r="F82" s="51"/>
      <c r="G82" s="97" t="s">
        <v>31</v>
      </c>
      <c r="H82" s="308">
        <f>H67</f>
        <v>265.34566162499999</v>
      </c>
      <c r="I82" s="323">
        <f>VLOOKUP(A82,'[1]TAB OGU JUN18'!$A:$G,6,"falso")</f>
        <v>5.77</v>
      </c>
      <c r="J82" s="323">
        <f>VLOOKUP(A82,'[1]TAB OGU JUN18'!$A:$G,4,"falso")</f>
        <v>5.57</v>
      </c>
      <c r="K82" s="308">
        <f>H82*J82</f>
        <v>1477.97533525125</v>
      </c>
      <c r="L82" s="323">
        <f>VLOOKUP(A82,'[1]TAB OGU JUN18'!$A:$G,5,"falso")</f>
        <v>0.2</v>
      </c>
      <c r="M82" s="308">
        <f>H82*L82</f>
        <v>53.069132324999998</v>
      </c>
      <c r="N82" s="308">
        <f>H82*I82</f>
        <v>1531.0444675762499</v>
      </c>
      <c r="O82" s="68">
        <f>N82/N84</f>
        <v>1</v>
      </c>
    </row>
    <row r="83" spans="1:17" ht="12.75" customHeight="1" x14ac:dyDescent="0.2">
      <c r="B83" s="130"/>
      <c r="G83" s="52"/>
      <c r="H83" s="324"/>
      <c r="I83" s="323"/>
      <c r="J83" s="323"/>
      <c r="K83" s="313"/>
      <c r="L83" s="323"/>
      <c r="M83" s="313"/>
      <c r="N83" s="308"/>
      <c r="O83" s="25"/>
    </row>
    <row r="84" spans="1:17" ht="12.75" customHeight="1" x14ac:dyDescent="0.2">
      <c r="B84" s="130" t="s">
        <v>18</v>
      </c>
      <c r="C84" s="131"/>
      <c r="D84" s="131"/>
      <c r="E84" s="131"/>
      <c r="F84" s="131"/>
      <c r="G84" s="53"/>
      <c r="H84" s="325"/>
      <c r="I84" s="582"/>
      <c r="J84" s="582"/>
      <c r="K84" s="326"/>
      <c r="L84" s="582"/>
      <c r="M84" s="326"/>
      <c r="N84" s="308">
        <f>N82</f>
        <v>1531.0444675762499</v>
      </c>
      <c r="O84" s="25">
        <f>N84/N92</f>
        <v>0.1963837093026454</v>
      </c>
    </row>
    <row r="85" spans="1:17" ht="12.75" customHeight="1" x14ac:dyDescent="0.2">
      <c r="A85" s="98"/>
      <c r="B85" s="88"/>
      <c r="G85" s="97"/>
      <c r="H85" s="308"/>
      <c r="I85" s="323"/>
      <c r="J85" s="323"/>
      <c r="K85" s="308"/>
      <c r="L85" s="323"/>
      <c r="M85" s="308"/>
      <c r="N85" s="308"/>
      <c r="O85" s="25"/>
    </row>
    <row r="86" spans="1:17" ht="12.75" customHeight="1" x14ac:dyDescent="0.2">
      <c r="A86" s="98" t="s">
        <v>164</v>
      </c>
      <c r="B86" s="88" t="s">
        <v>738</v>
      </c>
      <c r="G86" s="97"/>
      <c r="H86" s="308"/>
      <c r="I86" s="323"/>
      <c r="J86" s="323"/>
      <c r="K86" s="308"/>
      <c r="L86" s="323"/>
      <c r="M86" s="308"/>
      <c r="N86" s="308"/>
      <c r="O86" s="25"/>
    </row>
    <row r="87" spans="1:17" ht="12.75" customHeight="1" x14ac:dyDescent="0.2">
      <c r="A87" s="98"/>
      <c r="B87" s="88" t="s">
        <v>167</v>
      </c>
      <c r="G87" s="97"/>
      <c r="H87" s="308"/>
      <c r="I87" s="323"/>
      <c r="J87" s="323"/>
      <c r="K87" s="308"/>
      <c r="L87" s="323"/>
      <c r="M87" s="308"/>
      <c r="N87" s="308"/>
      <c r="O87" s="25"/>
    </row>
    <row r="88" spans="1:17" s="272" customFormat="1" ht="12.75" customHeight="1" x14ac:dyDescent="0.2">
      <c r="A88" s="98" t="s">
        <v>165</v>
      </c>
      <c r="B88" s="88" t="s">
        <v>28</v>
      </c>
      <c r="C88" s="51"/>
      <c r="D88" s="51"/>
      <c r="E88" s="51"/>
      <c r="F88" s="51"/>
      <c r="G88" s="97" t="s">
        <v>32</v>
      </c>
      <c r="H88" s="308">
        <f>H68*0.05</f>
        <v>3.4686951750000001</v>
      </c>
      <c r="I88" s="323">
        <f>VLOOKUP(A88,'[1]TAB OGU JUN18'!$A:$G,6,"falso")</f>
        <v>495.59</v>
      </c>
      <c r="J88" s="323">
        <f>VLOOKUP(A88,'[1]TAB OGU JUN18'!$A:$G,4,"falso")</f>
        <v>326.67</v>
      </c>
      <c r="K88" s="308">
        <f>H88*J88</f>
        <v>1133.11865281725</v>
      </c>
      <c r="L88" s="323">
        <f>VLOOKUP(A88,'[1]TAB OGU JUN18'!$A:$G,5,"falso")</f>
        <v>168.92</v>
      </c>
      <c r="M88" s="308">
        <f>H88*L88</f>
        <v>585.931988961</v>
      </c>
      <c r="N88" s="308">
        <f>H88*I88</f>
        <v>1719.0506417782499</v>
      </c>
      <c r="O88" s="68">
        <f>N88/N90</f>
        <v>1</v>
      </c>
    </row>
    <row r="89" spans="1:17" ht="12.75" customHeight="1" x14ac:dyDescent="0.2">
      <c r="B89" s="130"/>
      <c r="G89" s="52"/>
      <c r="H89" s="324"/>
      <c r="I89" s="323"/>
      <c r="J89" s="323"/>
      <c r="K89" s="313"/>
      <c r="L89" s="323"/>
      <c r="M89" s="313"/>
      <c r="N89" s="308"/>
      <c r="O89" s="25"/>
    </row>
    <row r="90" spans="1:17" ht="12.75" customHeight="1" x14ac:dyDescent="0.2">
      <c r="B90" s="130" t="s">
        <v>18</v>
      </c>
      <c r="C90" s="131"/>
      <c r="D90" s="131"/>
      <c r="E90" s="131"/>
      <c r="F90" s="131"/>
      <c r="G90" s="53"/>
      <c r="H90" s="325"/>
      <c r="I90" s="582"/>
      <c r="J90" s="582"/>
      <c r="K90" s="326"/>
      <c r="L90" s="582"/>
      <c r="M90" s="326"/>
      <c r="N90" s="308">
        <f>N88</f>
        <v>1719.0506417782499</v>
      </c>
      <c r="O90" s="25">
        <f>N90/N92</f>
        <v>0.22049884811375853</v>
      </c>
    </row>
    <row r="91" spans="1:17" ht="12.75" customHeight="1" x14ac:dyDescent="0.2">
      <c r="A91" s="98"/>
      <c r="B91" s="88"/>
      <c r="G91" s="97"/>
      <c r="H91" s="308"/>
      <c r="I91" s="323"/>
      <c r="J91" s="323"/>
      <c r="K91" s="308"/>
      <c r="L91" s="323"/>
      <c r="M91" s="308"/>
      <c r="N91" s="308"/>
      <c r="O91" s="25"/>
    </row>
    <row r="92" spans="1:17" s="132" customFormat="1" ht="12.75" customHeight="1" x14ac:dyDescent="0.2">
      <c r="A92" s="145"/>
      <c r="B92" s="133" t="s">
        <v>20</v>
      </c>
      <c r="C92" s="134"/>
      <c r="D92" s="134"/>
      <c r="E92" s="134"/>
      <c r="F92" s="134"/>
      <c r="G92" s="78"/>
      <c r="H92" s="327"/>
      <c r="I92" s="582"/>
      <c r="J92" s="582"/>
      <c r="K92" s="328"/>
      <c r="L92" s="582"/>
      <c r="M92" s="328"/>
      <c r="N92" s="310">
        <f>N90+N84+N71+N78</f>
        <v>7796.1887623620005</v>
      </c>
      <c r="O92" s="77">
        <f>N92/N102</f>
        <v>0.18593137687651778</v>
      </c>
    </row>
    <row r="93" spans="1:17" ht="12.75" customHeight="1" x14ac:dyDescent="0.2">
      <c r="A93" s="98"/>
      <c r="B93" s="88"/>
      <c r="G93" s="97"/>
      <c r="H93" s="308"/>
      <c r="I93" s="323"/>
      <c r="J93" s="323"/>
      <c r="K93" s="308"/>
      <c r="L93" s="323"/>
      <c r="M93" s="308"/>
      <c r="N93" s="308"/>
      <c r="O93" s="25"/>
    </row>
    <row r="94" spans="1:17" ht="12.75" customHeight="1" x14ac:dyDescent="0.2">
      <c r="A94" s="98" t="s">
        <v>169</v>
      </c>
      <c r="B94" s="88" t="s">
        <v>172</v>
      </c>
      <c r="G94" s="97"/>
      <c r="H94" s="308"/>
      <c r="I94" s="323"/>
      <c r="J94" s="323"/>
      <c r="K94" s="308"/>
      <c r="L94" s="323"/>
      <c r="M94" s="308"/>
      <c r="N94" s="308"/>
      <c r="O94" s="25"/>
    </row>
    <row r="95" spans="1:17" ht="12.75" customHeight="1" x14ac:dyDescent="0.2">
      <c r="A95" s="98" t="s">
        <v>170</v>
      </c>
      <c r="B95" s="88" t="s">
        <v>173</v>
      </c>
      <c r="G95" s="97"/>
      <c r="H95" s="308"/>
      <c r="I95" s="323"/>
      <c r="J95" s="323"/>
      <c r="K95" s="308"/>
      <c r="L95" s="323"/>
      <c r="M95" s="308"/>
      <c r="N95" s="308"/>
      <c r="O95" s="25"/>
    </row>
    <row r="96" spans="1:17" ht="12.75" customHeight="1" x14ac:dyDescent="0.2">
      <c r="A96" s="98" t="s">
        <v>187</v>
      </c>
      <c r="B96" s="88" t="s">
        <v>188</v>
      </c>
      <c r="G96" s="97" t="s">
        <v>17</v>
      </c>
      <c r="H96" s="308">
        <f>1.5*Q6</f>
        <v>775.5</v>
      </c>
      <c r="I96" s="323">
        <f>VLOOKUP(A96,'[1]TAB OGU JUN18'!$A:$G,6,"falso")</f>
        <v>1.23</v>
      </c>
      <c r="J96" s="323">
        <f>VLOOKUP(A96,'[1]TAB OGU JUN18'!$A:$G,4,"falso")</f>
        <v>1.23</v>
      </c>
      <c r="K96" s="308">
        <f>H96*J96</f>
        <v>953.86500000000001</v>
      </c>
      <c r="L96" s="323">
        <f>VLOOKUP(A96,'[1]TAB OGU JUN18'!$A:$G,5,"falso")</f>
        <v>0</v>
      </c>
      <c r="M96" s="308"/>
      <c r="N96" s="308">
        <f>H96*I96</f>
        <v>953.86500000000001</v>
      </c>
      <c r="O96" s="68">
        <f>N96/N98</f>
        <v>1</v>
      </c>
      <c r="Q96" s="51">
        <f>H96*0.5</f>
        <v>387.75</v>
      </c>
    </row>
    <row r="97" spans="1:16" ht="12.75" customHeight="1" x14ac:dyDescent="0.2">
      <c r="B97" s="130"/>
      <c r="G97" s="52"/>
      <c r="H97" s="313"/>
      <c r="I97" s="313"/>
      <c r="J97" s="313"/>
      <c r="K97" s="313"/>
      <c r="L97" s="313"/>
      <c r="M97" s="313"/>
      <c r="N97" s="308"/>
      <c r="O97" s="68"/>
    </row>
    <row r="98" spans="1:16" ht="12.75" customHeight="1" x14ac:dyDescent="0.2">
      <c r="B98" s="130" t="s">
        <v>18</v>
      </c>
      <c r="C98" s="131"/>
      <c r="D98" s="131"/>
      <c r="E98" s="131"/>
      <c r="F98" s="131"/>
      <c r="G98" s="53"/>
      <c r="H98" s="326"/>
      <c r="I98" s="326"/>
      <c r="J98" s="326"/>
      <c r="K98" s="326"/>
      <c r="L98" s="326"/>
      <c r="M98" s="326"/>
      <c r="N98" s="308">
        <f>N96</f>
        <v>953.86500000000001</v>
      </c>
      <c r="O98" s="68">
        <f>N98/N100</f>
        <v>1</v>
      </c>
    </row>
    <row r="99" spans="1:16" ht="12.75" customHeight="1" x14ac:dyDescent="0.2">
      <c r="A99" s="98"/>
      <c r="B99" s="88"/>
      <c r="G99" s="97"/>
      <c r="H99" s="308"/>
      <c r="I99" s="308"/>
      <c r="J99" s="308"/>
      <c r="K99" s="308"/>
      <c r="L99" s="308"/>
      <c r="M99" s="308"/>
      <c r="N99" s="308"/>
      <c r="O99" s="25"/>
    </row>
    <row r="100" spans="1:16" s="132" customFormat="1" ht="12.75" customHeight="1" x14ac:dyDescent="0.2">
      <c r="A100" s="145"/>
      <c r="B100" s="133" t="s">
        <v>20</v>
      </c>
      <c r="C100" s="134"/>
      <c r="D100" s="134"/>
      <c r="E100" s="134"/>
      <c r="F100" s="134"/>
      <c r="G100" s="78"/>
      <c r="H100" s="328"/>
      <c r="I100" s="328"/>
      <c r="J100" s="328"/>
      <c r="K100" s="328"/>
      <c r="L100" s="328"/>
      <c r="M100" s="328"/>
      <c r="N100" s="310">
        <f>N98</f>
        <v>953.86500000000001</v>
      </c>
      <c r="O100" s="77">
        <f>N100/N102</f>
        <v>2.2748735082010394E-2</v>
      </c>
    </row>
    <row r="101" spans="1:16" ht="7.5" customHeight="1" x14ac:dyDescent="0.2">
      <c r="A101" s="98"/>
      <c r="B101" s="88"/>
      <c r="G101" s="97"/>
      <c r="H101" s="15"/>
      <c r="I101" s="15"/>
      <c r="J101" s="15"/>
      <c r="K101" s="15"/>
      <c r="L101" s="15"/>
      <c r="M101" s="15"/>
      <c r="N101" s="15"/>
      <c r="O101" s="25"/>
    </row>
    <row r="102" spans="1:16" ht="12.75" customHeight="1" x14ac:dyDescent="0.2">
      <c r="A102" s="146"/>
      <c r="B102" s="147" t="s">
        <v>30</v>
      </c>
      <c r="C102" s="146"/>
      <c r="D102" s="146"/>
      <c r="E102" s="146"/>
      <c r="F102" s="146"/>
      <c r="G102" s="146"/>
      <c r="H102" s="148"/>
      <c r="I102" s="146"/>
      <c r="J102" s="146"/>
      <c r="K102" s="207">
        <f>SUM(K12:K96)</f>
        <v>32801.570814528328</v>
      </c>
      <c r="L102" s="207"/>
      <c r="M102" s="207">
        <f>SUM(M12:M96)</f>
        <v>9128.8924205160001</v>
      </c>
      <c r="N102" s="276">
        <f>N100+N92+N61+N43</f>
        <v>41930.463235044328</v>
      </c>
      <c r="O102" s="322"/>
      <c r="P102" s="149"/>
    </row>
    <row r="103" spans="1:16" ht="7.5" customHeight="1" x14ac:dyDescent="0.2">
      <c r="A103" s="98"/>
      <c r="B103" s="88"/>
      <c r="G103" s="97"/>
      <c r="H103" s="15"/>
      <c r="I103" s="15"/>
      <c r="J103" s="15"/>
      <c r="K103" s="15"/>
      <c r="L103" s="15"/>
      <c r="M103" s="15"/>
      <c r="N103" s="15"/>
      <c r="O103" s="25"/>
    </row>
    <row r="104" spans="1:16" ht="12.75" customHeight="1" x14ac:dyDescent="0.2">
      <c r="A104" s="146"/>
      <c r="B104" s="147" t="s">
        <v>265</v>
      </c>
      <c r="C104" s="146"/>
      <c r="D104" s="146"/>
      <c r="E104" s="146"/>
      <c r="F104" s="146"/>
      <c r="G104" s="146"/>
      <c r="H104" s="148"/>
      <c r="I104" s="148"/>
      <c r="J104" s="148"/>
      <c r="K104" s="274">
        <f>K102+(K102*O5)</f>
        <v>41848.244045175241</v>
      </c>
      <c r="L104" s="274"/>
      <c r="M104" s="275">
        <f>M102+(M102*O7)</f>
        <v>10746.532157431435</v>
      </c>
      <c r="N104" s="276">
        <f>K104+M104</f>
        <v>52594.776202606678</v>
      </c>
      <c r="O104" s="29">
        <f>N104/RESUMO!H95</f>
        <v>7.262982806209026E-3</v>
      </c>
      <c r="P104" s="149"/>
    </row>
    <row r="105" spans="1:16" ht="12.75" customHeight="1" x14ac:dyDescent="0.2">
      <c r="P105" s="149"/>
    </row>
    <row r="106" spans="1:16" ht="12.75" customHeight="1" x14ac:dyDescent="0.2">
      <c r="P106" s="149"/>
    </row>
    <row r="109" spans="1:16" ht="12.75" customHeight="1" x14ac:dyDescent="0.2">
      <c r="M109" s="311"/>
    </row>
    <row r="111" spans="1:16" s="150" customFormat="1" ht="12.75" customHeight="1" x14ac:dyDescent="0.2">
      <c r="A111" s="51"/>
      <c r="B111" s="51"/>
      <c r="C111" s="51"/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52"/>
    </row>
    <row r="112" spans="1:16" s="150" customFormat="1" ht="12.75" customHeight="1" x14ac:dyDescent="0.2">
      <c r="A112" s="51"/>
      <c r="B112" s="51"/>
      <c r="C112" s="51"/>
      <c r="D112" s="51"/>
      <c r="E112" s="51"/>
      <c r="F112" s="51"/>
      <c r="G112" s="51"/>
      <c r="H112" s="51"/>
      <c r="I112" s="51"/>
      <c r="J112" s="51"/>
      <c r="K112" s="51"/>
      <c r="L112" s="51"/>
      <c r="M112" s="51"/>
      <c r="N112" s="51"/>
      <c r="O112" s="52"/>
    </row>
    <row r="119" spans="1:15" ht="12.75" customHeight="1" x14ac:dyDescent="0.2">
      <c r="A119" s="88"/>
      <c r="C119" s="184"/>
      <c r="D119" s="184"/>
      <c r="E119" s="184"/>
      <c r="F119" s="184"/>
      <c r="G119" s="184"/>
      <c r="H119" s="184"/>
      <c r="I119" s="184"/>
      <c r="J119" s="184"/>
      <c r="K119" s="184"/>
      <c r="L119" s="184"/>
      <c r="M119" s="184"/>
      <c r="N119" s="184"/>
      <c r="O119" s="437"/>
    </row>
  </sheetData>
  <mergeCells count="3">
    <mergeCell ref="N4:O4"/>
    <mergeCell ref="A5:B6"/>
    <mergeCell ref="A2:O2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rowBreaks count="1" manualBreakCount="1">
    <brk id="93" max="14" man="1"/>
  </rowBreaks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5">
    <tabColor theme="6" tint="0.39997558519241921"/>
    <pageSetUpPr fitToPage="1"/>
  </sheetPr>
  <dimension ref="A1:P57"/>
  <sheetViews>
    <sheetView view="pageBreakPreview" zoomScale="85" zoomScaleNormal="85" zoomScaleSheetLayoutView="85" workbookViewId="0">
      <selection activeCell="T28" sqref="T28"/>
    </sheetView>
  </sheetViews>
  <sheetFormatPr defaultColWidth="11.42578125" defaultRowHeight="12" customHeight="1" x14ac:dyDescent="0.2"/>
  <cols>
    <col min="1" max="5" width="11.42578125" style="51" customWidth="1"/>
    <col min="6" max="6" width="28.5703125" style="51" customWidth="1"/>
    <col min="7" max="9" width="11.42578125" style="51" customWidth="1"/>
    <col min="10" max="10" width="11.42578125" style="51" hidden="1" customWidth="1"/>
    <col min="11" max="11" width="14.28515625" style="51" customWidth="1"/>
    <col min="12" max="12" width="6.42578125" style="51" hidden="1" customWidth="1"/>
    <col min="13" max="13" width="14.28515625" style="51" customWidth="1"/>
    <col min="14" max="14" width="17.140625" style="51" customWidth="1"/>
    <col min="15" max="15" width="11.42578125" style="52" customWidth="1"/>
    <col min="16" max="16" width="5.140625" style="51" bestFit="1" customWidth="1"/>
    <col min="17" max="16384" width="11.42578125" style="51"/>
  </cols>
  <sheetData>
    <row r="1" spans="1:16" ht="7.5" customHeight="1" x14ac:dyDescent="0.2"/>
    <row r="2" spans="1:16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6" ht="7.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95"/>
    </row>
    <row r="4" spans="1:16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6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K5" s="258"/>
      <c r="L5" s="258"/>
      <c r="M5" s="258"/>
      <c r="N5" s="261" t="str">
        <f>RESUMO!H5</f>
        <v>Serviços</v>
      </c>
      <c r="O5" s="225">
        <f>RESUMO!I5</f>
        <v>0.27579999999999999</v>
      </c>
    </row>
    <row r="6" spans="1:16" ht="12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K6" s="258"/>
      <c r="L6" s="258"/>
      <c r="M6" s="258"/>
      <c r="N6" s="261" t="str">
        <f>RESUMO!H6</f>
        <v>Serv Terc:</v>
      </c>
      <c r="O6" s="225">
        <f>RESUMO!I6</f>
        <v>0.1772</v>
      </c>
    </row>
    <row r="7" spans="1:16" ht="12" customHeight="1" x14ac:dyDescent="0.2">
      <c r="A7" s="253"/>
      <c r="B7" s="253"/>
      <c r="C7" s="260" t="s">
        <v>6</v>
      </c>
      <c r="D7" s="263" t="str">
        <f>RESUMO!A17</f>
        <v>U.C. : 05</v>
      </c>
      <c r="E7" s="258"/>
      <c r="F7" s="258"/>
      <c r="G7" s="260" t="s">
        <v>9</v>
      </c>
      <c r="K7" s="277"/>
      <c r="L7" s="277"/>
      <c r="M7" s="277" t="str">
        <f>RESUMO!G7</f>
        <v>Jun18 MOS4aEd v00</v>
      </c>
      <c r="N7" s="261" t="str">
        <f>RESUMO!H7</f>
        <v>Mat/Equip:</v>
      </c>
      <c r="O7" s="225">
        <f>RESUMO!I7</f>
        <v>0.1772</v>
      </c>
    </row>
    <row r="8" spans="1:16" ht="12" customHeight="1" thickBot="1" x14ac:dyDescent="0.25">
      <c r="A8" s="124"/>
      <c r="B8" s="125"/>
      <c r="C8" s="266" t="s">
        <v>8</v>
      </c>
      <c r="D8" s="267" t="str">
        <f>RESUMO!B17</f>
        <v>LIGAÇÕES PREDIAIS</v>
      </c>
      <c r="E8" s="268"/>
      <c r="F8" s="268"/>
      <c r="G8" s="266"/>
      <c r="H8" s="123"/>
      <c r="I8" s="278"/>
      <c r="J8" s="278"/>
      <c r="K8" s="278"/>
      <c r="L8" s="278"/>
      <c r="M8" s="278" t="str">
        <f>'[1]TAB OGU JUN18'!$B$1</f>
        <v>Descrição</v>
      </c>
      <c r="N8" s="271"/>
      <c r="O8" s="427"/>
    </row>
    <row r="9" spans="1:16" ht="12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6" ht="7.5" customHeight="1" x14ac:dyDescent="0.2"/>
    <row r="11" spans="1:16" ht="12" customHeight="1" x14ac:dyDescent="0.2">
      <c r="A11" s="93">
        <f>RESUMO!A19</f>
        <v>2</v>
      </c>
      <c r="B11" s="93" t="str">
        <f>RESUMO!B19</f>
        <v>LIGAÇÕES PREDIAIS - MATERIAIS</v>
      </c>
    </row>
    <row r="12" spans="1:16" ht="12" customHeight="1" x14ac:dyDescent="0.2">
      <c r="A12" s="129" t="s">
        <v>266</v>
      </c>
      <c r="B12" s="88" t="s">
        <v>71</v>
      </c>
      <c r="H12" s="61"/>
    </row>
    <row r="13" spans="1:16" ht="12" customHeight="1" x14ac:dyDescent="0.2">
      <c r="A13" s="129" t="s">
        <v>267</v>
      </c>
      <c r="B13" s="88" t="s">
        <v>72</v>
      </c>
      <c r="H13" s="61"/>
    </row>
    <row r="14" spans="1:16" ht="12" customHeight="1" x14ac:dyDescent="0.2">
      <c r="A14" s="129" t="s">
        <v>283</v>
      </c>
      <c r="B14" s="88" t="s">
        <v>73</v>
      </c>
      <c r="G14" s="97" t="s">
        <v>24</v>
      </c>
      <c r="H14" s="308">
        <f>'06'!Q6</f>
        <v>517</v>
      </c>
      <c r="I14" s="308">
        <v>31.4</v>
      </c>
      <c r="J14" s="308"/>
      <c r="K14" s="308"/>
      <c r="L14" s="323">
        <v>31.4</v>
      </c>
      <c r="M14" s="308">
        <v>30.84</v>
      </c>
      <c r="N14" s="308">
        <f>H14*I14</f>
        <v>16233.8</v>
      </c>
      <c r="O14" s="25">
        <f>N14/N16</f>
        <v>1</v>
      </c>
      <c r="P14" s="51">
        <v>6251</v>
      </c>
    </row>
    <row r="15" spans="1:16" ht="12" customHeight="1" x14ac:dyDescent="0.2">
      <c r="G15" s="52"/>
      <c r="H15" s="324"/>
      <c r="I15" s="313"/>
      <c r="J15" s="313"/>
      <c r="K15" s="313"/>
      <c r="L15" s="313"/>
      <c r="M15" s="313"/>
      <c r="N15" s="309"/>
      <c r="O15" s="25"/>
    </row>
    <row r="16" spans="1:16" ht="12" customHeight="1" x14ac:dyDescent="0.2">
      <c r="B16" s="130" t="s">
        <v>18</v>
      </c>
      <c r="C16" s="131"/>
      <c r="D16" s="131"/>
      <c r="E16" s="131"/>
      <c r="F16" s="131"/>
      <c r="G16" s="53"/>
      <c r="H16" s="325"/>
      <c r="I16" s="326"/>
      <c r="J16" s="326"/>
      <c r="K16" s="326"/>
      <c r="L16" s="326"/>
      <c r="M16" s="326"/>
      <c r="N16" s="308">
        <f>SUM(N14:N14)</f>
        <v>16233.8</v>
      </c>
      <c r="O16" s="25">
        <f>N16/N18</f>
        <v>1</v>
      </c>
    </row>
    <row r="17" spans="1:15" ht="12" customHeight="1" x14ac:dyDescent="0.2">
      <c r="B17" s="130"/>
      <c r="G17" s="52"/>
      <c r="H17" s="324"/>
      <c r="I17" s="313"/>
      <c r="J17" s="313"/>
      <c r="K17" s="313"/>
      <c r="L17" s="313"/>
      <c r="M17" s="313"/>
      <c r="N17" s="308"/>
      <c r="O17" s="25"/>
    </row>
    <row r="18" spans="1:15" s="132" customFormat="1" ht="12" customHeight="1" x14ac:dyDescent="0.2">
      <c r="B18" s="133" t="s">
        <v>20</v>
      </c>
      <c r="C18" s="134"/>
      <c r="D18" s="134"/>
      <c r="E18" s="134"/>
      <c r="F18" s="134"/>
      <c r="G18" s="78"/>
      <c r="H18" s="327"/>
      <c r="I18" s="328"/>
      <c r="J18" s="328"/>
      <c r="K18" s="328"/>
      <c r="L18" s="328"/>
      <c r="M18" s="328"/>
      <c r="N18" s="310">
        <f>N16</f>
        <v>16233.8</v>
      </c>
      <c r="O18" s="77">
        <f>N18/N43</f>
        <v>0.1009565147496182</v>
      </c>
    </row>
    <row r="19" spans="1:15" ht="12" customHeight="1" x14ac:dyDescent="0.2">
      <c r="B19" s="130"/>
      <c r="G19" s="52"/>
      <c r="H19" s="324"/>
      <c r="I19" s="313"/>
      <c r="J19" s="313"/>
      <c r="K19" s="313"/>
      <c r="L19" s="313"/>
      <c r="M19" s="313"/>
      <c r="N19" s="308"/>
      <c r="O19" s="25"/>
    </row>
    <row r="20" spans="1:15" ht="12" customHeight="1" x14ac:dyDescent="0.2">
      <c r="A20" s="98" t="s">
        <v>270</v>
      </c>
      <c r="B20" s="88" t="s">
        <v>29</v>
      </c>
      <c r="G20" s="52"/>
      <c r="H20" s="324"/>
      <c r="I20" s="313"/>
      <c r="J20" s="313"/>
      <c r="K20" s="313"/>
      <c r="L20" s="313"/>
      <c r="M20" s="313"/>
      <c r="N20" s="313"/>
      <c r="O20" s="19"/>
    </row>
    <row r="21" spans="1:15" ht="12" customHeight="1" x14ac:dyDescent="0.2">
      <c r="A21" s="98" t="s">
        <v>271</v>
      </c>
      <c r="B21" s="88" t="s">
        <v>34</v>
      </c>
      <c r="G21" s="52"/>
      <c r="H21" s="324"/>
      <c r="I21" s="313"/>
      <c r="J21" s="313"/>
      <c r="K21" s="313"/>
      <c r="L21" s="313"/>
      <c r="M21" s="313"/>
      <c r="N21" s="313"/>
      <c r="O21" s="19"/>
    </row>
    <row r="22" spans="1:15" ht="12" customHeight="1" x14ac:dyDescent="0.2">
      <c r="A22" s="98" t="s">
        <v>278</v>
      </c>
      <c r="B22" s="88" t="s">
        <v>178</v>
      </c>
      <c r="G22" s="97" t="s">
        <v>24</v>
      </c>
      <c r="H22" s="308">
        <f>H14</f>
        <v>517</v>
      </c>
      <c r="I22" s="323">
        <f>VLOOKUP(A22,'[1]TAB OGU JUN18'!$A:$G,6,"falso")</f>
        <v>19.420000000000002</v>
      </c>
      <c r="J22" s="308"/>
      <c r="K22" s="308"/>
      <c r="L22" s="323">
        <f>VLOOKUP(A22,'[1]TAB OGU JUN18'!$A:$G,5,"falso")</f>
        <v>19.420000000000002</v>
      </c>
      <c r="M22" s="308">
        <f>H22*L22</f>
        <v>10040.140000000001</v>
      </c>
      <c r="N22" s="308">
        <f>H22*I22</f>
        <v>10040.140000000001</v>
      </c>
      <c r="O22" s="25">
        <f>N22/N24</f>
        <v>1</v>
      </c>
    </row>
    <row r="23" spans="1:15" ht="12" customHeight="1" x14ac:dyDescent="0.2">
      <c r="G23" s="52"/>
      <c r="H23" s="324"/>
      <c r="I23" s="323"/>
      <c r="J23" s="313"/>
      <c r="K23" s="313"/>
      <c r="L23" s="313"/>
      <c r="M23" s="313"/>
      <c r="N23" s="313"/>
      <c r="O23" s="19"/>
    </row>
    <row r="24" spans="1:15" ht="12" customHeight="1" x14ac:dyDescent="0.2">
      <c r="B24" s="130" t="s">
        <v>18</v>
      </c>
      <c r="C24" s="131"/>
      <c r="D24" s="131"/>
      <c r="E24" s="131"/>
      <c r="F24" s="131"/>
      <c r="G24" s="53"/>
      <c r="H24" s="325"/>
      <c r="I24" s="582"/>
      <c r="J24" s="326"/>
      <c r="K24" s="326"/>
      <c r="L24" s="326"/>
      <c r="M24" s="326"/>
      <c r="N24" s="308">
        <f>N22</f>
        <v>10040.140000000001</v>
      </c>
      <c r="O24" s="25">
        <f>N24/N41</f>
        <v>6.9450156459544041E-2</v>
      </c>
    </row>
    <row r="25" spans="1:15" ht="12" customHeight="1" x14ac:dyDescent="0.2">
      <c r="B25" s="130"/>
      <c r="G25" s="52"/>
      <c r="H25" s="324"/>
      <c r="I25" s="323"/>
      <c r="J25" s="313"/>
      <c r="K25" s="313"/>
      <c r="L25" s="313"/>
      <c r="M25" s="313"/>
      <c r="N25" s="308"/>
      <c r="O25" s="25"/>
    </row>
    <row r="26" spans="1:15" ht="12" customHeight="1" x14ac:dyDescent="0.2">
      <c r="A26" s="98" t="s">
        <v>273</v>
      </c>
      <c r="B26" s="88" t="s">
        <v>35</v>
      </c>
      <c r="G26" s="52"/>
      <c r="H26" s="324"/>
      <c r="I26" s="323"/>
      <c r="J26" s="313"/>
      <c r="K26" s="313"/>
      <c r="L26" s="313"/>
      <c r="M26" s="313"/>
      <c r="N26" s="313"/>
      <c r="O26" s="19"/>
    </row>
    <row r="27" spans="1:15" ht="12" customHeight="1" x14ac:dyDescent="0.2">
      <c r="A27" s="98" t="s">
        <v>504</v>
      </c>
      <c r="B27" s="88" t="s">
        <v>175</v>
      </c>
      <c r="G27" s="97" t="s">
        <v>24</v>
      </c>
      <c r="H27" s="308">
        <f>H14</f>
        <v>517</v>
      </c>
      <c r="I27" s="323">
        <f>VLOOKUP(A27,'[1]TAB OGU JUN18'!$A:$G,6,"falso")</f>
        <v>196.76</v>
      </c>
      <c r="J27" s="308"/>
      <c r="K27" s="308"/>
      <c r="L27" s="323">
        <f>VLOOKUP(A27,'[1]TAB OGU JUN18'!$A:$G,5,"falso")</f>
        <v>196.76</v>
      </c>
      <c r="M27" s="308">
        <f>H27*L27</f>
        <v>101724.92</v>
      </c>
      <c r="N27" s="308">
        <f>H27*I27</f>
        <v>101724.92</v>
      </c>
      <c r="O27" s="25">
        <f>N27/N29</f>
        <v>1</v>
      </c>
    </row>
    <row r="28" spans="1:15" ht="12" customHeight="1" x14ac:dyDescent="0.2">
      <c r="A28" s="273"/>
      <c r="B28" s="88"/>
      <c r="G28" s="97"/>
      <c r="H28" s="308"/>
      <c r="I28" s="323"/>
      <c r="J28" s="308"/>
      <c r="K28" s="308"/>
      <c r="L28" s="308"/>
      <c r="M28" s="308"/>
      <c r="N28" s="308"/>
      <c r="O28" s="25"/>
    </row>
    <row r="29" spans="1:15" ht="12" customHeight="1" x14ac:dyDescent="0.2">
      <c r="B29" s="130" t="s">
        <v>18</v>
      </c>
      <c r="C29" s="131"/>
      <c r="D29" s="131"/>
      <c r="E29" s="131"/>
      <c r="F29" s="131"/>
      <c r="G29" s="53"/>
      <c r="H29" s="325"/>
      <c r="I29" s="582"/>
      <c r="J29" s="326"/>
      <c r="K29" s="326"/>
      <c r="L29" s="326"/>
      <c r="M29" s="326"/>
      <c r="N29" s="308">
        <f>N27</f>
        <v>101724.92</v>
      </c>
      <c r="O29" s="25">
        <f>N29/N41</f>
        <v>0.70365668305766649</v>
      </c>
    </row>
    <row r="30" spans="1:15" ht="12" customHeight="1" x14ac:dyDescent="0.2">
      <c r="A30" s="130"/>
      <c r="G30" s="52"/>
      <c r="H30" s="324"/>
      <c r="I30" s="323"/>
      <c r="J30" s="313"/>
      <c r="K30" s="313"/>
      <c r="L30" s="313"/>
      <c r="M30" s="313"/>
      <c r="N30" s="308"/>
      <c r="O30" s="25"/>
    </row>
    <row r="31" spans="1:15" ht="12" customHeight="1" x14ac:dyDescent="0.2">
      <c r="A31" s="98"/>
      <c r="B31" s="88" t="s">
        <v>176</v>
      </c>
      <c r="G31" s="52"/>
      <c r="H31" s="324"/>
      <c r="I31" s="323"/>
      <c r="J31" s="313"/>
      <c r="K31" s="313"/>
      <c r="L31" s="313"/>
      <c r="M31" s="313"/>
      <c r="N31" s="313"/>
      <c r="O31" s="19"/>
    </row>
    <row r="32" spans="1:15" ht="12" customHeight="1" x14ac:dyDescent="0.2">
      <c r="A32" s="98" t="s">
        <v>505</v>
      </c>
      <c r="B32" s="88" t="s">
        <v>177</v>
      </c>
      <c r="G32" s="97" t="s">
        <v>24</v>
      </c>
      <c r="H32" s="308">
        <f>H14</f>
        <v>517</v>
      </c>
      <c r="I32" s="323">
        <f>VLOOKUP(A32,'[1]TAB OGU JUN18'!$A:$G,6,"falso")</f>
        <v>19.72</v>
      </c>
      <c r="J32" s="308"/>
      <c r="K32" s="308"/>
      <c r="L32" s="323">
        <f>VLOOKUP(A32,'[1]TAB OGU JUN18'!$A:$G,5,"falso")</f>
        <v>19.72</v>
      </c>
      <c r="M32" s="308">
        <f>H32*L32</f>
        <v>10195.24</v>
      </c>
      <c r="N32" s="308">
        <f>H32*I32</f>
        <v>10195.24</v>
      </c>
      <c r="O32" s="25">
        <f>N32/N34</f>
        <v>1</v>
      </c>
    </row>
    <row r="33" spans="1:16" ht="12" customHeight="1" x14ac:dyDescent="0.2">
      <c r="A33" s="273"/>
      <c r="B33" s="88"/>
      <c r="G33" s="97"/>
      <c r="H33" s="308"/>
      <c r="I33" s="323"/>
      <c r="J33" s="308"/>
      <c r="K33" s="308"/>
      <c r="L33" s="308"/>
      <c r="M33" s="308"/>
      <c r="N33" s="308"/>
      <c r="O33" s="25"/>
    </row>
    <row r="34" spans="1:16" ht="12" customHeight="1" x14ac:dyDescent="0.2">
      <c r="B34" s="130" t="s">
        <v>18</v>
      </c>
      <c r="C34" s="131"/>
      <c r="D34" s="131"/>
      <c r="E34" s="131"/>
      <c r="F34" s="131"/>
      <c r="G34" s="53"/>
      <c r="H34" s="325"/>
      <c r="I34" s="582"/>
      <c r="J34" s="326"/>
      <c r="K34" s="326"/>
      <c r="L34" s="326"/>
      <c r="M34" s="326"/>
      <c r="N34" s="308">
        <f>N32</f>
        <v>10195.24</v>
      </c>
      <c r="O34" s="25">
        <f>N34/N41</f>
        <v>7.0523021904336167E-2</v>
      </c>
    </row>
    <row r="35" spans="1:16" ht="12" customHeight="1" x14ac:dyDescent="0.2">
      <c r="A35" s="130"/>
      <c r="G35" s="52"/>
      <c r="H35" s="324"/>
      <c r="I35" s="323"/>
      <c r="J35" s="313"/>
      <c r="K35" s="313"/>
      <c r="L35" s="313"/>
      <c r="M35" s="313"/>
      <c r="N35" s="308"/>
      <c r="O35" s="25"/>
    </row>
    <row r="36" spans="1:16" ht="12" customHeight="1" x14ac:dyDescent="0.2">
      <c r="A36" s="98" t="s">
        <v>275</v>
      </c>
      <c r="B36" s="88" t="s">
        <v>36</v>
      </c>
      <c r="G36" s="52"/>
      <c r="H36" s="324"/>
      <c r="I36" s="323"/>
      <c r="J36" s="313"/>
      <c r="K36" s="313"/>
      <c r="L36" s="313"/>
      <c r="M36" s="313"/>
      <c r="N36" s="313"/>
      <c r="O36" s="19"/>
    </row>
    <row r="37" spans="1:16" ht="12" customHeight="1" x14ac:dyDescent="0.2">
      <c r="A37" s="98" t="s">
        <v>506</v>
      </c>
      <c r="B37" s="88" t="s">
        <v>179</v>
      </c>
      <c r="G37" s="97" t="s">
        <v>17</v>
      </c>
      <c r="H37" s="308">
        <f>H14*2.5</f>
        <v>1292.5</v>
      </c>
      <c r="I37" s="323">
        <f>VLOOKUP(A37,'[1]TAB OGU JUN18'!$A:$G,6,"falso")</f>
        <v>17.489999999999998</v>
      </c>
      <c r="J37" s="308"/>
      <c r="K37" s="308"/>
      <c r="L37" s="323">
        <f>VLOOKUP(A37,'[1]TAB OGU JUN18'!$A:$G,5,"falso")</f>
        <v>17.489999999999998</v>
      </c>
      <c r="M37" s="308">
        <f>H37*L37</f>
        <v>22605.824999999997</v>
      </c>
      <c r="N37" s="308">
        <f>H37*I37</f>
        <v>22605.824999999997</v>
      </c>
      <c r="O37" s="25">
        <f>N37/N39</f>
        <v>1</v>
      </c>
    </row>
    <row r="38" spans="1:16" ht="12" customHeight="1" x14ac:dyDescent="0.2">
      <c r="A38" s="273"/>
      <c r="B38" s="88"/>
      <c r="G38" s="97"/>
      <c r="H38" s="308"/>
      <c r="I38" s="308"/>
      <c r="J38" s="308"/>
      <c r="K38" s="308"/>
      <c r="L38" s="308"/>
      <c r="M38" s="308"/>
      <c r="N38" s="308"/>
      <c r="O38" s="25"/>
    </row>
    <row r="39" spans="1:16" ht="12" customHeight="1" x14ac:dyDescent="0.2">
      <c r="B39" s="130" t="s">
        <v>18</v>
      </c>
      <c r="C39" s="131"/>
      <c r="D39" s="131"/>
      <c r="E39" s="131"/>
      <c r="F39" s="131"/>
      <c r="G39" s="53"/>
      <c r="H39" s="325"/>
      <c r="I39" s="326"/>
      <c r="J39" s="326"/>
      <c r="K39" s="326"/>
      <c r="L39" s="326"/>
      <c r="M39" s="326"/>
      <c r="N39" s="308">
        <f>N37</f>
        <v>22605.824999999997</v>
      </c>
      <c r="O39" s="25">
        <f>N39/N41</f>
        <v>0.15637013857845328</v>
      </c>
    </row>
    <row r="40" spans="1:16" ht="12" customHeight="1" x14ac:dyDescent="0.2">
      <c r="B40" s="130"/>
      <c r="G40" s="52"/>
      <c r="H40" s="324"/>
      <c r="I40" s="313"/>
      <c r="J40" s="313"/>
      <c r="K40" s="313"/>
      <c r="L40" s="313"/>
      <c r="M40" s="313"/>
      <c r="N40" s="308"/>
      <c r="O40" s="25"/>
    </row>
    <row r="41" spans="1:16" s="132" customFormat="1" ht="12" customHeight="1" x14ac:dyDescent="0.2">
      <c r="B41" s="133" t="s">
        <v>20</v>
      </c>
      <c r="C41" s="134"/>
      <c r="D41" s="134"/>
      <c r="E41" s="134"/>
      <c r="F41" s="134"/>
      <c r="G41" s="78"/>
      <c r="H41" s="327"/>
      <c r="I41" s="328"/>
      <c r="J41" s="328"/>
      <c r="K41" s="328"/>
      <c r="L41" s="328"/>
      <c r="M41" s="328"/>
      <c r="N41" s="310">
        <f>N39+N34+N29+N24</f>
        <v>144566.125</v>
      </c>
      <c r="O41" s="77">
        <f>N41/N43</f>
        <v>0.89904348525038191</v>
      </c>
    </row>
    <row r="42" spans="1:16" ht="7.5" customHeight="1" x14ac:dyDescent="0.2">
      <c r="A42" s="98"/>
      <c r="B42" s="88"/>
      <c r="G42" s="97"/>
      <c r="H42" s="308"/>
      <c r="I42" s="308"/>
      <c r="J42" s="308"/>
      <c r="K42" s="308"/>
      <c r="L42" s="308"/>
      <c r="M42" s="308"/>
      <c r="N42" s="308"/>
      <c r="O42" s="25"/>
    </row>
    <row r="43" spans="1:16" ht="12" customHeight="1" x14ac:dyDescent="0.2">
      <c r="A43" s="146"/>
      <c r="B43" s="147" t="s">
        <v>30</v>
      </c>
      <c r="C43" s="146"/>
      <c r="D43" s="146"/>
      <c r="E43" s="146"/>
      <c r="F43" s="146"/>
      <c r="G43" s="146"/>
      <c r="H43" s="342"/>
      <c r="I43" s="345"/>
      <c r="J43" s="345"/>
      <c r="K43" s="275"/>
      <c r="L43" s="275"/>
      <c r="M43" s="275">
        <f>SUM(M14:M42)</f>
        <v>144596.965</v>
      </c>
      <c r="N43" s="343">
        <f>N41+N18</f>
        <v>160799.92499999999</v>
      </c>
      <c r="O43" s="438"/>
      <c r="P43" s="149"/>
    </row>
    <row r="44" spans="1:16" ht="7.5" customHeight="1" x14ac:dyDescent="0.2">
      <c r="A44" s="98"/>
      <c r="B44" s="88"/>
      <c r="G44" s="97"/>
      <c r="H44" s="308"/>
      <c r="I44" s="308"/>
      <c r="J44" s="308"/>
      <c r="K44" s="308"/>
      <c r="L44" s="308"/>
      <c r="M44" s="308"/>
      <c r="N44" s="308"/>
      <c r="O44" s="25"/>
    </row>
    <row r="45" spans="1:16" ht="12" customHeight="1" x14ac:dyDescent="0.2">
      <c r="A45" s="146"/>
      <c r="B45" s="147" t="s">
        <v>265</v>
      </c>
      <c r="C45" s="146"/>
      <c r="D45" s="146"/>
      <c r="E45" s="146"/>
      <c r="F45" s="146"/>
      <c r="G45" s="146"/>
      <c r="H45" s="342"/>
      <c r="I45" s="345"/>
      <c r="J45" s="345"/>
      <c r="K45" s="275"/>
      <c r="L45" s="275"/>
      <c r="M45" s="275">
        <f>M43+(M43*O7)</f>
        <v>170219.54719799999</v>
      </c>
      <c r="N45" s="343">
        <f>M45</f>
        <v>170219.54719799999</v>
      </c>
      <c r="O45" s="29">
        <f>N45/RESUMO!H95</f>
        <v>2.3506167985528698E-2</v>
      </c>
      <c r="P45" s="149"/>
    </row>
    <row r="49" spans="1:15" s="150" customFormat="1" ht="12" customHeight="1" x14ac:dyDescent="0.2">
      <c r="A49" s="51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2"/>
    </row>
    <row r="50" spans="1:15" s="150" customFormat="1" ht="12" customHeight="1" x14ac:dyDescent="0.2">
      <c r="A50" s="51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2"/>
    </row>
    <row r="57" spans="1:15" ht="12" customHeight="1" x14ac:dyDescent="0.2">
      <c r="A57" s="88"/>
      <c r="C57" s="184"/>
      <c r="D57" s="184"/>
      <c r="E57" s="184"/>
      <c r="F57" s="184"/>
      <c r="G57" s="184"/>
      <c r="H57" s="184"/>
      <c r="I57" s="184"/>
      <c r="J57" s="184"/>
      <c r="K57" s="184"/>
      <c r="L57" s="184"/>
      <c r="M57" s="184"/>
      <c r="N57" s="184"/>
      <c r="O57" s="437"/>
    </row>
  </sheetData>
  <mergeCells count="3">
    <mergeCell ref="N4:O4"/>
    <mergeCell ref="A5:B6"/>
    <mergeCell ref="A2:O2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Plan29">
    <tabColor theme="6" tint="0.39997558519241921"/>
    <pageSetUpPr fitToPage="1"/>
  </sheetPr>
  <dimension ref="A1:U126"/>
  <sheetViews>
    <sheetView view="pageBreakPreview" topLeftCell="A37" zoomScale="85" zoomScaleNormal="90" zoomScaleSheetLayoutView="85" workbookViewId="0">
      <selection activeCell="R71" sqref="R71"/>
    </sheetView>
  </sheetViews>
  <sheetFormatPr defaultColWidth="11.42578125" defaultRowHeight="12" customHeight="1" x14ac:dyDescent="0.2"/>
  <cols>
    <col min="1" max="3" width="11.42578125" style="51"/>
    <col min="4" max="4" width="11.42578125" style="51" customWidth="1"/>
    <col min="5" max="5" width="11.42578125" style="51"/>
    <col min="6" max="6" width="28.5703125" style="51" customWidth="1"/>
    <col min="7" max="7" width="11.42578125" style="51"/>
    <col min="8" max="9" width="11.42578125" style="51" customWidth="1"/>
    <col min="10" max="10" width="6.7109375" style="51" hidden="1" customWidth="1"/>
    <col min="11" max="11" width="14.28515625" style="51" customWidth="1"/>
    <col min="12" max="12" width="6.7109375" style="51" hidden="1" customWidth="1"/>
    <col min="13" max="13" width="14.28515625" style="51" customWidth="1"/>
    <col min="14" max="14" width="17.28515625" style="51" customWidth="1"/>
    <col min="15" max="15" width="11.42578125" style="52" customWidth="1"/>
    <col min="16" max="19" width="11.42578125" style="51"/>
    <col min="20" max="20" width="13.42578125" style="51" customWidth="1"/>
    <col min="21" max="16384" width="11.42578125" style="51"/>
  </cols>
  <sheetData>
    <row r="1" spans="1:21" ht="6.75" customHeight="1" x14ac:dyDescent="0.2"/>
    <row r="2" spans="1:21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21" ht="6.7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95"/>
    </row>
    <row r="4" spans="1:21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K4" s="259"/>
      <c r="L4" s="259"/>
      <c r="M4" s="259">
        <f ca="1">RESUMO!G4</f>
        <v>43657</v>
      </c>
      <c r="N4" s="832" t="str">
        <f>RESUMO!H4</f>
        <v>BDI Aplicado</v>
      </c>
      <c r="O4" s="833"/>
      <c r="P4" s="831" t="s">
        <v>995</v>
      </c>
      <c r="Q4" s="831" t="s">
        <v>991</v>
      </c>
      <c r="R4" s="831" t="s">
        <v>992</v>
      </c>
      <c r="S4" s="831" t="s">
        <v>993</v>
      </c>
      <c r="T4" s="831" t="s">
        <v>1426</v>
      </c>
      <c r="U4" s="831" t="s">
        <v>996</v>
      </c>
    </row>
    <row r="5" spans="1:21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K5" s="258"/>
      <c r="L5" s="258"/>
      <c r="M5" s="258"/>
      <c r="N5" s="261" t="str">
        <f>RESUMO!H5</f>
        <v>Serviços</v>
      </c>
      <c r="O5" s="234">
        <f>RESUMO!I5</f>
        <v>0.27579999999999999</v>
      </c>
      <c r="P5" s="831"/>
      <c r="Q5" s="831"/>
      <c r="R5" s="831"/>
      <c r="S5" s="831"/>
      <c r="T5" s="831"/>
      <c r="U5" s="831"/>
    </row>
    <row r="6" spans="1:21" ht="12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K6" s="258"/>
      <c r="L6" s="258"/>
      <c r="M6" s="258"/>
      <c r="N6" s="261" t="str">
        <f>RESUMO!H6</f>
        <v>Serv Terc:</v>
      </c>
      <c r="O6" s="234">
        <f>RESUMO!I6</f>
        <v>0.1772</v>
      </c>
      <c r="P6" s="486">
        <v>1046.54</v>
      </c>
      <c r="Q6" s="486">
        <v>2.1443110153458065</v>
      </c>
      <c r="R6" s="486">
        <v>0.66029487645001628</v>
      </c>
      <c r="S6" s="486">
        <v>897.64290000000005</v>
      </c>
      <c r="T6" s="486">
        <v>230.34166666666667</v>
      </c>
      <c r="U6" s="486">
        <v>20</v>
      </c>
    </row>
    <row r="7" spans="1:21" ht="12" customHeight="1" x14ac:dyDescent="0.2">
      <c r="A7" s="253"/>
      <c r="B7" s="253"/>
      <c r="C7" s="260" t="s">
        <v>6</v>
      </c>
      <c r="D7" s="263" t="str">
        <f>RESUMO!A20</f>
        <v>U.C. : 06</v>
      </c>
      <c r="E7" s="258"/>
      <c r="F7" s="258"/>
      <c r="G7" s="260" t="s">
        <v>9</v>
      </c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  <c r="T7" s="486">
        <v>214.01126066666666</v>
      </c>
    </row>
    <row r="8" spans="1:21" ht="12" customHeight="1" thickBot="1" x14ac:dyDescent="0.25">
      <c r="A8" s="124"/>
      <c r="B8" s="125"/>
      <c r="C8" s="266" t="s">
        <v>8</v>
      </c>
      <c r="D8" s="267" t="str">
        <f>RESUMO!B20</f>
        <v>COLETOR 01</v>
      </c>
      <c r="E8" s="268"/>
      <c r="F8" s="268"/>
      <c r="G8" s="266"/>
      <c r="H8" s="123"/>
      <c r="I8" s="278"/>
      <c r="J8" s="278"/>
      <c r="K8" s="278"/>
      <c r="L8" s="278"/>
      <c r="M8" s="278"/>
      <c r="N8" s="271"/>
      <c r="O8" s="427"/>
      <c r="T8" s="486">
        <v>888.70585466666671</v>
      </c>
    </row>
    <row r="9" spans="1:21" ht="13.5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  <c r="T9" s="486">
        <v>162.87549599999997</v>
      </c>
    </row>
    <row r="10" spans="1:21" ht="12.75" x14ac:dyDescent="0.2">
      <c r="O10" s="19"/>
      <c r="T10" s="486">
        <v>207.30749999999998</v>
      </c>
    </row>
    <row r="11" spans="1:21" ht="11.25" customHeight="1" x14ac:dyDescent="0.2">
      <c r="A11" s="93">
        <f>RESUMO!A42</f>
        <v>1</v>
      </c>
      <c r="B11" s="93" t="str">
        <f>RESUMO!B21</f>
        <v>COLETOR 01 - SERVIÇOS</v>
      </c>
      <c r="H11" s="61"/>
      <c r="O11" s="19"/>
      <c r="T11" s="486">
        <v>1201.0319162000001</v>
      </c>
    </row>
    <row r="12" spans="1:21" ht="11.25" customHeight="1" x14ac:dyDescent="0.2">
      <c r="A12" s="129" t="s">
        <v>48</v>
      </c>
      <c r="B12" s="88" t="s">
        <v>16</v>
      </c>
      <c r="H12" s="61"/>
      <c r="O12" s="19"/>
      <c r="T12" s="486">
        <v>87.594861800000018</v>
      </c>
    </row>
    <row r="13" spans="1:21" ht="11.25" customHeight="1" x14ac:dyDescent="0.2">
      <c r="A13" s="129" t="s">
        <v>79</v>
      </c>
      <c r="B13" s="88" t="s">
        <v>80</v>
      </c>
      <c r="H13" s="61"/>
      <c r="O13" s="19"/>
    </row>
    <row r="14" spans="1:21" ht="11.25" customHeight="1" x14ac:dyDescent="0.2">
      <c r="A14" s="129" t="s">
        <v>209</v>
      </c>
      <c r="B14" s="88" t="s">
        <v>210</v>
      </c>
      <c r="G14" s="97" t="s">
        <v>17</v>
      </c>
      <c r="H14" s="308">
        <f>P6</f>
        <v>1046.54</v>
      </c>
      <c r="I14" s="323">
        <f>VLOOKUP(A14,'[1]TAB OGU JUN18'!$A:$G,6,"falso")</f>
        <v>1.2</v>
      </c>
      <c r="J14" s="323">
        <f>VLOOKUP(A14,'[1]TAB OGU JUN18'!$A:$G,4,"falso")</f>
        <v>0.82</v>
      </c>
      <c r="K14" s="308">
        <f>H14*J14</f>
        <v>858.16279999999995</v>
      </c>
      <c r="L14" s="323">
        <f>VLOOKUP(A14,'[1]TAB OGU JUN18'!$A:$G,5,"falso")</f>
        <v>0.38</v>
      </c>
      <c r="M14" s="308">
        <f>H14*L14</f>
        <v>397.68520000000001</v>
      </c>
      <c r="N14" s="308">
        <f>H14*I14</f>
        <v>1255.848</v>
      </c>
      <c r="O14" s="25">
        <f>N14/N17</f>
        <v>1</v>
      </c>
      <c r="Q14" s="311"/>
    </row>
    <row r="15" spans="1:21" ht="11.25" customHeight="1" x14ac:dyDescent="0.2">
      <c r="B15" s="258" t="s">
        <v>211</v>
      </c>
      <c r="G15" s="52"/>
      <c r="H15" s="324"/>
      <c r="I15" s="324"/>
      <c r="J15" s="313"/>
      <c r="K15" s="313"/>
      <c r="L15" s="313"/>
      <c r="M15" s="313"/>
      <c r="N15" s="309"/>
      <c r="O15" s="25"/>
      <c r="Q15" s="311"/>
    </row>
    <row r="16" spans="1:21" ht="11.25" customHeight="1" x14ac:dyDescent="0.2">
      <c r="G16" s="52"/>
      <c r="H16" s="324"/>
      <c r="I16" s="324"/>
      <c r="J16" s="313"/>
      <c r="K16" s="313"/>
      <c r="L16" s="313"/>
      <c r="M16" s="313"/>
      <c r="N16" s="309"/>
      <c r="O16" s="25"/>
      <c r="Q16" s="311"/>
    </row>
    <row r="17" spans="1:17" ht="11.25" customHeight="1" x14ac:dyDescent="0.2">
      <c r="B17" s="130" t="s">
        <v>18</v>
      </c>
      <c r="C17" s="131"/>
      <c r="D17" s="131"/>
      <c r="E17" s="131"/>
      <c r="F17" s="131"/>
      <c r="G17" s="53"/>
      <c r="H17" s="325"/>
      <c r="I17" s="325"/>
      <c r="J17" s="326"/>
      <c r="K17" s="326"/>
      <c r="L17" s="326"/>
      <c r="M17" s="326"/>
      <c r="N17" s="308">
        <f>SUM(N14:N14)</f>
        <v>1255.848</v>
      </c>
      <c r="O17" s="25">
        <f>N17/N29</f>
        <v>0.64516129032258063</v>
      </c>
      <c r="Q17" s="311"/>
    </row>
    <row r="18" spans="1:17" ht="11.25" customHeight="1" x14ac:dyDescent="0.2">
      <c r="B18" s="130"/>
      <c r="G18" s="52"/>
      <c r="H18" s="324"/>
      <c r="I18" s="324"/>
      <c r="J18" s="313"/>
      <c r="K18" s="313"/>
      <c r="L18" s="313"/>
      <c r="M18" s="313"/>
      <c r="N18" s="308"/>
      <c r="O18" s="25"/>
      <c r="Q18" s="311"/>
    </row>
    <row r="19" spans="1:17" ht="11.25" customHeight="1" x14ac:dyDescent="0.2">
      <c r="A19" s="98" t="s">
        <v>779</v>
      </c>
      <c r="B19" s="88" t="s">
        <v>780</v>
      </c>
      <c r="G19" s="52"/>
      <c r="H19" s="324"/>
      <c r="I19" s="324"/>
      <c r="J19" s="313"/>
      <c r="K19" s="313"/>
      <c r="L19" s="313"/>
      <c r="M19" s="313"/>
      <c r="N19" s="313"/>
      <c r="O19" s="19"/>
      <c r="Q19" s="311"/>
    </row>
    <row r="20" spans="1:17" ht="11.25" customHeight="1" x14ac:dyDescent="0.2">
      <c r="A20" s="98" t="s">
        <v>782</v>
      </c>
      <c r="B20" s="88" t="s">
        <v>781</v>
      </c>
      <c r="G20" s="97" t="s">
        <v>17</v>
      </c>
      <c r="H20" s="308">
        <f>H14</f>
        <v>1046.54</v>
      </c>
      <c r="I20" s="323">
        <f>VLOOKUP(A20,'[1]TAB OGU JUN18'!$A:$G,6,"falso")</f>
        <v>0.4</v>
      </c>
      <c r="J20" s="323">
        <f>VLOOKUP(A20,'[1]TAB OGU JUN18'!$A:$G,4,"falso")</f>
        <v>0.4</v>
      </c>
      <c r="K20" s="308">
        <f>H20*J20</f>
        <v>418.61599999999999</v>
      </c>
      <c r="L20" s="323">
        <f>VLOOKUP(A20,'[1]TAB OGU JUN18'!$A:$G,5,"falso")</f>
        <v>0</v>
      </c>
      <c r="M20" s="308"/>
      <c r="N20" s="308">
        <f>H20*I20</f>
        <v>418.61599999999999</v>
      </c>
      <c r="O20" s="25">
        <f>N20/N22</f>
        <v>1</v>
      </c>
      <c r="Q20" s="311"/>
    </row>
    <row r="21" spans="1:17" ht="11.25" customHeight="1" x14ac:dyDescent="0.2">
      <c r="G21" s="52"/>
      <c r="H21" s="324"/>
      <c r="I21" s="324"/>
      <c r="J21" s="313"/>
      <c r="K21" s="313"/>
      <c r="L21" s="313"/>
      <c r="M21" s="313"/>
      <c r="N21" s="313"/>
      <c r="O21" s="19"/>
      <c r="Q21" s="311"/>
    </row>
    <row r="22" spans="1:17" ht="11.25" customHeight="1" x14ac:dyDescent="0.2">
      <c r="B22" s="130" t="s">
        <v>18</v>
      </c>
      <c r="C22" s="131"/>
      <c r="D22" s="131"/>
      <c r="E22" s="131"/>
      <c r="F22" s="131"/>
      <c r="G22" s="53"/>
      <c r="H22" s="325"/>
      <c r="I22" s="325"/>
      <c r="J22" s="326"/>
      <c r="K22" s="326"/>
      <c r="L22" s="326"/>
      <c r="M22" s="326"/>
      <c r="N22" s="308">
        <f>N20</f>
        <v>418.61599999999999</v>
      </c>
      <c r="O22" s="25">
        <f>N22/N29</f>
        <v>0.21505376344086022</v>
      </c>
      <c r="Q22" s="311"/>
    </row>
    <row r="23" spans="1:17" ht="11.25" customHeight="1" x14ac:dyDescent="0.2">
      <c r="B23" s="130"/>
      <c r="G23" s="52"/>
      <c r="H23" s="324"/>
      <c r="I23" s="324"/>
      <c r="J23" s="313"/>
      <c r="K23" s="313"/>
      <c r="L23" s="313"/>
      <c r="M23" s="313"/>
      <c r="N23" s="308"/>
      <c r="O23" s="25"/>
      <c r="Q23" s="311"/>
    </row>
    <row r="24" spans="1:17" ht="11.25" customHeight="1" x14ac:dyDescent="0.2">
      <c r="A24" s="98" t="s">
        <v>82</v>
      </c>
      <c r="B24" s="88" t="s">
        <v>19</v>
      </c>
      <c r="G24" s="52"/>
      <c r="H24" s="19"/>
      <c r="I24" s="52"/>
      <c r="J24" s="52"/>
      <c r="K24" s="52"/>
      <c r="L24" s="52"/>
      <c r="M24" s="52"/>
      <c r="N24" s="52"/>
      <c r="O24" s="19"/>
    </row>
    <row r="25" spans="1:17" ht="11.25" customHeight="1" x14ac:dyDescent="0.2">
      <c r="A25" s="98" t="s">
        <v>83</v>
      </c>
      <c r="B25" s="88" t="s">
        <v>81</v>
      </c>
      <c r="G25" s="97" t="s">
        <v>17</v>
      </c>
      <c r="H25" s="308">
        <f>H20</f>
        <v>1046.54</v>
      </c>
      <c r="I25" s="323">
        <f>VLOOKUP(A25,'[1]TAB OGU JUN18'!$A:$G,6,"falso")</f>
        <v>0.26</v>
      </c>
      <c r="J25" s="323">
        <f>VLOOKUP(A25,'[1]TAB OGU JUN18'!$A:$G,4,"falso")</f>
        <v>0.26</v>
      </c>
      <c r="K25" s="308">
        <f>H25*J25</f>
        <v>272.10039999999998</v>
      </c>
      <c r="L25" s="323">
        <f>VLOOKUP(A25,'[1]TAB OGU JUN18'!$A:$G,5,"falso")</f>
        <v>0</v>
      </c>
      <c r="M25" s="308"/>
      <c r="N25" s="308">
        <f>H25*I25</f>
        <v>272.10039999999998</v>
      </c>
      <c r="O25" s="25">
        <f>N25/N27</f>
        <v>1</v>
      </c>
    </row>
    <row r="26" spans="1:17" ht="11.25" customHeight="1" x14ac:dyDescent="0.2">
      <c r="G26" s="52"/>
      <c r="H26" s="324"/>
      <c r="I26" s="313"/>
      <c r="J26" s="313"/>
      <c r="K26" s="313"/>
      <c r="L26" s="313"/>
      <c r="M26" s="313"/>
      <c r="N26" s="313"/>
      <c r="O26" s="19"/>
    </row>
    <row r="27" spans="1:17" ht="11.25" customHeight="1" x14ac:dyDescent="0.2">
      <c r="B27" s="130" t="s">
        <v>18</v>
      </c>
      <c r="C27" s="131"/>
      <c r="D27" s="131"/>
      <c r="E27" s="131"/>
      <c r="F27" s="131"/>
      <c r="G27" s="53"/>
      <c r="H27" s="325"/>
      <c r="I27" s="326"/>
      <c r="J27" s="326"/>
      <c r="K27" s="326"/>
      <c r="L27" s="326"/>
      <c r="M27" s="326"/>
      <c r="N27" s="308">
        <f>N25</f>
        <v>272.10039999999998</v>
      </c>
      <c r="O27" s="25">
        <f>N27/N29</f>
        <v>0.13978494623655913</v>
      </c>
    </row>
    <row r="28" spans="1:17" ht="11.25" customHeight="1" x14ac:dyDescent="0.2">
      <c r="B28" s="130"/>
      <c r="G28" s="52"/>
      <c r="H28" s="324"/>
      <c r="I28" s="313"/>
      <c r="J28" s="313"/>
      <c r="K28" s="313"/>
      <c r="L28" s="313"/>
      <c r="M28" s="313"/>
      <c r="N28" s="308"/>
      <c r="O28" s="25"/>
    </row>
    <row r="29" spans="1:17" s="132" customFormat="1" ht="11.25" customHeight="1" x14ac:dyDescent="0.2">
      <c r="B29" s="133" t="s">
        <v>20</v>
      </c>
      <c r="C29" s="134"/>
      <c r="D29" s="134"/>
      <c r="E29" s="134"/>
      <c r="F29" s="134"/>
      <c r="G29" s="78"/>
      <c r="H29" s="327"/>
      <c r="I29" s="328"/>
      <c r="J29" s="328"/>
      <c r="K29" s="328"/>
      <c r="L29" s="328"/>
      <c r="M29" s="328"/>
      <c r="N29" s="310">
        <f>N27+N17+N22</f>
        <v>1946.5644</v>
      </c>
      <c r="O29" s="77">
        <f>N29/N118</f>
        <v>2.2886219282851408E-2</v>
      </c>
    </row>
    <row r="30" spans="1:17" ht="11.25" customHeight="1" x14ac:dyDescent="0.2">
      <c r="G30" s="52"/>
      <c r="H30" s="324"/>
      <c r="I30" s="313"/>
      <c r="J30" s="313"/>
      <c r="K30" s="313"/>
      <c r="L30" s="313"/>
      <c r="M30" s="313"/>
      <c r="N30" s="313"/>
      <c r="O30" s="19"/>
    </row>
    <row r="31" spans="1:17" ht="11.25" customHeight="1" x14ac:dyDescent="0.2">
      <c r="A31" s="129" t="s">
        <v>93</v>
      </c>
      <c r="B31" s="88" t="s">
        <v>96</v>
      </c>
      <c r="H31" s="329"/>
      <c r="I31" s="311"/>
      <c r="J31" s="311"/>
      <c r="K31" s="311"/>
      <c r="L31" s="311"/>
      <c r="M31" s="311"/>
      <c r="N31" s="311"/>
      <c r="O31" s="19"/>
    </row>
    <row r="32" spans="1:17" ht="11.25" customHeight="1" x14ac:dyDescent="0.2">
      <c r="A32" s="129" t="s">
        <v>94</v>
      </c>
      <c r="B32" s="88" t="s">
        <v>97</v>
      </c>
      <c r="H32" s="329"/>
      <c r="I32" s="311"/>
      <c r="J32" s="311"/>
      <c r="K32" s="311"/>
      <c r="L32" s="311"/>
      <c r="M32" s="311"/>
      <c r="N32" s="311"/>
      <c r="O32" s="19"/>
    </row>
    <row r="33" spans="1:15" ht="11.25" customHeight="1" x14ac:dyDescent="0.2">
      <c r="A33" s="129" t="s">
        <v>95</v>
      </c>
      <c r="B33" s="88" t="s">
        <v>228</v>
      </c>
      <c r="G33" s="97" t="s">
        <v>32</v>
      </c>
      <c r="H33" s="308">
        <f>T6</f>
        <v>230.34166666666667</v>
      </c>
      <c r="I33" s="323">
        <f>VLOOKUP(A33,'[1]TAB OGU JUN18'!$A:$G,6,"falso")</f>
        <v>32.9</v>
      </c>
      <c r="J33" s="323">
        <f>VLOOKUP(A33,'[1]TAB OGU JUN18'!$A:$G,4,"falso")</f>
        <v>32.9</v>
      </c>
      <c r="K33" s="308">
        <f>H33*J33</f>
        <v>7578.2408333333333</v>
      </c>
      <c r="L33" s="323">
        <f>VLOOKUP(A33,'[1]TAB OGU JUN18'!$A:$G,5,"falso")</f>
        <v>0</v>
      </c>
      <c r="M33" s="308"/>
      <c r="N33" s="308">
        <f>H33*I33</f>
        <v>7578.2408333333333</v>
      </c>
      <c r="O33" s="25">
        <f>N33/N36</f>
        <v>0.4626372660898721</v>
      </c>
    </row>
    <row r="34" spans="1:15" ht="11.25" customHeight="1" x14ac:dyDescent="0.2">
      <c r="A34" s="129" t="s">
        <v>261</v>
      </c>
      <c r="B34" s="88" t="s">
        <v>643</v>
      </c>
      <c r="G34" s="97" t="s">
        <v>32</v>
      </c>
      <c r="H34" s="308">
        <f>T7</f>
        <v>214.01126066666666</v>
      </c>
      <c r="I34" s="323">
        <f>VLOOKUP(A34,'[1]TAB OGU JUN18'!$A:$G,6,"falso")</f>
        <v>41.13</v>
      </c>
      <c r="J34" s="323">
        <f>VLOOKUP(A34,'[1]TAB OGU JUN18'!$A:$G,4,"falso")</f>
        <v>41.13</v>
      </c>
      <c r="K34" s="308">
        <f>H34*J34</f>
        <v>8802.2831512200009</v>
      </c>
      <c r="L34" s="323">
        <f>VLOOKUP(A34,'[1]TAB OGU JUN18'!$A:$G,5,"falso")</f>
        <v>0</v>
      </c>
      <c r="M34" s="308"/>
      <c r="N34" s="308">
        <f>H34*I34</f>
        <v>8802.2831512200009</v>
      </c>
      <c r="O34" s="25">
        <f>N34/N36</f>
        <v>0.5373627339101279</v>
      </c>
    </row>
    <row r="35" spans="1:15" ht="11.25" customHeight="1" x14ac:dyDescent="0.2">
      <c r="G35" s="52"/>
      <c r="H35" s="324"/>
      <c r="I35" s="313"/>
      <c r="J35" s="313"/>
      <c r="K35" s="313"/>
      <c r="L35" s="313"/>
      <c r="M35" s="313"/>
      <c r="N35" s="309"/>
      <c r="O35" s="25"/>
    </row>
    <row r="36" spans="1:15" ht="11.25" customHeight="1" x14ac:dyDescent="0.2">
      <c r="B36" s="130" t="s">
        <v>18</v>
      </c>
      <c r="C36" s="131"/>
      <c r="D36" s="131"/>
      <c r="E36" s="131"/>
      <c r="F36" s="131"/>
      <c r="G36" s="53"/>
      <c r="H36" s="325"/>
      <c r="I36" s="326"/>
      <c r="J36" s="326"/>
      <c r="K36" s="326"/>
      <c r="L36" s="326"/>
      <c r="M36" s="326"/>
      <c r="N36" s="308">
        <f>SUM(N33:N34)</f>
        <v>16380.523984553334</v>
      </c>
      <c r="O36" s="25">
        <f>N36/N66</f>
        <v>0.4141561536243144</v>
      </c>
    </row>
    <row r="37" spans="1:15" ht="11.25" customHeight="1" x14ac:dyDescent="0.2">
      <c r="B37" s="130"/>
      <c r="G37" s="52"/>
      <c r="H37" s="324"/>
      <c r="I37" s="313"/>
      <c r="J37" s="313"/>
      <c r="K37" s="313"/>
      <c r="L37" s="313"/>
      <c r="M37" s="313"/>
      <c r="N37" s="308"/>
      <c r="O37" s="25"/>
    </row>
    <row r="38" spans="1:15" ht="11.25" customHeight="1" x14ac:dyDescent="0.2">
      <c r="A38" s="98" t="s">
        <v>98</v>
      </c>
      <c r="B38" s="88" t="s">
        <v>100</v>
      </c>
      <c r="G38" s="52"/>
      <c r="H38" s="324"/>
      <c r="I38" s="313"/>
      <c r="J38" s="313"/>
      <c r="K38" s="313"/>
      <c r="L38" s="313"/>
      <c r="M38" s="313"/>
      <c r="N38" s="313"/>
      <c r="O38" s="19"/>
    </row>
    <row r="39" spans="1:15" ht="11.25" customHeight="1" x14ac:dyDescent="0.2">
      <c r="A39" s="98" t="s">
        <v>99</v>
      </c>
      <c r="B39" s="88" t="s">
        <v>229</v>
      </c>
      <c r="G39" s="97" t="s">
        <v>32</v>
      </c>
      <c r="H39" s="308">
        <f>T8</f>
        <v>888.70585466666671</v>
      </c>
      <c r="I39" s="323">
        <f>VLOOKUP(A39,'[1]TAB OGU JUN18'!$A:$G,6,"falso")</f>
        <v>9.77</v>
      </c>
      <c r="J39" s="323">
        <f>VLOOKUP(A39,'[1]TAB OGU JUN18'!$A:$G,4,"falso")</f>
        <v>9.77</v>
      </c>
      <c r="K39" s="308">
        <f>H39*J39</f>
        <v>8682.6562000933336</v>
      </c>
      <c r="L39" s="323">
        <f>VLOOKUP(A39,'[1]TAB OGU JUN18'!$A:$G,5,"falso")</f>
        <v>0</v>
      </c>
      <c r="M39" s="308"/>
      <c r="N39" s="308">
        <f>H39*I39</f>
        <v>8682.6562000933336</v>
      </c>
      <c r="O39" s="25">
        <f>N39/N42</f>
        <v>0.8268923321148286</v>
      </c>
    </row>
    <row r="40" spans="1:15" ht="11.25" customHeight="1" x14ac:dyDescent="0.2">
      <c r="A40" s="98" t="s">
        <v>232</v>
      </c>
      <c r="B40" s="88" t="s">
        <v>558</v>
      </c>
      <c r="G40" s="97" t="s">
        <v>32</v>
      </c>
      <c r="H40" s="308">
        <f>T9</f>
        <v>162.87549599999997</v>
      </c>
      <c r="I40" s="323">
        <f>VLOOKUP(A40,'[1]TAB OGU JUN18'!$A:$G,6,"falso")</f>
        <v>11.16</v>
      </c>
      <c r="J40" s="323">
        <f>VLOOKUP(A40,'[1]TAB OGU JUN18'!$A:$G,4,"falso")</f>
        <v>11.16</v>
      </c>
      <c r="K40" s="308">
        <f>H40*J40</f>
        <v>1817.6905353599998</v>
      </c>
      <c r="L40" s="323">
        <f>VLOOKUP(A40,'[1]TAB OGU JUN18'!$A:$G,5,"falso")</f>
        <v>0</v>
      </c>
      <c r="M40" s="308"/>
      <c r="N40" s="308">
        <f>H40*I40</f>
        <v>1817.6905353599998</v>
      </c>
      <c r="O40" s="25">
        <f>N40/N42</f>
        <v>0.17310766788517146</v>
      </c>
    </row>
    <row r="41" spans="1:15" ht="11.25" customHeight="1" x14ac:dyDescent="0.2">
      <c r="G41" s="52"/>
      <c r="H41" s="324"/>
      <c r="I41" s="313"/>
      <c r="J41" s="313"/>
      <c r="K41" s="313"/>
      <c r="L41" s="313"/>
      <c r="M41" s="313"/>
      <c r="N41" s="313"/>
      <c r="O41" s="19"/>
    </row>
    <row r="42" spans="1:15" ht="11.25" customHeight="1" x14ac:dyDescent="0.2">
      <c r="B42" s="130" t="s">
        <v>18</v>
      </c>
      <c r="C42" s="131"/>
      <c r="D42" s="131"/>
      <c r="E42" s="131"/>
      <c r="F42" s="131"/>
      <c r="G42" s="53"/>
      <c r="H42" s="325"/>
      <c r="I42" s="326"/>
      <c r="J42" s="326"/>
      <c r="K42" s="326"/>
      <c r="L42" s="326"/>
      <c r="M42" s="326"/>
      <c r="N42" s="308">
        <f>N39+N40</f>
        <v>10500.346735453333</v>
      </c>
      <c r="O42" s="25">
        <f>N42/N66</f>
        <v>0.26548498813455768</v>
      </c>
    </row>
    <row r="43" spans="1:15" ht="11.25" customHeight="1" x14ac:dyDescent="0.2">
      <c r="B43" s="130"/>
      <c r="G43" s="52"/>
      <c r="H43" s="324"/>
      <c r="I43" s="313"/>
      <c r="J43" s="313"/>
      <c r="K43" s="313"/>
      <c r="L43" s="313"/>
      <c r="M43" s="313"/>
      <c r="N43" s="308"/>
      <c r="O43" s="25"/>
    </row>
    <row r="44" spans="1:15" ht="11.25" customHeight="1" x14ac:dyDescent="0.2">
      <c r="A44" s="98" t="s">
        <v>101</v>
      </c>
      <c r="B44" s="88" t="s">
        <v>21</v>
      </c>
      <c r="G44" s="97"/>
      <c r="H44" s="308"/>
      <c r="I44" s="308"/>
      <c r="J44" s="308"/>
      <c r="K44" s="308"/>
      <c r="L44" s="308"/>
      <c r="M44" s="308"/>
      <c r="N44" s="308"/>
      <c r="O44" s="25"/>
    </row>
    <row r="45" spans="1:15" ht="11.25" customHeight="1" x14ac:dyDescent="0.2">
      <c r="A45" s="98" t="s">
        <v>102</v>
      </c>
      <c r="B45" s="88" t="s">
        <v>104</v>
      </c>
      <c r="G45" s="97" t="s">
        <v>32</v>
      </c>
      <c r="H45" s="308">
        <f>T10</f>
        <v>207.30749999999998</v>
      </c>
      <c r="I45" s="323">
        <f>VLOOKUP(A45,'[1]TAB OGU JUN18'!$A:$G,6,"falso")</f>
        <v>7.4</v>
      </c>
      <c r="J45" s="323">
        <f>VLOOKUP(A45,'[1]TAB OGU JUN18'!$A:$G,4,"falso")</f>
        <v>7.4</v>
      </c>
      <c r="K45" s="308">
        <f>H45*J45</f>
        <v>1534.0754999999999</v>
      </c>
      <c r="L45" s="323">
        <f>VLOOKUP(A45,'[1]TAB OGU JUN18'!$A:$G,5,"falso")</f>
        <v>0</v>
      </c>
      <c r="M45" s="308"/>
      <c r="N45" s="308">
        <f>H45*I45</f>
        <v>1534.0754999999999</v>
      </c>
      <c r="O45" s="25">
        <f>N45/N48</f>
        <v>0.4917795071616598</v>
      </c>
    </row>
    <row r="46" spans="1:15" ht="11.25" customHeight="1" x14ac:dyDescent="0.2">
      <c r="A46" s="98" t="s">
        <v>103</v>
      </c>
      <c r="B46" s="88" t="s">
        <v>105</v>
      </c>
      <c r="G46" s="97" t="s">
        <v>32</v>
      </c>
      <c r="H46" s="308">
        <f>T11</f>
        <v>1201.0319162000001</v>
      </c>
      <c r="I46" s="323">
        <f>VLOOKUP(A46,'[1]TAB OGU JUN18'!$A:$G,6,"falso")</f>
        <v>1.32</v>
      </c>
      <c r="J46" s="323">
        <f>VLOOKUP(A46,'[1]TAB OGU JUN18'!$A:$G,4,"falso")</f>
        <v>1.32</v>
      </c>
      <c r="K46" s="308">
        <f>H46*J46</f>
        <v>1585.3621293840001</v>
      </c>
      <c r="L46" s="323">
        <f>VLOOKUP(A46,'[1]TAB OGU JUN18'!$A:$G,5,"falso")</f>
        <v>0</v>
      </c>
      <c r="M46" s="308"/>
      <c r="N46" s="308">
        <f>H46*I46</f>
        <v>1585.3621293840001</v>
      </c>
      <c r="O46" s="25">
        <f>N46/N48</f>
        <v>0.50822049283834025</v>
      </c>
    </row>
    <row r="47" spans="1:15" ht="11.25" customHeight="1" x14ac:dyDescent="0.2">
      <c r="B47" s="130"/>
      <c r="G47" s="52"/>
      <c r="H47" s="324"/>
      <c r="I47" s="313"/>
      <c r="J47" s="313"/>
      <c r="K47" s="313"/>
      <c r="L47" s="313"/>
      <c r="M47" s="313"/>
      <c r="N47" s="308"/>
      <c r="O47" s="25"/>
    </row>
    <row r="48" spans="1:15" ht="11.25" customHeight="1" x14ac:dyDescent="0.2">
      <c r="B48" s="130" t="s">
        <v>18</v>
      </c>
      <c r="C48" s="131"/>
      <c r="D48" s="131"/>
      <c r="E48" s="131"/>
      <c r="F48" s="131"/>
      <c r="G48" s="53"/>
      <c r="H48" s="325"/>
      <c r="I48" s="326"/>
      <c r="J48" s="326"/>
      <c r="K48" s="326"/>
      <c r="L48" s="326"/>
      <c r="M48" s="326"/>
      <c r="N48" s="308">
        <f>N46+N45</f>
        <v>3119.437629384</v>
      </c>
      <c r="O48" s="25">
        <f>N48/N66</f>
        <v>7.8870144280787827E-2</v>
      </c>
    </row>
    <row r="49" spans="1:15" ht="11.25" customHeight="1" x14ac:dyDescent="0.2">
      <c r="B49" s="130"/>
      <c r="G49" s="52"/>
      <c r="H49" s="324"/>
      <c r="I49" s="313"/>
      <c r="J49" s="313"/>
      <c r="K49" s="313"/>
      <c r="L49" s="313"/>
      <c r="M49" s="313"/>
      <c r="N49" s="308"/>
      <c r="O49" s="25"/>
    </row>
    <row r="50" spans="1:15" ht="11.25" customHeight="1" x14ac:dyDescent="0.2">
      <c r="A50" s="98" t="s">
        <v>106</v>
      </c>
      <c r="B50" s="88" t="s">
        <v>109</v>
      </c>
      <c r="G50" s="97"/>
      <c r="H50" s="308"/>
      <c r="I50" s="308"/>
      <c r="J50" s="308"/>
      <c r="K50" s="308"/>
      <c r="L50" s="308"/>
      <c r="M50" s="308"/>
      <c r="N50" s="308"/>
      <c r="O50" s="25"/>
    </row>
    <row r="51" spans="1:15" ht="11.25" customHeight="1" x14ac:dyDescent="0.2">
      <c r="A51" s="98" t="s">
        <v>107</v>
      </c>
      <c r="B51" s="88" t="s">
        <v>104</v>
      </c>
      <c r="G51" s="97" t="s">
        <v>32</v>
      </c>
      <c r="H51" s="308">
        <f>H45</f>
        <v>207.30749999999998</v>
      </c>
      <c r="I51" s="323">
        <f>VLOOKUP(A51,'[1]TAB OGU JUN18'!$A:$G,6,"falso")</f>
        <v>20.56</v>
      </c>
      <c r="J51" s="323">
        <f>VLOOKUP(A51,'[1]TAB OGU JUN18'!$A:$G,4,"falso")</f>
        <v>20.56</v>
      </c>
      <c r="K51" s="308">
        <f>H51*J51</f>
        <v>4262.2421999999997</v>
      </c>
      <c r="L51" s="323">
        <f>VLOOKUP(A51,'[1]TAB OGU JUN18'!$A:$G,5,"falso")</f>
        <v>0</v>
      </c>
      <c r="M51" s="308"/>
      <c r="N51" s="308">
        <f>H51*I51</f>
        <v>4262.2421999999997</v>
      </c>
      <c r="O51" s="25">
        <f>N51/N54</f>
        <v>0.4670222845171032</v>
      </c>
    </row>
    <row r="52" spans="1:15" ht="11.25" customHeight="1" x14ac:dyDescent="0.2">
      <c r="A52" s="98" t="s">
        <v>108</v>
      </c>
      <c r="B52" s="88" t="s">
        <v>105</v>
      </c>
      <c r="G52" s="97" t="s">
        <v>32</v>
      </c>
      <c r="H52" s="308">
        <f>H46</f>
        <v>1201.0319162000001</v>
      </c>
      <c r="I52" s="323">
        <f>VLOOKUP(A52,'[1]TAB OGU JUN18'!$A:$G,6,"falso")</f>
        <v>4.05</v>
      </c>
      <c r="J52" s="323">
        <f>VLOOKUP(A52,'[1]TAB OGU JUN18'!$A:$G,4,"falso")</f>
        <v>4.05</v>
      </c>
      <c r="K52" s="308">
        <f>H52*J52</f>
        <v>4864.1792606099998</v>
      </c>
      <c r="L52" s="323">
        <f>VLOOKUP(A52,'[1]TAB OGU JUN18'!$A:$G,5,"falso")</f>
        <v>0</v>
      </c>
      <c r="M52" s="308"/>
      <c r="N52" s="308">
        <f>H52*I52</f>
        <v>4864.1792606099998</v>
      </c>
      <c r="O52" s="25">
        <f>N52/N54</f>
        <v>0.53297771548289685</v>
      </c>
    </row>
    <row r="53" spans="1:15" ht="11.25" customHeight="1" x14ac:dyDescent="0.2">
      <c r="B53" s="130"/>
      <c r="G53" s="52"/>
      <c r="H53" s="324"/>
      <c r="I53" s="313"/>
      <c r="J53" s="313"/>
      <c r="K53" s="313"/>
      <c r="L53" s="313"/>
      <c r="M53" s="313"/>
      <c r="N53" s="308"/>
      <c r="O53" s="25"/>
    </row>
    <row r="54" spans="1:15" ht="11.25" customHeight="1" x14ac:dyDescent="0.2">
      <c r="B54" s="130" t="s">
        <v>18</v>
      </c>
      <c r="C54" s="131"/>
      <c r="D54" s="131"/>
      <c r="E54" s="131"/>
      <c r="F54" s="131"/>
      <c r="G54" s="53"/>
      <c r="H54" s="325"/>
      <c r="I54" s="326"/>
      <c r="J54" s="326"/>
      <c r="K54" s="326"/>
      <c r="L54" s="326"/>
      <c r="M54" s="326"/>
      <c r="N54" s="308">
        <f>N52+N51</f>
        <v>9126.4214606099995</v>
      </c>
      <c r="O54" s="25">
        <f>N54/N66</f>
        <v>0.23074741760672082</v>
      </c>
    </row>
    <row r="55" spans="1:15" ht="11.25" customHeight="1" x14ac:dyDescent="0.2">
      <c r="B55" s="130"/>
      <c r="G55" s="52"/>
      <c r="H55" s="324"/>
      <c r="I55" s="313"/>
      <c r="J55" s="313"/>
      <c r="K55" s="313"/>
      <c r="L55" s="313"/>
      <c r="M55" s="313"/>
      <c r="N55" s="308"/>
      <c r="O55" s="25"/>
    </row>
    <row r="56" spans="1:15" ht="11.25" customHeight="1" x14ac:dyDescent="0.2">
      <c r="A56" s="98" t="s">
        <v>110</v>
      </c>
      <c r="B56" s="88" t="s">
        <v>112</v>
      </c>
      <c r="G56" s="52"/>
      <c r="H56" s="324"/>
      <c r="I56" s="313"/>
      <c r="J56" s="313"/>
      <c r="K56" s="313"/>
      <c r="L56" s="313"/>
      <c r="M56" s="313"/>
      <c r="N56" s="313"/>
      <c r="O56" s="19"/>
    </row>
    <row r="57" spans="1:15" ht="11.25" customHeight="1" x14ac:dyDescent="0.2">
      <c r="A57" s="98" t="s">
        <v>111</v>
      </c>
      <c r="B57" s="88" t="s">
        <v>113</v>
      </c>
      <c r="G57" s="97" t="s">
        <v>32</v>
      </c>
      <c r="H57" s="308">
        <f>T12</f>
        <v>87.594861800000018</v>
      </c>
      <c r="I57" s="323">
        <f>VLOOKUP(A57,'[1]TAB OGU JUN18'!$A:$G,6,"falso")</f>
        <v>1.85</v>
      </c>
      <c r="J57" s="323">
        <f>VLOOKUP(A57,'[1]TAB OGU JUN18'!$A:$G,4,"falso")</f>
        <v>1.85</v>
      </c>
      <c r="K57" s="308">
        <f>H57*J57</f>
        <v>162.05049433000005</v>
      </c>
      <c r="L57" s="323">
        <f>VLOOKUP(A57,'[1]TAB OGU JUN18'!$A:$G,5,"falso")</f>
        <v>0</v>
      </c>
      <c r="M57" s="308"/>
      <c r="N57" s="308">
        <f>H57*I57</f>
        <v>162.05049433000005</v>
      </c>
      <c r="O57" s="25">
        <f>N57/N59</f>
        <v>1</v>
      </c>
    </row>
    <row r="58" spans="1:15" ht="11.25" customHeight="1" x14ac:dyDescent="0.2">
      <c r="G58" s="52"/>
      <c r="H58" s="324"/>
      <c r="I58" s="313"/>
      <c r="J58" s="313"/>
      <c r="K58" s="313"/>
      <c r="L58" s="313"/>
      <c r="M58" s="313"/>
      <c r="N58" s="313"/>
      <c r="O58" s="19"/>
    </row>
    <row r="59" spans="1:15" ht="11.25" customHeight="1" x14ac:dyDescent="0.2">
      <c r="B59" s="130" t="s">
        <v>18</v>
      </c>
      <c r="C59" s="131"/>
      <c r="D59" s="131"/>
      <c r="E59" s="131"/>
      <c r="F59" s="131"/>
      <c r="G59" s="53"/>
      <c r="H59" s="325"/>
      <c r="I59" s="326"/>
      <c r="J59" s="326"/>
      <c r="K59" s="326"/>
      <c r="L59" s="326"/>
      <c r="M59" s="326"/>
      <c r="N59" s="308">
        <f>N57</f>
        <v>162.05049433000005</v>
      </c>
      <c r="O59" s="25">
        <f>N59/N66</f>
        <v>4.0971955163290018E-3</v>
      </c>
    </row>
    <row r="60" spans="1:15" ht="11.25" customHeight="1" x14ac:dyDescent="0.2">
      <c r="B60" s="130"/>
      <c r="G60" s="52"/>
      <c r="H60" s="324"/>
      <c r="I60" s="313"/>
      <c r="J60" s="313"/>
      <c r="K60" s="313"/>
      <c r="L60" s="313"/>
      <c r="M60" s="313"/>
      <c r="N60" s="308"/>
      <c r="O60" s="25"/>
    </row>
    <row r="61" spans="1:15" ht="11.25" customHeight="1" x14ac:dyDescent="0.2">
      <c r="A61" s="98" t="s">
        <v>114</v>
      </c>
      <c r="B61" s="88" t="s">
        <v>737</v>
      </c>
      <c r="G61" s="52"/>
      <c r="H61" s="324"/>
      <c r="I61" s="313"/>
      <c r="J61" s="313"/>
      <c r="K61" s="313"/>
      <c r="L61" s="313"/>
      <c r="M61" s="313"/>
      <c r="N61" s="313"/>
      <c r="O61" s="19"/>
    </row>
    <row r="62" spans="1:15" ht="11.25" customHeight="1" x14ac:dyDescent="0.2">
      <c r="A62" s="98" t="s">
        <v>115</v>
      </c>
      <c r="B62" s="88" t="s">
        <v>116</v>
      </c>
      <c r="G62" s="97" t="s">
        <v>180</v>
      </c>
      <c r="H62" s="308">
        <f>H57*3</f>
        <v>262.78458540000008</v>
      </c>
      <c r="I62" s="323">
        <f>VLOOKUP(A62,'[1]TAB OGU JUN18'!$A:$G,6,"falso")</f>
        <v>1</v>
      </c>
      <c r="J62" s="323">
        <f>VLOOKUP(A62,'[1]TAB OGU JUN18'!$A:$G,4,"falso")</f>
        <v>1</v>
      </c>
      <c r="K62" s="308">
        <f>H62*J62</f>
        <v>262.78458540000008</v>
      </c>
      <c r="L62" s="323">
        <f>VLOOKUP(A62,'[1]TAB OGU JUN18'!$A:$G,5,"falso")</f>
        <v>0</v>
      </c>
      <c r="M62" s="308"/>
      <c r="N62" s="308">
        <f>H62*I62</f>
        <v>262.78458540000008</v>
      </c>
      <c r="O62" s="25">
        <f>N62/N64</f>
        <v>1</v>
      </c>
    </row>
    <row r="63" spans="1:15" ht="11.25" customHeight="1" x14ac:dyDescent="0.2">
      <c r="G63" s="52"/>
      <c r="H63" s="324"/>
      <c r="I63" s="313"/>
      <c r="J63" s="313"/>
      <c r="K63" s="313"/>
      <c r="L63" s="313"/>
      <c r="M63" s="313"/>
      <c r="N63" s="313"/>
      <c r="O63" s="19"/>
    </row>
    <row r="64" spans="1:15" ht="11.25" customHeight="1" x14ac:dyDescent="0.2">
      <c r="B64" s="130" t="s">
        <v>18</v>
      </c>
      <c r="C64" s="131"/>
      <c r="D64" s="131"/>
      <c r="E64" s="131"/>
      <c r="F64" s="131"/>
      <c r="G64" s="53"/>
      <c r="H64" s="325"/>
      <c r="I64" s="326"/>
      <c r="J64" s="326"/>
      <c r="K64" s="326"/>
      <c r="L64" s="326"/>
      <c r="M64" s="326"/>
      <c r="N64" s="308">
        <f>N62</f>
        <v>262.78458540000008</v>
      </c>
      <c r="O64" s="25">
        <f>N64/N66</f>
        <v>6.6441008372902727E-3</v>
      </c>
    </row>
    <row r="65" spans="1:17" ht="11.25" customHeight="1" x14ac:dyDescent="0.2">
      <c r="B65" s="130"/>
      <c r="G65" s="52"/>
      <c r="H65" s="324"/>
      <c r="I65" s="313"/>
      <c r="J65" s="313"/>
      <c r="K65" s="313"/>
      <c r="L65" s="313"/>
      <c r="M65" s="313"/>
      <c r="N65" s="308"/>
      <c r="O65" s="25"/>
    </row>
    <row r="66" spans="1:17" s="132" customFormat="1" ht="11.25" customHeight="1" x14ac:dyDescent="0.2">
      <c r="B66" s="133" t="s">
        <v>20</v>
      </c>
      <c r="C66" s="134"/>
      <c r="D66" s="134"/>
      <c r="E66" s="134"/>
      <c r="F66" s="134"/>
      <c r="G66" s="78"/>
      <c r="H66" s="327"/>
      <c r="I66" s="328"/>
      <c r="J66" s="328"/>
      <c r="K66" s="328"/>
      <c r="L66" s="328"/>
      <c r="M66" s="328"/>
      <c r="N66" s="310">
        <f>N64+N59+N54+N48+N42+N36</f>
        <v>39551.564889730667</v>
      </c>
      <c r="O66" s="77">
        <f>N66/N118</f>
        <v>0.46501712814962748</v>
      </c>
    </row>
    <row r="67" spans="1:17" ht="11.25" customHeight="1" x14ac:dyDescent="0.2">
      <c r="B67" s="130"/>
      <c r="G67" s="52"/>
      <c r="H67" s="324"/>
      <c r="I67" s="313"/>
      <c r="J67" s="313"/>
      <c r="K67" s="313"/>
      <c r="L67" s="313"/>
      <c r="M67" s="313"/>
      <c r="N67" s="308"/>
      <c r="O67" s="25"/>
    </row>
    <row r="68" spans="1:17" ht="11.25" customHeight="1" x14ac:dyDescent="0.2">
      <c r="A68" s="129" t="s">
        <v>117</v>
      </c>
      <c r="B68" s="88" t="s">
        <v>22</v>
      </c>
      <c r="H68" s="329"/>
      <c r="I68" s="311"/>
      <c r="J68" s="311"/>
      <c r="K68" s="311"/>
      <c r="L68" s="311"/>
      <c r="M68" s="311"/>
      <c r="N68" s="311"/>
      <c r="O68" s="19"/>
    </row>
    <row r="69" spans="1:17" ht="11.25" customHeight="1" x14ac:dyDescent="0.2">
      <c r="A69" s="129" t="s">
        <v>118</v>
      </c>
      <c r="B69" s="88" t="s">
        <v>23</v>
      </c>
      <c r="H69" s="329"/>
      <c r="I69" s="311"/>
      <c r="J69" s="311"/>
      <c r="K69" s="311"/>
      <c r="L69" s="311"/>
      <c r="M69" s="311"/>
      <c r="N69" s="311"/>
      <c r="O69" s="19"/>
    </row>
    <row r="70" spans="1:17" ht="11.25" customHeight="1" x14ac:dyDescent="0.2">
      <c r="A70" s="129" t="s">
        <v>119</v>
      </c>
      <c r="B70" s="88" t="s">
        <v>120</v>
      </c>
      <c r="G70" s="97" t="s">
        <v>31</v>
      </c>
      <c r="H70" s="308">
        <f>0.95*S6</f>
        <v>852.76075500000002</v>
      </c>
      <c r="I70" s="323">
        <f>VLOOKUP(A70,'[1]TAB OGU JUN18'!$A:$G,6,"falso")</f>
        <v>14.81</v>
      </c>
      <c r="J70" s="323">
        <f>VLOOKUP(A70,'[1]TAB OGU JUN18'!$A:$G,4,"falso")</f>
        <v>13.63</v>
      </c>
      <c r="K70" s="308">
        <f>H70*J70</f>
        <v>11623.129090650002</v>
      </c>
      <c r="L70" s="323">
        <f>VLOOKUP(A70,'[1]TAB OGU JUN18'!$A:$G,5,"falso")</f>
        <v>1.18</v>
      </c>
      <c r="M70" s="308">
        <f>H70*L70</f>
        <v>1006.2576908999999</v>
      </c>
      <c r="N70" s="308">
        <f>H70*I70</f>
        <v>12629.38678155</v>
      </c>
      <c r="O70" s="25">
        <f>N70/N73</f>
        <v>0.92425685662670387</v>
      </c>
    </row>
    <row r="71" spans="1:17" ht="11.25" customHeight="1" x14ac:dyDescent="0.2">
      <c r="A71" s="129" t="s">
        <v>224</v>
      </c>
      <c r="B71" s="88" t="s">
        <v>225</v>
      </c>
      <c r="G71" s="97" t="s">
        <v>31</v>
      </c>
      <c r="H71" s="308">
        <f>0.05*S6</f>
        <v>44.882145000000008</v>
      </c>
      <c r="I71" s="323">
        <f>VLOOKUP(A71,'[1]TAB OGU JUN18'!$A:$G,6,"falso")</f>
        <v>23.06</v>
      </c>
      <c r="J71" s="323">
        <f>VLOOKUP(A71,'[1]TAB OGU JUN18'!$A:$G,4,"falso")</f>
        <v>22.37</v>
      </c>
      <c r="K71" s="308">
        <f>H71*J71</f>
        <v>1004.0135836500002</v>
      </c>
      <c r="L71" s="323">
        <f>VLOOKUP(A71,'[1]TAB OGU JUN18'!$A:$G,5,"falso")-0.01</f>
        <v>0.67999999999999994</v>
      </c>
      <c r="M71" s="308">
        <f>H71*L71</f>
        <v>30.519858600000003</v>
      </c>
      <c r="N71" s="308">
        <f>H71*I71</f>
        <v>1034.9822637000002</v>
      </c>
      <c r="O71" s="25">
        <f>N71/N73</f>
        <v>7.5743143373296129E-2</v>
      </c>
    </row>
    <row r="72" spans="1:17" ht="11.25" customHeight="1" x14ac:dyDescent="0.2">
      <c r="B72" s="130"/>
      <c r="G72" s="52"/>
      <c r="H72" s="324"/>
      <c r="I72" s="313"/>
      <c r="J72" s="313"/>
      <c r="K72" s="313"/>
      <c r="L72" s="313"/>
      <c r="M72" s="313"/>
      <c r="N72" s="308"/>
      <c r="O72" s="25"/>
    </row>
    <row r="73" spans="1:17" ht="11.25" customHeight="1" x14ac:dyDescent="0.2">
      <c r="B73" s="130" t="s">
        <v>18</v>
      </c>
      <c r="C73" s="131"/>
      <c r="D73" s="131"/>
      <c r="E73" s="131"/>
      <c r="F73" s="131"/>
      <c r="G73" s="53"/>
      <c r="H73" s="325"/>
      <c r="I73" s="326"/>
      <c r="J73" s="326"/>
      <c r="K73" s="326"/>
      <c r="L73" s="326"/>
      <c r="M73" s="326"/>
      <c r="N73" s="308">
        <f>N70+N71</f>
        <v>13664.36904525</v>
      </c>
      <c r="O73" s="25">
        <f>N73/N80</f>
        <v>1</v>
      </c>
    </row>
    <row r="74" spans="1:17" ht="12.75" hidden="1" x14ac:dyDescent="0.2">
      <c r="B74" s="130"/>
      <c r="G74" s="52"/>
      <c r="H74" s="324"/>
      <c r="I74" s="324"/>
      <c r="J74" s="313"/>
      <c r="K74" s="313"/>
      <c r="L74" s="313"/>
      <c r="M74" s="313"/>
      <c r="N74" s="308"/>
      <c r="O74" s="25"/>
      <c r="Q74" s="311"/>
    </row>
    <row r="75" spans="1:17" ht="12.75" hidden="1" x14ac:dyDescent="0.2">
      <c r="A75" s="129" t="s">
        <v>304</v>
      </c>
      <c r="B75" s="88" t="s">
        <v>305</v>
      </c>
      <c r="H75" s="329"/>
      <c r="I75" s="329"/>
      <c r="J75" s="311"/>
      <c r="K75" s="311"/>
      <c r="L75" s="311"/>
      <c r="M75" s="311"/>
      <c r="N75" s="311"/>
      <c r="O75" s="19"/>
      <c r="Q75" s="311"/>
    </row>
    <row r="76" spans="1:17" ht="12.75" hidden="1" x14ac:dyDescent="0.2">
      <c r="A76" s="129" t="s">
        <v>306</v>
      </c>
      <c r="B76" s="88" t="s">
        <v>307</v>
      </c>
      <c r="G76" s="97" t="s">
        <v>31</v>
      </c>
      <c r="H76" s="308"/>
      <c r="I76" s="323">
        <f>VLOOKUP(A76,'[1]TAB OGU JUN18'!$A:$G,6,"falso")</f>
        <v>144.25</v>
      </c>
      <c r="J76" s="323">
        <f>VLOOKUP(A76,'[1]TAB OGU JUN18'!$A:$G,4,"falso")</f>
        <v>134.15</v>
      </c>
      <c r="K76" s="308">
        <f>H76*J76</f>
        <v>0</v>
      </c>
      <c r="L76" s="323">
        <f>VLOOKUP(A76,'[1]TAB OGU JUN18'!$A:$G,5,"falso")</f>
        <v>10.1</v>
      </c>
      <c r="M76" s="308">
        <f>H76*L76</f>
        <v>0</v>
      </c>
      <c r="N76" s="308">
        <f>H76*I76</f>
        <v>0</v>
      </c>
      <c r="O76" s="25" t="e">
        <f>N76/N78</f>
        <v>#DIV/0!</v>
      </c>
      <c r="Q76" s="311"/>
    </row>
    <row r="77" spans="1:17" ht="12.75" hidden="1" x14ac:dyDescent="0.2">
      <c r="B77" s="130"/>
      <c r="G77" s="52"/>
      <c r="H77" s="324"/>
      <c r="I77" s="324"/>
      <c r="J77" s="313"/>
      <c r="K77" s="313"/>
      <c r="L77" s="313"/>
      <c r="M77" s="313"/>
      <c r="N77" s="308"/>
      <c r="O77" s="25"/>
      <c r="Q77" s="311"/>
    </row>
    <row r="78" spans="1:17" ht="12.75" hidden="1" x14ac:dyDescent="0.2">
      <c r="B78" s="130" t="s">
        <v>18</v>
      </c>
      <c r="C78" s="131"/>
      <c r="D78" s="131"/>
      <c r="E78" s="131"/>
      <c r="F78" s="131"/>
      <c r="G78" s="53"/>
      <c r="H78" s="325"/>
      <c r="I78" s="325"/>
      <c r="J78" s="326"/>
      <c r="K78" s="326"/>
      <c r="L78" s="326"/>
      <c r="M78" s="326"/>
      <c r="N78" s="308">
        <f>N76</f>
        <v>0</v>
      </c>
      <c r="O78" s="25">
        <f>N78/N80</f>
        <v>0</v>
      </c>
      <c r="Q78" s="311"/>
    </row>
    <row r="79" spans="1:17" ht="11.25" customHeight="1" x14ac:dyDescent="0.2">
      <c r="B79" s="130"/>
      <c r="G79" s="52"/>
      <c r="H79" s="324"/>
      <c r="I79" s="313"/>
      <c r="J79" s="313"/>
      <c r="K79" s="313"/>
      <c r="L79" s="313"/>
      <c r="M79" s="313"/>
      <c r="N79" s="308"/>
      <c r="O79" s="25"/>
    </row>
    <row r="80" spans="1:17" s="132" customFormat="1" ht="11.25" customHeight="1" x14ac:dyDescent="0.2">
      <c r="B80" s="133" t="s">
        <v>20</v>
      </c>
      <c r="C80" s="134"/>
      <c r="D80" s="134"/>
      <c r="E80" s="134"/>
      <c r="F80" s="134"/>
      <c r="G80" s="78"/>
      <c r="H80" s="327"/>
      <c r="I80" s="328"/>
      <c r="J80" s="328"/>
      <c r="K80" s="328"/>
      <c r="L80" s="328"/>
      <c r="M80" s="328"/>
      <c r="N80" s="310">
        <f>N73+N78</f>
        <v>13664.36904525</v>
      </c>
      <c r="O80" s="77">
        <f>N80/N118</f>
        <v>0.16065522740033591</v>
      </c>
    </row>
    <row r="81" spans="1:17" ht="11.25" customHeight="1" x14ac:dyDescent="0.2">
      <c r="B81" s="130"/>
      <c r="G81" s="52"/>
      <c r="H81" s="324"/>
      <c r="I81" s="313"/>
      <c r="J81" s="313"/>
      <c r="K81" s="313"/>
      <c r="L81" s="313"/>
      <c r="M81" s="313"/>
      <c r="N81" s="308"/>
      <c r="O81" s="25"/>
    </row>
    <row r="82" spans="1:17" ht="11.25" customHeight="1" x14ac:dyDescent="0.2">
      <c r="A82" s="129" t="s">
        <v>124</v>
      </c>
      <c r="B82" s="88" t="s">
        <v>121</v>
      </c>
      <c r="H82" s="329"/>
      <c r="I82" s="311"/>
      <c r="J82" s="311"/>
      <c r="K82" s="311"/>
      <c r="L82" s="311"/>
      <c r="M82" s="311"/>
      <c r="N82" s="311"/>
      <c r="O82" s="19"/>
    </row>
    <row r="83" spans="1:17" ht="11.25" customHeight="1" x14ac:dyDescent="0.2">
      <c r="A83" s="129" t="s">
        <v>125</v>
      </c>
      <c r="B83" s="88" t="s">
        <v>122</v>
      </c>
      <c r="H83" s="329"/>
      <c r="I83" s="311"/>
      <c r="J83" s="311"/>
      <c r="K83" s="311"/>
      <c r="L83" s="311"/>
      <c r="M83" s="311"/>
      <c r="N83" s="311"/>
      <c r="O83" s="19"/>
    </row>
    <row r="84" spans="1:17" ht="11.25" customHeight="1" x14ac:dyDescent="0.2">
      <c r="A84" s="129" t="s">
        <v>126</v>
      </c>
      <c r="B84" s="88" t="s">
        <v>189</v>
      </c>
      <c r="G84" s="97" t="s">
        <v>123</v>
      </c>
      <c r="H84" s="308">
        <f>((H14*R6*Q6)*0.06*1000)/20000</f>
        <v>4.4453175581380071</v>
      </c>
      <c r="I84" s="323">
        <f>VLOOKUP(A84,'[1]TAB OGU JUN18'!$A:$G,6,"falso")</f>
        <v>5.52</v>
      </c>
      <c r="J84" s="323">
        <f>VLOOKUP(A84,'[1]TAB OGU JUN18'!$A:$G,4,"falso")</f>
        <v>5.52</v>
      </c>
      <c r="K84" s="308">
        <f>H84*J84</f>
        <v>24.538152920921796</v>
      </c>
      <c r="L84" s="323">
        <f>VLOOKUP(A84,'[1]TAB OGU JUN18'!$A:$G,5,"falso")</f>
        <v>0</v>
      </c>
      <c r="M84" s="308"/>
      <c r="N84" s="308">
        <f>H84*I84</f>
        <v>24.538152920921796</v>
      </c>
      <c r="O84" s="25">
        <f>N84/N86</f>
        <v>1</v>
      </c>
    </row>
    <row r="85" spans="1:17" ht="11.25" customHeight="1" x14ac:dyDescent="0.2">
      <c r="B85" s="130"/>
      <c r="G85" s="52"/>
      <c r="H85" s="324"/>
      <c r="I85" s="313"/>
      <c r="J85" s="313"/>
      <c r="K85" s="313"/>
      <c r="L85" s="313"/>
      <c r="M85" s="313"/>
      <c r="N85" s="308"/>
      <c r="O85" s="25"/>
    </row>
    <row r="86" spans="1:17" ht="11.25" customHeight="1" x14ac:dyDescent="0.2">
      <c r="B86" s="130" t="s">
        <v>18</v>
      </c>
      <c r="C86" s="131"/>
      <c r="D86" s="131"/>
      <c r="E86" s="131"/>
      <c r="F86" s="131"/>
      <c r="G86" s="53"/>
      <c r="H86" s="325"/>
      <c r="I86" s="326"/>
      <c r="J86" s="326"/>
      <c r="K86" s="326"/>
      <c r="L86" s="326"/>
      <c r="M86" s="326"/>
      <c r="N86" s="308">
        <f>N84</f>
        <v>24.538152920921796</v>
      </c>
      <c r="O86" s="25">
        <f>N86/N88</f>
        <v>1</v>
      </c>
    </row>
    <row r="87" spans="1:17" ht="11.25" customHeight="1" x14ac:dyDescent="0.2">
      <c r="B87" s="130"/>
      <c r="G87" s="52"/>
      <c r="H87" s="324"/>
      <c r="I87" s="313"/>
      <c r="J87" s="313"/>
      <c r="K87" s="313"/>
      <c r="L87" s="313"/>
      <c r="M87" s="313"/>
      <c r="N87" s="308"/>
      <c r="O87" s="25"/>
    </row>
    <row r="88" spans="1:17" s="132" customFormat="1" ht="11.25" customHeight="1" x14ac:dyDescent="0.2">
      <c r="B88" s="133" t="s">
        <v>20</v>
      </c>
      <c r="C88" s="134"/>
      <c r="D88" s="134"/>
      <c r="E88" s="134"/>
      <c r="F88" s="134"/>
      <c r="G88" s="78"/>
      <c r="H88" s="327"/>
      <c r="I88" s="328"/>
      <c r="J88" s="328"/>
      <c r="K88" s="328"/>
      <c r="L88" s="328"/>
      <c r="M88" s="328"/>
      <c r="N88" s="310">
        <f>N86</f>
        <v>24.538152920921796</v>
      </c>
      <c r="O88" s="77">
        <f>N88/N118</f>
        <v>2.8850088316849777E-4</v>
      </c>
    </row>
    <row r="89" spans="1:17" ht="11.25" customHeight="1" x14ac:dyDescent="0.2">
      <c r="B89" s="130"/>
      <c r="G89" s="52"/>
      <c r="H89" s="324"/>
      <c r="I89" s="313"/>
      <c r="J89" s="313"/>
      <c r="K89" s="313"/>
      <c r="L89" s="313"/>
      <c r="M89" s="313"/>
      <c r="N89" s="308"/>
      <c r="O89" s="25"/>
    </row>
    <row r="90" spans="1:17" ht="11.25" customHeight="1" x14ac:dyDescent="0.2">
      <c r="A90" s="129" t="s">
        <v>127</v>
      </c>
      <c r="B90" s="88" t="s">
        <v>130</v>
      </c>
      <c r="H90" s="329"/>
      <c r="I90" s="311"/>
      <c r="J90" s="311"/>
      <c r="K90" s="311"/>
      <c r="L90" s="311"/>
      <c r="M90" s="311"/>
      <c r="N90" s="311"/>
      <c r="O90" s="19"/>
    </row>
    <row r="91" spans="1:17" ht="11.25" customHeight="1" x14ac:dyDescent="0.2">
      <c r="A91" s="129" t="s">
        <v>128</v>
      </c>
      <c r="B91" s="88" t="s">
        <v>131</v>
      </c>
      <c r="H91" s="329"/>
      <c r="I91" s="311"/>
      <c r="J91" s="311"/>
      <c r="K91" s="311"/>
      <c r="L91" s="311"/>
      <c r="M91" s="311"/>
      <c r="N91" s="311"/>
      <c r="O91" s="19"/>
    </row>
    <row r="92" spans="1:17" ht="11.25" customHeight="1" x14ac:dyDescent="0.2">
      <c r="A92" s="129" t="s">
        <v>129</v>
      </c>
      <c r="B92" s="88" t="s">
        <v>132</v>
      </c>
      <c r="G92" s="97" t="s">
        <v>17</v>
      </c>
      <c r="H92" s="308">
        <f>H14-H93</f>
        <v>651.51</v>
      </c>
      <c r="I92" s="323">
        <f>VLOOKUP(A92,'[1]TAB OGU JUN18'!$A:$G,6,"falso")</f>
        <v>2.64</v>
      </c>
      <c r="J92" s="323">
        <f>VLOOKUP(A92,'[1]TAB OGU JUN18'!$A:$G,4,"falso")</f>
        <v>2.56</v>
      </c>
      <c r="K92" s="308">
        <f>H92*J92</f>
        <v>1667.8656000000001</v>
      </c>
      <c r="L92" s="323">
        <f>VLOOKUP(A92,'[1]TAB OGU JUN18'!$A:$G,5,"falso")</f>
        <v>0.08</v>
      </c>
      <c r="M92" s="308">
        <f>H92*L92</f>
        <v>52.120800000000003</v>
      </c>
      <c r="N92" s="308">
        <f>H92*I92</f>
        <v>1719.9864</v>
      </c>
      <c r="O92" s="25">
        <f>N92/$N$95</f>
        <v>0.58100178064942054</v>
      </c>
    </row>
    <row r="93" spans="1:17" ht="12.75" x14ac:dyDescent="0.2">
      <c r="A93" s="129" t="s">
        <v>207</v>
      </c>
      <c r="B93" s="88" t="s">
        <v>206</v>
      </c>
      <c r="G93" s="97" t="s">
        <v>17</v>
      </c>
      <c r="H93" s="308">
        <v>395.03</v>
      </c>
      <c r="I93" s="323">
        <f>VLOOKUP(A93,'[1]TAB OGU JUN18'!$A:$G,6,"falso")</f>
        <v>3.14</v>
      </c>
      <c r="J93" s="323">
        <f>VLOOKUP(A93,'[1]TAB OGU JUN18'!$A:$G,4,"falso")</f>
        <v>3.01</v>
      </c>
      <c r="K93" s="308">
        <f>H93*J93</f>
        <v>1189.0402999999999</v>
      </c>
      <c r="L93" s="323">
        <f>VLOOKUP(A93,'[1]TAB OGU JUN18'!$A:$G,5,"falso")</f>
        <v>0.13</v>
      </c>
      <c r="M93" s="308">
        <f>H93*L93</f>
        <v>51.353899999999996</v>
      </c>
      <c r="N93" s="308">
        <f>H93*I93</f>
        <v>1240.3942</v>
      </c>
      <c r="O93" s="25">
        <f>N93/$N$95</f>
        <v>0.41899821935057946</v>
      </c>
      <c r="Q93" s="311"/>
    </row>
    <row r="94" spans="1:17" ht="11.25" customHeight="1" x14ac:dyDescent="0.2">
      <c r="B94" s="130"/>
      <c r="G94" s="52"/>
      <c r="H94" s="324"/>
      <c r="I94" s="313"/>
      <c r="J94" s="313"/>
      <c r="K94" s="313"/>
      <c r="L94" s="313"/>
      <c r="M94" s="313"/>
      <c r="N94" s="308"/>
      <c r="O94" s="25"/>
    </row>
    <row r="95" spans="1:17" ht="11.25" customHeight="1" x14ac:dyDescent="0.2">
      <c r="B95" s="130" t="s">
        <v>18</v>
      </c>
      <c r="C95" s="131"/>
      <c r="D95" s="131"/>
      <c r="E95" s="131"/>
      <c r="F95" s="131"/>
      <c r="G95" s="53"/>
      <c r="H95" s="325"/>
      <c r="I95" s="326"/>
      <c r="J95" s="326"/>
      <c r="K95" s="326"/>
      <c r="L95" s="326"/>
      <c r="M95" s="326"/>
      <c r="N95" s="308">
        <f>SUM(N92:N93)</f>
        <v>2960.3806</v>
      </c>
      <c r="O95" s="25">
        <f>N95/N108</f>
        <v>0.10388761351105293</v>
      </c>
    </row>
    <row r="96" spans="1:17" ht="11.25" customHeight="1" x14ac:dyDescent="0.2">
      <c r="B96" s="130"/>
      <c r="G96" s="52"/>
      <c r="H96" s="324"/>
      <c r="I96" s="313"/>
      <c r="J96" s="313"/>
      <c r="K96" s="313"/>
      <c r="L96" s="313"/>
      <c r="M96" s="313"/>
      <c r="N96" s="308"/>
      <c r="O96" s="25"/>
    </row>
    <row r="97" spans="1:15" ht="11.25" customHeight="1" x14ac:dyDescent="0.2">
      <c r="A97" s="98" t="s">
        <v>139</v>
      </c>
      <c r="B97" s="88" t="s">
        <v>142</v>
      </c>
      <c r="G97" s="97"/>
      <c r="H97" s="308"/>
      <c r="I97" s="308"/>
      <c r="J97" s="308"/>
      <c r="K97" s="308"/>
      <c r="L97" s="308"/>
      <c r="M97" s="308"/>
      <c r="N97" s="308"/>
      <c r="O97" s="25"/>
    </row>
    <row r="98" spans="1:15" ht="11.25" customHeight="1" x14ac:dyDescent="0.2">
      <c r="A98" s="98" t="s">
        <v>140</v>
      </c>
      <c r="B98" s="88" t="s">
        <v>143</v>
      </c>
      <c r="G98" s="97" t="s">
        <v>24</v>
      </c>
      <c r="H98" s="308">
        <f>U6</f>
        <v>20</v>
      </c>
      <c r="I98" s="323">
        <f>VLOOKUP(A98,'[1]TAB OGU JUN18'!$A:$G,6,"falso")</f>
        <v>466.82</v>
      </c>
      <c r="J98" s="323">
        <f>VLOOKUP(A98,'[1]TAB OGU JUN18'!$A:$G,4,"falso")</f>
        <v>143.97</v>
      </c>
      <c r="K98" s="308">
        <f>H98*J98</f>
        <v>2879.4</v>
      </c>
      <c r="L98" s="323">
        <f>VLOOKUP(A98,'[1]TAB OGU JUN18'!$A:$G,5,"falso")</f>
        <v>322.85000000000002</v>
      </c>
      <c r="M98" s="308">
        <f>H98*L98</f>
        <v>6457</v>
      </c>
      <c r="N98" s="308">
        <f>H98*I98</f>
        <v>9336.4</v>
      </c>
      <c r="O98" s="25">
        <f>N98/N101</f>
        <v>0.63868733141283229</v>
      </c>
    </row>
    <row r="99" spans="1:15" ht="11.25" customHeight="1" x14ac:dyDescent="0.2">
      <c r="A99" s="98" t="s">
        <v>141</v>
      </c>
      <c r="B99" s="88" t="s">
        <v>144</v>
      </c>
      <c r="G99" s="97" t="s">
        <v>17</v>
      </c>
      <c r="H99" s="308">
        <f>(Q6-1.1)*H98</f>
        <v>20.88622030691613</v>
      </c>
      <c r="I99" s="323">
        <f>VLOOKUP(A99,'[1]TAB OGU JUN18'!$A:$G,6,"falso")</f>
        <v>252.88</v>
      </c>
      <c r="J99" s="323">
        <f>VLOOKUP(A99,'[1]TAB OGU JUN18'!$A:$G,4,"falso")</f>
        <v>47.83</v>
      </c>
      <c r="K99" s="308">
        <f>H99*J99</f>
        <v>998.98791727979847</v>
      </c>
      <c r="L99" s="323">
        <f>VLOOKUP(A99,'[1]TAB OGU JUN18'!$A:$G,5,"falso")</f>
        <v>205.05</v>
      </c>
      <c r="M99" s="308">
        <f>H99*L99</f>
        <v>4282.7194739331526</v>
      </c>
      <c r="N99" s="308">
        <f>H99*I99</f>
        <v>5281.7073912129508</v>
      </c>
      <c r="O99" s="25">
        <f>N99/N101</f>
        <v>0.36131266858716765</v>
      </c>
    </row>
    <row r="100" spans="1:15" ht="11.25" customHeight="1" x14ac:dyDescent="0.2">
      <c r="B100" s="130"/>
      <c r="G100" s="52"/>
      <c r="H100" s="324"/>
      <c r="I100" s="313"/>
      <c r="J100" s="313"/>
      <c r="K100" s="313"/>
      <c r="L100" s="313"/>
      <c r="M100" s="313"/>
      <c r="N100" s="308"/>
      <c r="O100" s="25"/>
    </row>
    <row r="101" spans="1:15" ht="11.25" customHeight="1" x14ac:dyDescent="0.2">
      <c r="B101" s="130" t="s">
        <v>18</v>
      </c>
      <c r="C101" s="131"/>
      <c r="D101" s="131"/>
      <c r="E101" s="131"/>
      <c r="F101" s="131"/>
      <c r="G101" s="53"/>
      <c r="H101" s="325"/>
      <c r="I101" s="326"/>
      <c r="J101" s="326"/>
      <c r="K101" s="326"/>
      <c r="L101" s="326"/>
      <c r="M101" s="326"/>
      <c r="N101" s="308">
        <f>N99+N98</f>
        <v>14618.10739121295</v>
      </c>
      <c r="O101" s="25">
        <f>N101/N108</f>
        <v>0.51298819176203125</v>
      </c>
    </row>
    <row r="102" spans="1:15" ht="11.25" customHeight="1" x14ac:dyDescent="0.2">
      <c r="B102" s="130"/>
      <c r="G102" s="52"/>
      <c r="H102" s="324"/>
      <c r="I102" s="313"/>
      <c r="J102" s="313"/>
      <c r="K102" s="313"/>
      <c r="L102" s="313"/>
      <c r="M102" s="313"/>
      <c r="N102" s="308"/>
      <c r="O102" s="25"/>
    </row>
    <row r="103" spans="1:15" ht="11.25" customHeight="1" x14ac:dyDescent="0.2">
      <c r="A103" s="129" t="s">
        <v>145</v>
      </c>
      <c r="B103" s="88" t="s">
        <v>26</v>
      </c>
      <c r="H103" s="329"/>
      <c r="I103" s="311"/>
      <c r="J103" s="311"/>
      <c r="K103" s="311"/>
      <c r="L103" s="311"/>
      <c r="M103" s="311"/>
      <c r="N103" s="311"/>
      <c r="O103" s="19"/>
    </row>
    <row r="104" spans="1:15" ht="11.25" customHeight="1" x14ac:dyDescent="0.2">
      <c r="A104" s="129" t="s">
        <v>146</v>
      </c>
      <c r="B104" s="88" t="s">
        <v>147</v>
      </c>
      <c r="G104" s="97" t="s">
        <v>32</v>
      </c>
      <c r="H104" s="308">
        <f>H14*R6*0.1</f>
        <v>69.102500000000006</v>
      </c>
      <c r="I104" s="323">
        <f>VLOOKUP(A104,'[1]TAB OGU JUN18'!$A:$G,6,"falso")</f>
        <v>157.99</v>
      </c>
      <c r="J104" s="323">
        <f>VLOOKUP(A104,'[1]TAB OGU JUN18'!$A:$G,4,"falso")</f>
        <v>39.5</v>
      </c>
      <c r="K104" s="308">
        <f>H104*J104</f>
        <v>2729.5487500000004</v>
      </c>
      <c r="L104" s="323">
        <f>VLOOKUP(A104,'[1]TAB OGU JUN18'!$A:$G,5,"falso")</f>
        <v>118.49</v>
      </c>
      <c r="M104" s="308">
        <f>H104*L104</f>
        <v>8187.9552250000006</v>
      </c>
      <c r="N104" s="308">
        <f>H104*I104</f>
        <v>10917.503975000001</v>
      </c>
      <c r="O104" s="25">
        <f>N104/N106</f>
        <v>1</v>
      </c>
    </row>
    <row r="105" spans="1:15" ht="11.25" customHeight="1" x14ac:dyDescent="0.2">
      <c r="B105" s="130"/>
      <c r="G105" s="52"/>
      <c r="H105" s="324"/>
      <c r="I105" s="313"/>
      <c r="J105" s="313"/>
      <c r="K105" s="313"/>
      <c r="L105" s="313"/>
      <c r="M105" s="313"/>
      <c r="N105" s="308"/>
      <c r="O105" s="25"/>
    </row>
    <row r="106" spans="1:15" ht="11.25" customHeight="1" x14ac:dyDescent="0.2">
      <c r="B106" s="130" t="s">
        <v>18</v>
      </c>
      <c r="C106" s="131"/>
      <c r="D106" s="131"/>
      <c r="E106" s="131"/>
      <c r="F106" s="131"/>
      <c r="G106" s="53"/>
      <c r="H106" s="325"/>
      <c r="I106" s="326"/>
      <c r="J106" s="326"/>
      <c r="K106" s="326"/>
      <c r="L106" s="326"/>
      <c r="M106" s="326"/>
      <c r="N106" s="308">
        <f>N104</f>
        <v>10917.503975000001</v>
      </c>
      <c r="O106" s="25">
        <f>N106/N108</f>
        <v>0.38312419472691589</v>
      </c>
    </row>
    <row r="107" spans="1:15" ht="11.25" customHeight="1" x14ac:dyDescent="0.2">
      <c r="B107" s="130"/>
      <c r="G107" s="52"/>
      <c r="H107" s="324"/>
      <c r="I107" s="313"/>
      <c r="J107" s="313"/>
      <c r="K107" s="313"/>
      <c r="L107" s="313"/>
      <c r="M107" s="313"/>
      <c r="N107" s="308"/>
      <c r="O107" s="25"/>
    </row>
    <row r="108" spans="1:15" s="132" customFormat="1" ht="11.25" customHeight="1" x14ac:dyDescent="0.2">
      <c r="B108" s="133" t="s">
        <v>20</v>
      </c>
      <c r="C108" s="134"/>
      <c r="D108" s="134"/>
      <c r="E108" s="134"/>
      <c r="F108" s="134"/>
      <c r="G108" s="78"/>
      <c r="H108" s="327"/>
      <c r="I108" s="328"/>
      <c r="J108" s="328"/>
      <c r="K108" s="328"/>
      <c r="L108" s="328"/>
      <c r="M108" s="328"/>
      <c r="N108" s="310">
        <f>N106+N101+N95</f>
        <v>28495.991966212951</v>
      </c>
      <c r="O108" s="77">
        <f>N108/N118</f>
        <v>0.33503413543426647</v>
      </c>
    </row>
    <row r="109" spans="1:15" ht="11.25" customHeight="1" x14ac:dyDescent="0.2">
      <c r="B109" s="130"/>
      <c r="G109" s="52"/>
      <c r="H109" s="324"/>
      <c r="I109" s="313"/>
      <c r="J109" s="313"/>
      <c r="K109" s="313"/>
      <c r="L109" s="313"/>
      <c r="M109" s="313"/>
      <c r="N109" s="308"/>
      <c r="O109" s="25"/>
    </row>
    <row r="110" spans="1:15" ht="11.25" customHeight="1" x14ac:dyDescent="0.2">
      <c r="A110" s="98" t="s">
        <v>169</v>
      </c>
      <c r="B110" s="88" t="s">
        <v>172</v>
      </c>
      <c r="G110" s="97"/>
      <c r="H110" s="308"/>
      <c r="I110" s="308"/>
      <c r="J110" s="308"/>
      <c r="K110" s="308"/>
      <c r="L110" s="308"/>
      <c r="M110" s="308"/>
      <c r="N110" s="308"/>
      <c r="O110" s="25"/>
    </row>
    <row r="111" spans="1:15" ht="11.25" customHeight="1" x14ac:dyDescent="0.2">
      <c r="A111" s="98" t="s">
        <v>170</v>
      </c>
      <c r="B111" s="88" t="s">
        <v>173</v>
      </c>
      <c r="G111" s="97"/>
      <c r="H111" s="308"/>
      <c r="I111" s="308"/>
      <c r="J111" s="308"/>
      <c r="K111" s="308"/>
      <c r="L111" s="308"/>
      <c r="M111" s="308"/>
      <c r="N111" s="308"/>
      <c r="O111" s="25"/>
    </row>
    <row r="112" spans="1:15" ht="11.25" customHeight="1" x14ac:dyDescent="0.2">
      <c r="A112" s="98" t="s">
        <v>171</v>
      </c>
      <c r="B112" s="88" t="s">
        <v>174</v>
      </c>
      <c r="G112" s="97" t="s">
        <v>17</v>
      </c>
      <c r="H112" s="308">
        <f>H14</f>
        <v>1046.54</v>
      </c>
      <c r="I112" s="323">
        <f>VLOOKUP(A112,'[1]TAB OGU JUN18'!$A:$G,6,"falso")</f>
        <v>1.31</v>
      </c>
      <c r="J112" s="323">
        <f>VLOOKUP(A112,'[1]TAB OGU JUN18'!$A:$G,4,"falso")</f>
        <v>1.1399999999999999</v>
      </c>
      <c r="K112" s="308">
        <f>H112*J112</f>
        <v>1193.0555999999999</v>
      </c>
      <c r="L112" s="323">
        <f>VLOOKUP(A112,'[1]TAB OGU JUN18'!$A:$G,5,"falso")</f>
        <v>0.17</v>
      </c>
      <c r="M112" s="308">
        <f>H112*L112</f>
        <v>177.9118</v>
      </c>
      <c r="N112" s="308">
        <f>H112*I112</f>
        <v>1370.9674</v>
      </c>
      <c r="O112" s="25">
        <f>N112/N114</f>
        <v>1</v>
      </c>
    </row>
    <row r="113" spans="1:16" ht="11.25" customHeight="1" x14ac:dyDescent="0.2">
      <c r="B113" s="130"/>
      <c r="G113" s="52"/>
      <c r="H113" s="324"/>
      <c r="I113" s="313"/>
      <c r="J113" s="313"/>
      <c r="K113" s="313"/>
      <c r="L113" s="313"/>
      <c r="M113" s="313"/>
      <c r="N113" s="308"/>
      <c r="O113" s="25"/>
    </row>
    <row r="114" spans="1:16" ht="11.25" customHeight="1" x14ac:dyDescent="0.2">
      <c r="B114" s="130" t="s">
        <v>18</v>
      </c>
      <c r="C114" s="131"/>
      <c r="D114" s="131"/>
      <c r="E114" s="131"/>
      <c r="F114" s="131"/>
      <c r="G114" s="53"/>
      <c r="H114" s="325"/>
      <c r="I114" s="326"/>
      <c r="J114" s="326"/>
      <c r="K114" s="326"/>
      <c r="L114" s="326"/>
      <c r="M114" s="326"/>
      <c r="N114" s="308">
        <f>N112</f>
        <v>1370.9674</v>
      </c>
      <c r="O114" s="25">
        <f>N114/N116</f>
        <v>1</v>
      </c>
    </row>
    <row r="115" spans="1:16" ht="11.25" customHeight="1" x14ac:dyDescent="0.2">
      <c r="A115" s="98"/>
      <c r="B115" s="88"/>
      <c r="G115" s="97"/>
      <c r="H115" s="308"/>
      <c r="I115" s="308"/>
      <c r="J115" s="308"/>
      <c r="K115" s="308"/>
      <c r="L115" s="308"/>
      <c r="M115" s="308"/>
      <c r="N115" s="308"/>
      <c r="O115" s="25"/>
    </row>
    <row r="116" spans="1:16" s="132" customFormat="1" ht="11.25" customHeight="1" x14ac:dyDescent="0.2">
      <c r="A116" s="145"/>
      <c r="B116" s="133" t="s">
        <v>20</v>
      </c>
      <c r="C116" s="134"/>
      <c r="D116" s="134"/>
      <c r="E116" s="134"/>
      <c r="F116" s="134"/>
      <c r="G116" s="78"/>
      <c r="H116" s="327"/>
      <c r="I116" s="328"/>
      <c r="J116" s="328"/>
      <c r="K116" s="328"/>
      <c r="L116" s="328"/>
      <c r="M116" s="328"/>
      <c r="N116" s="310">
        <f>N114</f>
        <v>1370.9674</v>
      </c>
      <c r="O116" s="77">
        <f>N116/N118</f>
        <v>1.6118788849750185E-2</v>
      </c>
    </row>
    <row r="117" spans="1:16" ht="6.75" customHeight="1" x14ac:dyDescent="0.2">
      <c r="A117" s="98"/>
      <c r="B117" s="88"/>
      <c r="G117" s="97"/>
      <c r="H117" s="308"/>
      <c r="I117" s="308"/>
      <c r="J117" s="308"/>
      <c r="K117" s="308"/>
      <c r="L117" s="308"/>
      <c r="M117" s="308"/>
      <c r="N117" s="308"/>
      <c r="O117" s="25"/>
    </row>
    <row r="118" spans="1:16" ht="12" customHeight="1" x14ac:dyDescent="0.2">
      <c r="A118" s="146"/>
      <c r="B118" s="147" t="s">
        <v>30</v>
      </c>
      <c r="C118" s="146"/>
      <c r="D118" s="146"/>
      <c r="E118" s="146"/>
      <c r="F118" s="146"/>
      <c r="G118" s="146"/>
      <c r="H118" s="342"/>
      <c r="I118" s="345"/>
      <c r="J118" s="345"/>
      <c r="K118" s="275">
        <f>SUM(K12:K117)</f>
        <v>64410.023084231369</v>
      </c>
      <c r="L118" s="275"/>
      <c r="M118" s="275">
        <f>SUM(M12:M117)</f>
        <v>20643.523948433154</v>
      </c>
      <c r="N118" s="343">
        <f>N116+N108+N88+N80+N66+N29</f>
        <v>85053.995854114546</v>
      </c>
      <c r="O118" s="322"/>
      <c r="P118" s="149"/>
    </row>
    <row r="119" spans="1:16" ht="4.5" customHeight="1" x14ac:dyDescent="0.2">
      <c r="A119" s="98"/>
      <c r="B119" s="88"/>
      <c r="G119" s="97"/>
      <c r="H119" s="308"/>
      <c r="I119" s="308"/>
      <c r="J119" s="308"/>
      <c r="K119" s="308"/>
      <c r="L119" s="308"/>
      <c r="M119" s="308"/>
      <c r="N119" s="308"/>
      <c r="O119" s="25"/>
    </row>
    <row r="120" spans="1:16" ht="12" customHeight="1" x14ac:dyDescent="0.2">
      <c r="A120" s="146"/>
      <c r="B120" s="147" t="s">
        <v>265</v>
      </c>
      <c r="C120" s="146"/>
      <c r="D120" s="146"/>
      <c r="E120" s="146"/>
      <c r="F120" s="146"/>
      <c r="G120" s="146"/>
      <c r="H120" s="342"/>
      <c r="I120" s="342"/>
      <c r="J120" s="342"/>
      <c r="K120" s="274">
        <f>K118+(K118*O5)</f>
        <v>82174.307450862383</v>
      </c>
      <c r="L120" s="274"/>
      <c r="M120" s="275">
        <f>M118+(M118*O7)</f>
        <v>24301.55639209551</v>
      </c>
      <c r="N120" s="343">
        <f>K120+M120</f>
        <v>106475.86384295789</v>
      </c>
      <c r="O120" s="29">
        <f>N120/RESUMO!H95</f>
        <v>1.4703596520472102E-2</v>
      </c>
      <c r="P120" s="149"/>
    </row>
    <row r="123" spans="1:16" ht="12" customHeight="1" x14ac:dyDescent="0.2">
      <c r="M123" s="311"/>
    </row>
    <row r="125" spans="1:16" s="150" customFormat="1" ht="12" customHeight="1" x14ac:dyDescent="0.2">
      <c r="A125" s="51"/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2"/>
    </row>
    <row r="126" spans="1:16" s="150" customFormat="1" ht="12" customHeight="1" x14ac:dyDescent="0.2">
      <c r="A126" s="51"/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2"/>
    </row>
  </sheetData>
  <mergeCells count="9">
    <mergeCell ref="N4:O4"/>
    <mergeCell ref="A5:B6"/>
    <mergeCell ref="A2:O2"/>
    <mergeCell ref="P4:P5"/>
    <mergeCell ref="U4:U5"/>
    <mergeCell ref="Q4:Q5"/>
    <mergeCell ref="R4:R5"/>
    <mergeCell ref="S4:S5"/>
    <mergeCell ref="T4:T5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rowBreaks count="1" manualBreakCount="1">
    <brk id="30" max="12" man="1"/>
  </rowBreaks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Plan28">
    <tabColor theme="6" tint="0.39997558519241921"/>
    <pageSetUpPr fitToPage="1"/>
  </sheetPr>
  <dimension ref="A1:P44"/>
  <sheetViews>
    <sheetView view="pageBreakPreview" zoomScale="90" zoomScaleNormal="90" zoomScaleSheetLayoutView="90" workbookViewId="0">
      <selection activeCell="Q38" sqref="Q38"/>
    </sheetView>
  </sheetViews>
  <sheetFormatPr defaultColWidth="11.42578125" defaultRowHeight="12" customHeight="1" x14ac:dyDescent="0.2"/>
  <cols>
    <col min="1" max="5" width="11.42578125" style="51" customWidth="1"/>
    <col min="6" max="6" width="28.5703125" style="51" customWidth="1"/>
    <col min="7" max="9" width="11.42578125" style="51" customWidth="1"/>
    <col min="10" max="10" width="11.42578125" style="51" hidden="1" customWidth="1"/>
    <col min="11" max="11" width="14.28515625" style="51" customWidth="1"/>
    <col min="12" max="12" width="6" style="51" hidden="1" customWidth="1"/>
    <col min="13" max="13" width="14.28515625" style="51" customWidth="1"/>
    <col min="14" max="14" width="17.140625" style="51" customWidth="1"/>
    <col min="15" max="15" width="11.42578125" style="52" customWidth="1"/>
    <col min="16" max="16" width="6" style="51" bestFit="1" customWidth="1"/>
    <col min="17" max="16384" width="11.42578125" style="51"/>
  </cols>
  <sheetData>
    <row r="1" spans="1:16" ht="7.5" customHeight="1" x14ac:dyDescent="0.2"/>
    <row r="2" spans="1:16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6" ht="7.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95"/>
    </row>
    <row r="4" spans="1:16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6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6" ht="12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6" ht="12" customHeight="1" x14ac:dyDescent="0.2">
      <c r="A7" s="253"/>
      <c r="B7" s="253"/>
      <c r="C7" s="260" t="s">
        <v>6</v>
      </c>
      <c r="D7" s="263" t="str">
        <f>RESUMO!A20</f>
        <v>U.C. : 06</v>
      </c>
      <c r="E7" s="258"/>
      <c r="F7" s="258"/>
      <c r="G7" s="260" t="s">
        <v>9</v>
      </c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6" ht="12" customHeight="1" thickBot="1" x14ac:dyDescent="0.25">
      <c r="A8" s="124"/>
      <c r="B8" s="125"/>
      <c r="C8" s="266" t="s">
        <v>8</v>
      </c>
      <c r="D8" s="267" t="str">
        <f>RESUMO!B20</f>
        <v>COLETOR 01</v>
      </c>
      <c r="E8" s="268"/>
      <c r="F8" s="268"/>
      <c r="G8" s="266"/>
      <c r="H8" s="123"/>
      <c r="I8" s="278"/>
      <c r="J8" s="278"/>
      <c r="K8" s="278"/>
      <c r="L8" s="278"/>
      <c r="M8" s="278"/>
      <c r="N8" s="271"/>
      <c r="O8" s="427"/>
    </row>
    <row r="9" spans="1:16" ht="12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6" ht="7.5" customHeight="1" x14ac:dyDescent="0.2">
      <c r="O10" s="19"/>
    </row>
    <row r="11" spans="1:16" ht="12" customHeight="1" x14ac:dyDescent="0.2">
      <c r="A11" s="93">
        <f>RESUMO!A43</f>
        <v>2</v>
      </c>
      <c r="B11" s="93" t="str">
        <f>RESUMO!B22</f>
        <v>COLETOR 01 - MATERIAIS</v>
      </c>
      <c r="O11" s="19"/>
    </row>
    <row r="12" spans="1:16" ht="12" customHeight="1" x14ac:dyDescent="0.2">
      <c r="A12" s="98" t="s">
        <v>266</v>
      </c>
      <c r="B12" s="88" t="s">
        <v>71</v>
      </c>
      <c r="G12" s="52"/>
      <c r="H12" s="19"/>
      <c r="I12" s="52"/>
      <c r="J12" s="52"/>
      <c r="K12" s="52"/>
      <c r="L12" s="52"/>
      <c r="M12" s="52"/>
      <c r="N12" s="52"/>
      <c r="O12" s="19"/>
    </row>
    <row r="13" spans="1:16" ht="12" customHeight="1" x14ac:dyDescent="0.2">
      <c r="A13" s="98" t="s">
        <v>279</v>
      </c>
      <c r="B13" s="88" t="s">
        <v>280</v>
      </c>
      <c r="G13" s="52"/>
      <c r="H13" s="19"/>
      <c r="I13" s="52"/>
      <c r="J13" s="52"/>
      <c r="K13" s="52"/>
      <c r="L13" s="52"/>
      <c r="M13" s="52"/>
      <c r="N13" s="52"/>
      <c r="O13" s="19"/>
    </row>
    <row r="14" spans="1:16" ht="12" customHeight="1" x14ac:dyDescent="0.2">
      <c r="A14" s="98" t="s">
        <v>282</v>
      </c>
      <c r="B14" s="88" t="s">
        <v>260</v>
      </c>
      <c r="G14" s="97" t="s">
        <v>24</v>
      </c>
      <c r="H14" s="308">
        <f>'08 - 1'!H98</f>
        <v>20</v>
      </c>
      <c r="I14" s="308">
        <v>37.840000000000003</v>
      </c>
      <c r="J14" s="308"/>
      <c r="K14" s="308"/>
      <c r="L14" s="323">
        <v>37.840000000000003</v>
      </c>
      <c r="M14" s="308">
        <f>H14*L14</f>
        <v>756.80000000000007</v>
      </c>
      <c r="N14" s="308">
        <f>H14*I14</f>
        <v>756.80000000000007</v>
      </c>
      <c r="O14" s="25">
        <f>N14/N16</f>
        <v>1</v>
      </c>
      <c r="P14" s="51">
        <v>13255</v>
      </c>
    </row>
    <row r="15" spans="1:16" ht="12" customHeight="1" x14ac:dyDescent="0.2">
      <c r="G15" s="52"/>
      <c r="H15" s="324"/>
      <c r="I15" s="313"/>
      <c r="J15" s="313"/>
      <c r="K15" s="313"/>
      <c r="L15" s="313"/>
      <c r="M15" s="313"/>
      <c r="N15" s="313"/>
      <c r="O15" s="19"/>
    </row>
    <row r="16" spans="1:16" ht="12" customHeight="1" x14ac:dyDescent="0.2">
      <c r="B16" s="130" t="s">
        <v>18</v>
      </c>
      <c r="C16" s="131"/>
      <c r="D16" s="131"/>
      <c r="E16" s="131"/>
      <c r="F16" s="131"/>
      <c r="G16" s="53"/>
      <c r="H16" s="325"/>
      <c r="I16" s="326"/>
      <c r="J16" s="326"/>
      <c r="K16" s="326"/>
      <c r="L16" s="326"/>
      <c r="M16" s="326"/>
      <c r="N16" s="308">
        <f>N14</f>
        <v>756.80000000000007</v>
      </c>
      <c r="O16" s="25">
        <f>N16/N18</f>
        <v>1</v>
      </c>
    </row>
    <row r="17" spans="1:16" ht="12" customHeight="1" x14ac:dyDescent="0.2">
      <c r="B17" s="130"/>
      <c r="G17" s="52"/>
      <c r="H17" s="324"/>
      <c r="I17" s="313"/>
      <c r="J17" s="313"/>
      <c r="K17" s="313"/>
      <c r="L17" s="313"/>
      <c r="M17" s="313"/>
      <c r="N17" s="308"/>
      <c r="O17" s="25"/>
    </row>
    <row r="18" spans="1:16" s="132" customFormat="1" ht="12" customHeight="1" x14ac:dyDescent="0.2">
      <c r="B18" s="133" t="s">
        <v>20</v>
      </c>
      <c r="C18" s="134"/>
      <c r="D18" s="134"/>
      <c r="E18" s="134"/>
      <c r="F18" s="134"/>
      <c r="G18" s="78"/>
      <c r="H18" s="327"/>
      <c r="I18" s="328"/>
      <c r="J18" s="328"/>
      <c r="K18" s="328"/>
      <c r="L18" s="328"/>
      <c r="M18" s="328"/>
      <c r="N18" s="310">
        <f>N16</f>
        <v>756.80000000000007</v>
      </c>
      <c r="O18" s="77">
        <f>N18/N29</f>
        <v>1.5611468021858161E-2</v>
      </c>
    </row>
    <row r="19" spans="1:16" ht="12" customHeight="1" x14ac:dyDescent="0.2">
      <c r="G19" s="52"/>
      <c r="H19" s="324"/>
      <c r="I19" s="313"/>
      <c r="J19" s="313"/>
      <c r="K19" s="313"/>
      <c r="L19" s="313"/>
      <c r="M19" s="313"/>
      <c r="N19" s="313"/>
      <c r="O19" s="19"/>
    </row>
    <row r="20" spans="1:16" ht="12" customHeight="1" x14ac:dyDescent="0.2">
      <c r="A20" s="98" t="s">
        <v>270</v>
      </c>
      <c r="B20" s="88" t="s">
        <v>29</v>
      </c>
      <c r="G20" s="52"/>
      <c r="H20" s="324"/>
      <c r="I20" s="313"/>
      <c r="J20" s="313"/>
      <c r="K20" s="313"/>
      <c r="L20" s="313"/>
      <c r="M20" s="313"/>
      <c r="N20" s="313"/>
      <c r="O20" s="19"/>
    </row>
    <row r="21" spans="1:16" ht="12" customHeight="1" x14ac:dyDescent="0.2">
      <c r="A21" s="98" t="s">
        <v>275</v>
      </c>
      <c r="B21" s="88" t="s">
        <v>36</v>
      </c>
      <c r="G21" s="52"/>
      <c r="H21" s="324"/>
      <c r="I21" s="313"/>
      <c r="J21" s="313"/>
      <c r="K21" s="313"/>
      <c r="L21" s="313"/>
      <c r="M21" s="313"/>
      <c r="N21" s="313"/>
      <c r="O21" s="19"/>
    </row>
    <row r="22" spans="1:16" ht="12" customHeight="1" x14ac:dyDescent="0.2">
      <c r="A22" s="98" t="s">
        <v>276</v>
      </c>
      <c r="B22" s="88" t="s">
        <v>78</v>
      </c>
      <c r="G22" s="97" t="s">
        <v>17</v>
      </c>
      <c r="H22" s="308">
        <f>'08 - 1'!H92</f>
        <v>651.51</v>
      </c>
      <c r="I22" s="323">
        <f>VLOOKUP(A22,'[1]TAB OGU JUN18'!$A:$G,6,"falso")</f>
        <v>37.630000000000003</v>
      </c>
      <c r="J22" s="308"/>
      <c r="K22" s="308"/>
      <c r="L22" s="323">
        <f>VLOOKUP(A22,'[1]TAB OGU JUN18'!$A:$G,5,"falso")</f>
        <v>37.630000000000003</v>
      </c>
      <c r="M22" s="308">
        <f>H22*L22</f>
        <v>24516.3213</v>
      </c>
      <c r="N22" s="308">
        <f>H22*I22</f>
        <v>24516.3213</v>
      </c>
      <c r="O22" s="25">
        <f>N22/$N$25</f>
        <v>0.51374946096147789</v>
      </c>
    </row>
    <row r="23" spans="1:16" ht="12" customHeight="1" x14ac:dyDescent="0.2">
      <c r="A23" s="98" t="s">
        <v>277</v>
      </c>
      <c r="B23" s="88" t="s">
        <v>205</v>
      </c>
      <c r="G23" s="97" t="s">
        <v>17</v>
      </c>
      <c r="H23" s="308">
        <f>'08 - 1'!H93</f>
        <v>395.03</v>
      </c>
      <c r="I23" s="323">
        <f>VLOOKUP(A23,'[1]TAB OGU JUN18'!$A:$G,6,"falso")</f>
        <v>58.74</v>
      </c>
      <c r="J23" s="308"/>
      <c r="K23" s="308"/>
      <c r="L23" s="323">
        <f>VLOOKUP(A23,'[1]TAB OGU JUN18'!$A:$G,5,"falso")</f>
        <v>58.74</v>
      </c>
      <c r="M23" s="308">
        <f>H23*L23</f>
        <v>23204.0622</v>
      </c>
      <c r="N23" s="308">
        <f>H23*I23</f>
        <v>23204.0622</v>
      </c>
      <c r="O23" s="25">
        <f>N23/$N$25</f>
        <v>0.48625053903852222</v>
      </c>
    </row>
    <row r="24" spans="1:16" ht="12" customHeight="1" x14ac:dyDescent="0.2">
      <c r="G24" s="52"/>
      <c r="H24" s="324"/>
      <c r="I24" s="313"/>
      <c r="J24" s="313"/>
      <c r="K24" s="313"/>
      <c r="L24" s="313"/>
      <c r="M24" s="313"/>
      <c r="N24" s="313"/>
      <c r="O24" s="19"/>
    </row>
    <row r="25" spans="1:16" ht="12" customHeight="1" x14ac:dyDescent="0.2">
      <c r="B25" s="130" t="s">
        <v>18</v>
      </c>
      <c r="C25" s="131"/>
      <c r="D25" s="131"/>
      <c r="E25" s="131"/>
      <c r="F25" s="131"/>
      <c r="G25" s="53"/>
      <c r="H25" s="325"/>
      <c r="I25" s="326"/>
      <c r="J25" s="326"/>
      <c r="K25" s="326"/>
      <c r="L25" s="326"/>
      <c r="M25" s="326"/>
      <c r="N25" s="308">
        <f>N22+N23</f>
        <v>47720.383499999996</v>
      </c>
      <c r="O25" s="25">
        <f>N25/N27</f>
        <v>1</v>
      </c>
    </row>
    <row r="26" spans="1:16" ht="12" customHeight="1" x14ac:dyDescent="0.2">
      <c r="G26" s="52"/>
      <c r="H26" s="313"/>
      <c r="I26" s="313"/>
      <c r="J26" s="313"/>
      <c r="K26" s="313"/>
      <c r="L26" s="313"/>
      <c r="M26" s="313"/>
      <c r="N26" s="313"/>
      <c r="O26" s="19"/>
    </row>
    <row r="27" spans="1:16" s="132" customFormat="1" ht="12" customHeight="1" x14ac:dyDescent="0.2">
      <c r="B27" s="133" t="s">
        <v>20</v>
      </c>
      <c r="C27" s="134"/>
      <c r="D27" s="134"/>
      <c r="E27" s="134"/>
      <c r="F27" s="134"/>
      <c r="G27" s="78"/>
      <c r="H27" s="328"/>
      <c r="I27" s="328"/>
      <c r="J27" s="328"/>
      <c r="K27" s="328"/>
      <c r="L27" s="328"/>
      <c r="M27" s="328"/>
      <c r="N27" s="310">
        <f>N25</f>
        <v>47720.383499999996</v>
      </c>
      <c r="O27" s="77">
        <f>N27/N29</f>
        <v>0.9843885319781418</v>
      </c>
    </row>
    <row r="28" spans="1:16" ht="7.5" customHeight="1" x14ac:dyDescent="0.2">
      <c r="G28" s="52"/>
      <c r="H28" s="313"/>
      <c r="I28" s="313"/>
      <c r="J28" s="313"/>
      <c r="K28" s="313"/>
      <c r="L28" s="313"/>
      <c r="M28" s="313"/>
      <c r="N28" s="313"/>
      <c r="O28" s="19"/>
    </row>
    <row r="29" spans="1:16" ht="12" customHeight="1" x14ac:dyDescent="0.2">
      <c r="A29" s="146"/>
      <c r="B29" s="147" t="s">
        <v>30</v>
      </c>
      <c r="C29" s="146"/>
      <c r="D29" s="146"/>
      <c r="E29" s="146"/>
      <c r="F29" s="146"/>
      <c r="G29" s="146"/>
      <c r="H29" s="342"/>
      <c r="I29" s="345"/>
      <c r="J29" s="345"/>
      <c r="K29" s="345"/>
      <c r="L29" s="345"/>
      <c r="M29" s="275">
        <f>SUM(M14:M28)</f>
        <v>48477.183499999999</v>
      </c>
      <c r="N29" s="316">
        <f>N27+N18</f>
        <v>48477.183499999999</v>
      </c>
      <c r="O29" s="322"/>
      <c r="P29" s="149"/>
    </row>
    <row r="30" spans="1:16" ht="7.5" customHeight="1" x14ac:dyDescent="0.2">
      <c r="G30" s="52"/>
      <c r="H30" s="313"/>
      <c r="I30" s="313"/>
      <c r="J30" s="313"/>
      <c r="K30" s="313"/>
      <c r="L30" s="313"/>
      <c r="M30" s="313"/>
      <c r="N30" s="313"/>
      <c r="O30" s="19"/>
    </row>
    <row r="31" spans="1:16" ht="12" customHeight="1" x14ac:dyDescent="0.2">
      <c r="A31" s="146"/>
      <c r="B31" s="147" t="s">
        <v>265</v>
      </c>
      <c r="C31" s="146"/>
      <c r="D31" s="146"/>
      <c r="E31" s="146"/>
      <c r="F31" s="146"/>
      <c r="G31" s="146"/>
      <c r="H31" s="342"/>
      <c r="I31" s="345"/>
      <c r="J31" s="345"/>
      <c r="K31" s="345"/>
      <c r="L31" s="345"/>
      <c r="M31" s="275">
        <f>M29+(M29*O7)</f>
        <v>57067.340416200001</v>
      </c>
      <c r="N31" s="316">
        <f>M31</f>
        <v>57067.340416200001</v>
      </c>
      <c r="O31" s="29">
        <f>N31/RESUMO!H95</f>
        <v>7.8806136685946361E-3</v>
      </c>
      <c r="P31" s="149"/>
    </row>
    <row r="43" spans="1:15" ht="12" customHeight="1" x14ac:dyDescent="0.2">
      <c r="A43" s="150"/>
      <c r="B43" s="150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211"/>
      <c r="O43" s="210"/>
    </row>
    <row r="44" spans="1:15" ht="12" customHeight="1" x14ac:dyDescent="0.2">
      <c r="A44" s="88"/>
      <c r="C44" s="184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184"/>
      <c r="O44" s="437"/>
    </row>
  </sheetData>
  <mergeCells count="3">
    <mergeCell ref="N4:O4"/>
    <mergeCell ref="A5:B6"/>
    <mergeCell ref="A2:O2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rowBreaks count="1" manualBreakCount="1">
    <brk id="20" max="12" man="1"/>
  </rowBreaks>
  <legacyDrawingHF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6" tint="0.39997558519241921"/>
    <pageSetUpPr fitToPage="1"/>
  </sheetPr>
  <dimension ref="A1:U126"/>
  <sheetViews>
    <sheetView view="pageBreakPreview" zoomScale="85" zoomScaleNormal="90" zoomScaleSheetLayoutView="85" workbookViewId="0">
      <selection activeCell="Q81" sqref="Q81"/>
    </sheetView>
  </sheetViews>
  <sheetFormatPr defaultColWidth="11.42578125" defaultRowHeight="12" customHeight="1" x14ac:dyDescent="0.2"/>
  <cols>
    <col min="1" max="3" width="11.42578125" style="51"/>
    <col min="4" max="4" width="11.42578125" style="51" customWidth="1"/>
    <col min="5" max="5" width="11.42578125" style="51"/>
    <col min="6" max="6" width="28.5703125" style="51" customWidth="1"/>
    <col min="7" max="7" width="11.42578125" style="51"/>
    <col min="8" max="9" width="11.42578125" style="51" customWidth="1"/>
    <col min="10" max="10" width="5.7109375" style="51" hidden="1" customWidth="1"/>
    <col min="11" max="11" width="14.28515625" style="51" customWidth="1"/>
    <col min="12" max="12" width="6.7109375" style="51" hidden="1" customWidth="1"/>
    <col min="13" max="13" width="14.28515625" style="51" customWidth="1"/>
    <col min="14" max="14" width="17.28515625" style="51" customWidth="1"/>
    <col min="15" max="15" width="11.42578125" style="52" customWidth="1"/>
    <col min="16" max="19" width="11.42578125" style="51"/>
    <col min="20" max="20" width="13.42578125" style="51" customWidth="1"/>
    <col min="21" max="16384" width="11.42578125" style="51"/>
  </cols>
  <sheetData>
    <row r="1" spans="1:21" ht="6.75" customHeight="1" x14ac:dyDescent="0.2"/>
    <row r="2" spans="1:21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21" ht="6.7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95"/>
    </row>
    <row r="4" spans="1:21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K4" s="259"/>
      <c r="L4" s="259"/>
      <c r="M4" s="259">
        <f ca="1">RESUMO!G4</f>
        <v>43657</v>
      </c>
      <c r="N4" s="832" t="str">
        <f>RESUMO!H4</f>
        <v>BDI Aplicado</v>
      </c>
      <c r="O4" s="833"/>
      <c r="P4" s="831" t="s">
        <v>995</v>
      </c>
      <c r="Q4" s="831" t="s">
        <v>991</v>
      </c>
      <c r="R4" s="831" t="s">
        <v>992</v>
      </c>
      <c r="S4" s="831" t="s">
        <v>993</v>
      </c>
      <c r="T4" s="831" t="s">
        <v>994</v>
      </c>
      <c r="U4" s="831" t="s">
        <v>996</v>
      </c>
    </row>
    <row r="5" spans="1:21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K5" s="258"/>
      <c r="L5" s="258"/>
      <c r="M5" s="258"/>
      <c r="N5" s="261" t="str">
        <f>RESUMO!H5</f>
        <v>Serviços</v>
      </c>
      <c r="O5" s="234">
        <f>RESUMO!I5</f>
        <v>0.27579999999999999</v>
      </c>
      <c r="P5" s="831"/>
      <c r="Q5" s="831"/>
      <c r="R5" s="831"/>
      <c r="S5" s="831"/>
      <c r="T5" s="831"/>
      <c r="U5" s="831"/>
    </row>
    <row r="6" spans="1:21" ht="12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K6" s="258"/>
      <c r="L6" s="258"/>
      <c r="M6" s="258"/>
      <c r="N6" s="261" t="str">
        <f>RESUMO!H6</f>
        <v>Serv Terc:</v>
      </c>
      <c r="O6" s="234">
        <f>RESUMO!I6</f>
        <v>0.1772</v>
      </c>
      <c r="P6" s="486">
        <v>121.47</v>
      </c>
      <c r="Q6" s="486">
        <v>2.3966882769408082</v>
      </c>
      <c r="R6" s="486">
        <v>0.69121593809170978</v>
      </c>
      <c r="S6" s="486">
        <v>116.45029</v>
      </c>
      <c r="T6" s="486">
        <v>27.987333333333329</v>
      </c>
      <c r="U6" s="486">
        <v>4</v>
      </c>
    </row>
    <row r="7" spans="1:21" ht="12" customHeight="1" x14ac:dyDescent="0.2">
      <c r="A7" s="253"/>
      <c r="B7" s="253"/>
      <c r="C7" s="260" t="s">
        <v>6</v>
      </c>
      <c r="D7" s="263" t="str">
        <f>RESUMO!A23</f>
        <v>U.C. : 07</v>
      </c>
      <c r="E7" s="258"/>
      <c r="F7" s="258"/>
      <c r="G7" s="260" t="s">
        <v>9</v>
      </c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  <c r="T7" s="486">
        <v>27.933983333333334</v>
      </c>
    </row>
    <row r="8" spans="1:21" ht="12" customHeight="1" thickBot="1" x14ac:dyDescent="0.25">
      <c r="A8" s="124"/>
      <c r="B8" s="125"/>
      <c r="C8" s="266" t="s">
        <v>8</v>
      </c>
      <c r="D8" s="267" t="str">
        <f>RESUMO!B23</f>
        <v>COLETOR 02</v>
      </c>
      <c r="E8" s="268"/>
      <c r="F8" s="268"/>
      <c r="G8" s="266"/>
      <c r="H8" s="123"/>
      <c r="I8" s="278"/>
      <c r="J8" s="278"/>
      <c r="K8" s="278"/>
      <c r="L8" s="278"/>
      <c r="M8" s="278"/>
      <c r="N8" s="271"/>
      <c r="O8" s="427"/>
      <c r="T8" s="486">
        <v>111.84263333333332</v>
      </c>
    </row>
    <row r="9" spans="1:21" ht="12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  <c r="T9" s="486">
        <v>33.916732499999995</v>
      </c>
    </row>
    <row r="10" spans="1:21" ht="12.75" x14ac:dyDescent="0.2">
      <c r="O10" s="19"/>
      <c r="T10" s="486">
        <v>25.188599999999997</v>
      </c>
    </row>
    <row r="11" spans="1:21" ht="11.25" customHeight="1" x14ac:dyDescent="0.2">
      <c r="A11" s="93">
        <f>RESUMO!A42</f>
        <v>1</v>
      </c>
      <c r="B11" s="93" t="str">
        <f>RESUMO!B24</f>
        <v>COLETOR 02 - SERVIÇOS</v>
      </c>
      <c r="H11" s="61"/>
      <c r="O11" s="19"/>
      <c r="T11" s="486">
        <v>165.94950759999998</v>
      </c>
    </row>
    <row r="12" spans="1:21" ht="11.25" customHeight="1" x14ac:dyDescent="0.2">
      <c r="A12" s="129" t="s">
        <v>48</v>
      </c>
      <c r="B12" s="88" t="s">
        <v>16</v>
      </c>
      <c r="H12" s="61"/>
      <c r="O12" s="19"/>
      <c r="T12" s="486">
        <v>10.542574899999998</v>
      </c>
    </row>
    <row r="13" spans="1:21" ht="11.25" customHeight="1" x14ac:dyDescent="0.2">
      <c r="A13" s="129" t="s">
        <v>79</v>
      </c>
      <c r="B13" s="88" t="s">
        <v>80</v>
      </c>
      <c r="H13" s="61"/>
      <c r="O13" s="19"/>
    </row>
    <row r="14" spans="1:21" ht="11.25" customHeight="1" x14ac:dyDescent="0.2">
      <c r="A14" s="129" t="s">
        <v>209</v>
      </c>
      <c r="B14" s="88" t="s">
        <v>210</v>
      </c>
      <c r="G14" s="97" t="s">
        <v>17</v>
      </c>
      <c r="H14" s="308">
        <f>P6</f>
        <v>121.47</v>
      </c>
      <c r="I14" s="323">
        <f>VLOOKUP(A14,'[1]TAB OGU JUN18'!$A:$G,6,"falso")</f>
        <v>1.2</v>
      </c>
      <c r="J14" s="323">
        <f>VLOOKUP(A14,'[1]TAB OGU JUN18'!$A:$G,4,"falso")</f>
        <v>0.82</v>
      </c>
      <c r="K14" s="308">
        <f>H14*J14</f>
        <v>99.605399999999989</v>
      </c>
      <c r="L14" s="323">
        <f>VLOOKUP(A14,'[1]TAB OGU JUN18'!$A:$G,5,"falso")</f>
        <v>0.38</v>
      </c>
      <c r="M14" s="308">
        <f>H14*L14</f>
        <v>46.1586</v>
      </c>
      <c r="N14" s="308">
        <f>H14*I14</f>
        <v>145.76399999999998</v>
      </c>
      <c r="O14" s="25">
        <f>N14/N17</f>
        <v>1</v>
      </c>
      <c r="Q14" s="311"/>
    </row>
    <row r="15" spans="1:21" ht="11.25" customHeight="1" x14ac:dyDescent="0.2">
      <c r="B15" s="258" t="s">
        <v>211</v>
      </c>
      <c r="G15" s="52"/>
      <c r="H15" s="324"/>
      <c r="I15" s="324"/>
      <c r="J15" s="313"/>
      <c r="K15" s="313"/>
      <c r="L15" s="313"/>
      <c r="M15" s="313"/>
      <c r="N15" s="309"/>
      <c r="O15" s="25"/>
      <c r="Q15" s="311"/>
    </row>
    <row r="16" spans="1:21" ht="11.25" customHeight="1" x14ac:dyDescent="0.2">
      <c r="G16" s="52"/>
      <c r="H16" s="324"/>
      <c r="I16" s="324"/>
      <c r="J16" s="313"/>
      <c r="K16" s="313"/>
      <c r="L16" s="313"/>
      <c r="M16" s="313"/>
      <c r="N16" s="309"/>
      <c r="O16" s="25"/>
      <c r="Q16" s="311"/>
    </row>
    <row r="17" spans="1:17" ht="11.25" customHeight="1" x14ac:dyDescent="0.2">
      <c r="B17" s="130" t="s">
        <v>18</v>
      </c>
      <c r="C17" s="131"/>
      <c r="D17" s="131"/>
      <c r="E17" s="131"/>
      <c r="F17" s="131"/>
      <c r="G17" s="53"/>
      <c r="H17" s="325"/>
      <c r="I17" s="325"/>
      <c r="J17" s="326"/>
      <c r="K17" s="326"/>
      <c r="L17" s="326"/>
      <c r="M17" s="326"/>
      <c r="N17" s="308">
        <f>SUM(N14:N14)</f>
        <v>145.76399999999998</v>
      </c>
      <c r="O17" s="25">
        <f>N17/N29</f>
        <v>0.64516129032258063</v>
      </c>
      <c r="Q17" s="311"/>
    </row>
    <row r="18" spans="1:17" ht="11.25" customHeight="1" x14ac:dyDescent="0.2">
      <c r="B18" s="130"/>
      <c r="G18" s="52"/>
      <c r="H18" s="324"/>
      <c r="I18" s="324"/>
      <c r="J18" s="313"/>
      <c r="K18" s="313"/>
      <c r="L18" s="313"/>
      <c r="M18" s="313"/>
      <c r="N18" s="308"/>
      <c r="O18" s="25"/>
      <c r="Q18" s="311"/>
    </row>
    <row r="19" spans="1:17" ht="11.25" customHeight="1" x14ac:dyDescent="0.2">
      <c r="A19" s="98" t="s">
        <v>779</v>
      </c>
      <c r="B19" s="88" t="s">
        <v>780</v>
      </c>
      <c r="G19" s="52"/>
      <c r="H19" s="324"/>
      <c r="I19" s="324"/>
      <c r="J19" s="313"/>
      <c r="K19" s="313"/>
      <c r="L19" s="313"/>
      <c r="M19" s="313"/>
      <c r="N19" s="313"/>
      <c r="O19" s="19"/>
      <c r="Q19" s="311"/>
    </row>
    <row r="20" spans="1:17" ht="11.25" customHeight="1" x14ac:dyDescent="0.2">
      <c r="A20" s="98" t="s">
        <v>782</v>
      </c>
      <c r="B20" s="88" t="s">
        <v>781</v>
      </c>
      <c r="G20" s="97" t="s">
        <v>17</v>
      </c>
      <c r="H20" s="308">
        <f>H14</f>
        <v>121.47</v>
      </c>
      <c r="I20" s="323">
        <f>VLOOKUP(A20,'[1]TAB OGU JUN18'!$A:$G,6,"falso")</f>
        <v>0.4</v>
      </c>
      <c r="J20" s="323">
        <f>VLOOKUP(A20,'[1]TAB OGU JUN18'!$A:$G,4,"falso")</f>
        <v>0.4</v>
      </c>
      <c r="K20" s="308">
        <f>H20*J20</f>
        <v>48.588000000000001</v>
      </c>
      <c r="L20" s="323">
        <f>VLOOKUP(A20,'[1]TAB OGU JUN18'!$A:$G,5,"falso")</f>
        <v>0</v>
      </c>
      <c r="M20" s="308"/>
      <c r="N20" s="308">
        <f>H20*I20</f>
        <v>48.588000000000001</v>
      </c>
      <c r="O20" s="25">
        <f>N20/N22</f>
        <v>1</v>
      </c>
      <c r="Q20" s="311"/>
    </row>
    <row r="21" spans="1:17" ht="11.25" customHeight="1" x14ac:dyDescent="0.2">
      <c r="G21" s="52"/>
      <c r="H21" s="324"/>
      <c r="I21" s="324"/>
      <c r="J21" s="313"/>
      <c r="K21" s="313"/>
      <c r="L21" s="313"/>
      <c r="M21" s="313"/>
      <c r="N21" s="313"/>
      <c r="O21" s="19"/>
      <c r="Q21" s="311"/>
    </row>
    <row r="22" spans="1:17" ht="11.25" customHeight="1" x14ac:dyDescent="0.2">
      <c r="B22" s="130" t="s">
        <v>18</v>
      </c>
      <c r="C22" s="131"/>
      <c r="D22" s="131"/>
      <c r="E22" s="131"/>
      <c r="F22" s="131"/>
      <c r="G22" s="53"/>
      <c r="H22" s="325"/>
      <c r="I22" s="325"/>
      <c r="J22" s="326"/>
      <c r="K22" s="326"/>
      <c r="L22" s="326"/>
      <c r="M22" s="326"/>
      <c r="N22" s="308">
        <f>N20</f>
        <v>48.588000000000001</v>
      </c>
      <c r="O22" s="25">
        <f>N22/N29</f>
        <v>0.21505376344086025</v>
      </c>
      <c r="Q22" s="311"/>
    </row>
    <row r="23" spans="1:17" ht="11.25" customHeight="1" x14ac:dyDescent="0.2">
      <c r="B23" s="130"/>
      <c r="G23" s="52"/>
      <c r="H23" s="324"/>
      <c r="I23" s="324"/>
      <c r="J23" s="313"/>
      <c r="K23" s="313"/>
      <c r="L23" s="313"/>
      <c r="M23" s="313"/>
      <c r="N23" s="308"/>
      <c r="O23" s="25"/>
      <c r="Q23" s="311"/>
    </row>
    <row r="24" spans="1:17" ht="11.25" customHeight="1" x14ac:dyDescent="0.2">
      <c r="A24" s="98" t="s">
        <v>82</v>
      </c>
      <c r="B24" s="88" t="s">
        <v>19</v>
      </c>
      <c r="G24" s="52"/>
      <c r="H24" s="19"/>
      <c r="I24" s="52"/>
      <c r="J24" s="52"/>
      <c r="K24" s="52"/>
      <c r="L24" s="52"/>
      <c r="M24" s="52"/>
      <c r="N24" s="52"/>
      <c r="O24" s="19"/>
    </row>
    <row r="25" spans="1:17" ht="11.25" customHeight="1" x14ac:dyDescent="0.2">
      <c r="A25" s="98" t="s">
        <v>83</v>
      </c>
      <c r="B25" s="88" t="s">
        <v>81</v>
      </c>
      <c r="G25" s="97" t="s">
        <v>17</v>
      </c>
      <c r="H25" s="308">
        <f>H20</f>
        <v>121.47</v>
      </c>
      <c r="I25" s="323">
        <f>VLOOKUP(A25,'[1]TAB OGU JUN18'!$A:$G,6,"falso")</f>
        <v>0.26</v>
      </c>
      <c r="J25" s="323">
        <f>VLOOKUP(A25,'[1]TAB OGU JUN18'!$A:$G,4,"falso")</f>
        <v>0.26</v>
      </c>
      <c r="K25" s="308">
        <f>H25*J25</f>
        <v>31.5822</v>
      </c>
      <c r="L25" s="323">
        <f>VLOOKUP(A25,'[1]TAB OGU JUN18'!$A:$G,5,"falso")</f>
        <v>0</v>
      </c>
      <c r="M25" s="308"/>
      <c r="N25" s="308">
        <f>H25*I25</f>
        <v>31.5822</v>
      </c>
      <c r="O25" s="25">
        <f>N25/N27</f>
        <v>1</v>
      </c>
    </row>
    <row r="26" spans="1:17" ht="11.25" customHeight="1" x14ac:dyDescent="0.2">
      <c r="G26" s="52"/>
      <c r="H26" s="324"/>
      <c r="I26" s="313"/>
      <c r="J26" s="313"/>
      <c r="K26" s="313"/>
      <c r="L26" s="313"/>
      <c r="M26" s="313"/>
      <c r="N26" s="313"/>
      <c r="O26" s="19"/>
    </row>
    <row r="27" spans="1:17" ht="11.25" customHeight="1" x14ac:dyDescent="0.2">
      <c r="B27" s="130" t="s">
        <v>18</v>
      </c>
      <c r="C27" s="131"/>
      <c r="D27" s="131"/>
      <c r="E27" s="131"/>
      <c r="F27" s="131"/>
      <c r="G27" s="53"/>
      <c r="H27" s="325"/>
      <c r="I27" s="326"/>
      <c r="J27" s="326"/>
      <c r="K27" s="326"/>
      <c r="L27" s="326"/>
      <c r="M27" s="326"/>
      <c r="N27" s="308">
        <f>N25</f>
        <v>31.5822</v>
      </c>
      <c r="O27" s="25">
        <f>N27/N29</f>
        <v>0.13978494623655915</v>
      </c>
    </row>
    <row r="28" spans="1:17" ht="11.25" customHeight="1" x14ac:dyDescent="0.2">
      <c r="B28" s="130"/>
      <c r="G28" s="52"/>
      <c r="H28" s="324"/>
      <c r="I28" s="313"/>
      <c r="J28" s="313"/>
      <c r="K28" s="313"/>
      <c r="L28" s="313"/>
      <c r="M28" s="313"/>
      <c r="N28" s="308"/>
      <c r="O28" s="25"/>
    </row>
    <row r="29" spans="1:17" s="132" customFormat="1" ht="11.25" customHeight="1" x14ac:dyDescent="0.2">
      <c r="B29" s="133" t="s">
        <v>20</v>
      </c>
      <c r="C29" s="134"/>
      <c r="D29" s="134"/>
      <c r="E29" s="134"/>
      <c r="F29" s="134"/>
      <c r="G29" s="78"/>
      <c r="H29" s="327"/>
      <c r="I29" s="328"/>
      <c r="J29" s="328"/>
      <c r="K29" s="328"/>
      <c r="L29" s="328"/>
      <c r="M29" s="328"/>
      <c r="N29" s="310">
        <f>N27+N17+N22</f>
        <v>225.93419999999998</v>
      </c>
      <c r="O29" s="77">
        <f>N29/N118</f>
        <v>1.8557781317765139E-2</v>
      </c>
    </row>
    <row r="30" spans="1:17" ht="11.25" customHeight="1" x14ac:dyDescent="0.2">
      <c r="G30" s="52"/>
      <c r="H30" s="324"/>
      <c r="I30" s="313"/>
      <c r="J30" s="313"/>
      <c r="K30" s="313"/>
      <c r="L30" s="313"/>
      <c r="M30" s="313"/>
      <c r="N30" s="313"/>
      <c r="O30" s="19"/>
    </row>
    <row r="31" spans="1:17" ht="11.25" customHeight="1" x14ac:dyDescent="0.2">
      <c r="A31" s="129" t="s">
        <v>93</v>
      </c>
      <c r="B31" s="88" t="s">
        <v>96</v>
      </c>
      <c r="H31" s="329"/>
      <c r="I31" s="311"/>
      <c r="J31" s="311"/>
      <c r="K31" s="311"/>
      <c r="L31" s="311"/>
      <c r="M31" s="311"/>
      <c r="N31" s="311"/>
      <c r="O31" s="19"/>
    </row>
    <row r="32" spans="1:17" ht="11.25" customHeight="1" x14ac:dyDescent="0.2">
      <c r="A32" s="129" t="s">
        <v>94</v>
      </c>
      <c r="B32" s="88" t="s">
        <v>97</v>
      </c>
      <c r="H32" s="329"/>
      <c r="I32" s="311"/>
      <c r="J32" s="311"/>
      <c r="K32" s="311"/>
      <c r="L32" s="311"/>
      <c r="M32" s="311"/>
      <c r="N32" s="311"/>
      <c r="O32" s="19"/>
    </row>
    <row r="33" spans="1:15" ht="11.25" customHeight="1" x14ac:dyDescent="0.2">
      <c r="A33" s="129" t="s">
        <v>95</v>
      </c>
      <c r="B33" s="88" t="s">
        <v>228</v>
      </c>
      <c r="G33" s="97" t="s">
        <v>32</v>
      </c>
      <c r="H33" s="308">
        <f>T6</f>
        <v>27.987333333333329</v>
      </c>
      <c r="I33" s="323">
        <f>VLOOKUP(A33,'[1]TAB OGU JUN18'!$A:$G,6,"falso")</f>
        <v>32.9</v>
      </c>
      <c r="J33" s="323">
        <f>VLOOKUP(A33,'[1]TAB OGU JUN18'!$A:$G,4,"falso")</f>
        <v>32.9</v>
      </c>
      <c r="K33" s="308">
        <f>H33*J33</f>
        <v>920.78326666666646</v>
      </c>
      <c r="L33" s="323">
        <f>VLOOKUP(A33,'[1]TAB OGU JUN18'!$A:$G,5,"falso")</f>
        <v>0</v>
      </c>
      <c r="M33" s="308"/>
      <c r="N33" s="308">
        <f>H33*I33</f>
        <v>920.78326666666646</v>
      </c>
      <c r="O33" s="25">
        <f>N33/N36</f>
        <v>0.44488559069570843</v>
      </c>
    </row>
    <row r="34" spans="1:15" ht="11.25" customHeight="1" x14ac:dyDescent="0.2">
      <c r="A34" s="129" t="s">
        <v>261</v>
      </c>
      <c r="B34" s="88" t="s">
        <v>643</v>
      </c>
      <c r="G34" s="97" t="s">
        <v>32</v>
      </c>
      <c r="H34" s="308">
        <f>T7</f>
        <v>27.933983333333334</v>
      </c>
      <c r="I34" s="323">
        <f>VLOOKUP(A34,'[1]TAB OGU JUN18'!$A:$G,6,"falso")</f>
        <v>41.13</v>
      </c>
      <c r="J34" s="323">
        <f>VLOOKUP(A34,'[1]TAB OGU JUN18'!$A:$G,4,"falso")</f>
        <v>41.13</v>
      </c>
      <c r="K34" s="308">
        <f>H34*J34</f>
        <v>1148.9247345000001</v>
      </c>
      <c r="L34" s="323">
        <f>VLOOKUP(A34,'[1]TAB OGU JUN18'!$A:$G,5,"falso")</f>
        <v>0</v>
      </c>
      <c r="M34" s="308"/>
      <c r="N34" s="308">
        <f>H34*I34</f>
        <v>1148.9247345000001</v>
      </c>
      <c r="O34" s="25">
        <f>N34/N36</f>
        <v>0.55511440930429157</v>
      </c>
    </row>
    <row r="35" spans="1:15" ht="11.25" customHeight="1" x14ac:dyDescent="0.2">
      <c r="G35" s="52"/>
      <c r="H35" s="324"/>
      <c r="I35" s="313"/>
      <c r="J35" s="313"/>
      <c r="K35" s="313"/>
      <c r="L35" s="313"/>
      <c r="M35" s="313"/>
      <c r="N35" s="309"/>
      <c r="O35" s="25"/>
    </row>
    <row r="36" spans="1:15" ht="11.25" customHeight="1" x14ac:dyDescent="0.2">
      <c r="B36" s="130" t="s">
        <v>18</v>
      </c>
      <c r="C36" s="131"/>
      <c r="D36" s="131"/>
      <c r="E36" s="131"/>
      <c r="F36" s="131"/>
      <c r="G36" s="53"/>
      <c r="H36" s="325"/>
      <c r="I36" s="326"/>
      <c r="J36" s="326"/>
      <c r="K36" s="326"/>
      <c r="L36" s="326"/>
      <c r="M36" s="326"/>
      <c r="N36" s="308">
        <f>SUM(N33:N34)</f>
        <v>2069.7080011666667</v>
      </c>
      <c r="O36" s="25">
        <f>N36/N66</f>
        <v>0.39898178894041125</v>
      </c>
    </row>
    <row r="37" spans="1:15" ht="11.25" customHeight="1" x14ac:dyDescent="0.2">
      <c r="B37" s="130"/>
      <c r="G37" s="52"/>
      <c r="H37" s="324"/>
      <c r="I37" s="313"/>
      <c r="J37" s="313"/>
      <c r="K37" s="313"/>
      <c r="L37" s="313"/>
      <c r="M37" s="313"/>
      <c r="N37" s="308"/>
      <c r="O37" s="25"/>
    </row>
    <row r="38" spans="1:15" ht="11.25" customHeight="1" x14ac:dyDescent="0.2">
      <c r="A38" s="98" t="s">
        <v>98</v>
      </c>
      <c r="B38" s="88" t="s">
        <v>100</v>
      </c>
      <c r="G38" s="52"/>
      <c r="H38" s="324"/>
      <c r="I38" s="313"/>
      <c r="J38" s="313"/>
      <c r="K38" s="313"/>
      <c r="L38" s="313"/>
      <c r="M38" s="313"/>
      <c r="N38" s="313"/>
      <c r="O38" s="19"/>
    </row>
    <row r="39" spans="1:15" ht="11.25" customHeight="1" x14ac:dyDescent="0.2">
      <c r="A39" s="98" t="s">
        <v>99</v>
      </c>
      <c r="B39" s="88" t="s">
        <v>229</v>
      </c>
      <c r="G39" s="97" t="s">
        <v>32</v>
      </c>
      <c r="H39" s="308">
        <f>T8</f>
        <v>111.84263333333332</v>
      </c>
      <c r="I39" s="323">
        <f>VLOOKUP(A39,'[1]TAB OGU JUN18'!$A:$G,6,"falso")</f>
        <v>9.77</v>
      </c>
      <c r="J39" s="323">
        <f>VLOOKUP(A39,'[1]TAB OGU JUN18'!$A:$G,4,"falso")</f>
        <v>9.77</v>
      </c>
      <c r="K39" s="308">
        <f>H39*J39</f>
        <v>1092.7025276666666</v>
      </c>
      <c r="L39" s="323">
        <f>VLOOKUP(A39,'[1]TAB OGU JUN18'!$A:$G,5,"falso")</f>
        <v>0</v>
      </c>
      <c r="M39" s="308"/>
      <c r="N39" s="308">
        <f>H39*I39</f>
        <v>1092.7025276666666</v>
      </c>
      <c r="O39" s="25">
        <f>N39/N42</f>
        <v>0.74272204826980082</v>
      </c>
    </row>
    <row r="40" spans="1:15" ht="11.25" customHeight="1" x14ac:dyDescent="0.2">
      <c r="A40" s="98" t="s">
        <v>232</v>
      </c>
      <c r="B40" s="88" t="s">
        <v>558</v>
      </c>
      <c r="G40" s="97" t="s">
        <v>32</v>
      </c>
      <c r="H40" s="308">
        <f>T9</f>
        <v>33.916732499999995</v>
      </c>
      <c r="I40" s="323">
        <f>VLOOKUP(A40,'[1]TAB OGU JUN18'!$A:$G,6,"falso")</f>
        <v>11.16</v>
      </c>
      <c r="J40" s="323">
        <f>VLOOKUP(A40,'[1]TAB OGU JUN18'!$A:$G,4,"falso")</f>
        <v>11.16</v>
      </c>
      <c r="K40" s="308">
        <f>H40*J40</f>
        <v>378.51073469999994</v>
      </c>
      <c r="L40" s="323">
        <f>VLOOKUP(A40,'[1]TAB OGU JUN18'!$A:$G,5,"falso")</f>
        <v>0</v>
      </c>
      <c r="M40" s="308"/>
      <c r="N40" s="308">
        <f>H40*I40</f>
        <v>378.51073469999994</v>
      </c>
      <c r="O40" s="25">
        <f>N40/N42</f>
        <v>0.25727795173019907</v>
      </c>
    </row>
    <row r="41" spans="1:15" ht="11.25" customHeight="1" x14ac:dyDescent="0.2">
      <c r="G41" s="52"/>
      <c r="H41" s="324"/>
      <c r="I41" s="313"/>
      <c r="J41" s="313"/>
      <c r="K41" s="313"/>
      <c r="L41" s="313"/>
      <c r="M41" s="313"/>
      <c r="N41" s="313"/>
      <c r="O41" s="19"/>
    </row>
    <row r="42" spans="1:15" ht="11.25" customHeight="1" x14ac:dyDescent="0.2">
      <c r="B42" s="130" t="s">
        <v>18</v>
      </c>
      <c r="C42" s="131"/>
      <c r="D42" s="131"/>
      <c r="E42" s="131"/>
      <c r="F42" s="131"/>
      <c r="G42" s="53"/>
      <c r="H42" s="325"/>
      <c r="I42" s="326"/>
      <c r="J42" s="326"/>
      <c r="K42" s="326"/>
      <c r="L42" s="326"/>
      <c r="M42" s="326"/>
      <c r="N42" s="308">
        <f>N39+N40</f>
        <v>1471.2132623666666</v>
      </c>
      <c r="O42" s="25">
        <f>N42/N66</f>
        <v>0.28360875012370557</v>
      </c>
    </row>
    <row r="43" spans="1:15" ht="11.25" customHeight="1" x14ac:dyDescent="0.2">
      <c r="B43" s="130"/>
      <c r="G43" s="52"/>
      <c r="H43" s="324"/>
      <c r="I43" s="313"/>
      <c r="J43" s="313"/>
      <c r="K43" s="313"/>
      <c r="L43" s="313"/>
      <c r="M43" s="313"/>
      <c r="N43" s="308"/>
      <c r="O43" s="25"/>
    </row>
    <row r="44" spans="1:15" ht="11.25" customHeight="1" x14ac:dyDescent="0.2">
      <c r="A44" s="98" t="s">
        <v>101</v>
      </c>
      <c r="B44" s="88" t="s">
        <v>21</v>
      </c>
      <c r="G44" s="97"/>
      <c r="H44" s="308"/>
      <c r="I44" s="308"/>
      <c r="J44" s="308"/>
      <c r="K44" s="308"/>
      <c r="L44" s="308"/>
      <c r="M44" s="308"/>
      <c r="N44" s="308"/>
      <c r="O44" s="25"/>
    </row>
    <row r="45" spans="1:15" ht="11.25" customHeight="1" x14ac:dyDescent="0.2">
      <c r="A45" s="98" t="s">
        <v>102</v>
      </c>
      <c r="B45" s="88" t="s">
        <v>104</v>
      </c>
      <c r="G45" s="97" t="s">
        <v>32</v>
      </c>
      <c r="H45" s="308">
        <f>T10</f>
        <v>25.188599999999997</v>
      </c>
      <c r="I45" s="323">
        <f>VLOOKUP(A45,'[1]TAB OGU JUN18'!$A:$G,6,"falso")</f>
        <v>7.4</v>
      </c>
      <c r="J45" s="323">
        <f>VLOOKUP(A45,'[1]TAB OGU JUN18'!$A:$G,4,"falso")</f>
        <v>7.4</v>
      </c>
      <c r="K45" s="308">
        <f>H45*J45</f>
        <v>186.39563999999999</v>
      </c>
      <c r="L45" s="323">
        <f>VLOOKUP(A45,'[1]TAB OGU JUN18'!$A:$G,5,"falso")</f>
        <v>0</v>
      </c>
      <c r="M45" s="308"/>
      <c r="N45" s="308">
        <f>H45*I45</f>
        <v>186.39563999999999</v>
      </c>
      <c r="O45" s="25">
        <f>N45/N48</f>
        <v>0.45972648738202243</v>
      </c>
    </row>
    <row r="46" spans="1:15" ht="11.25" customHeight="1" x14ac:dyDescent="0.2">
      <c r="A46" s="98" t="s">
        <v>103</v>
      </c>
      <c r="B46" s="88" t="s">
        <v>105</v>
      </c>
      <c r="G46" s="97" t="s">
        <v>32</v>
      </c>
      <c r="H46" s="308">
        <f>T11</f>
        <v>165.94950759999998</v>
      </c>
      <c r="I46" s="323">
        <f>VLOOKUP(A46,'[1]TAB OGU JUN18'!$A:$G,6,"falso")</f>
        <v>1.32</v>
      </c>
      <c r="J46" s="323">
        <f>VLOOKUP(A46,'[1]TAB OGU JUN18'!$A:$G,4,"falso")</f>
        <v>1.32</v>
      </c>
      <c r="K46" s="308">
        <f>H46*J46</f>
        <v>219.05335003199997</v>
      </c>
      <c r="L46" s="323">
        <f>VLOOKUP(A46,'[1]TAB OGU JUN18'!$A:$G,5,"falso")</f>
        <v>0</v>
      </c>
      <c r="M46" s="308"/>
      <c r="N46" s="308">
        <f>H46*I46</f>
        <v>219.05335003199997</v>
      </c>
      <c r="O46" s="25">
        <f>N46/N48</f>
        <v>0.54027351261797751</v>
      </c>
    </row>
    <row r="47" spans="1:15" ht="11.25" customHeight="1" x14ac:dyDescent="0.2">
      <c r="B47" s="130"/>
      <c r="G47" s="52"/>
      <c r="H47" s="324"/>
      <c r="I47" s="313"/>
      <c r="J47" s="313"/>
      <c r="K47" s="313"/>
      <c r="L47" s="313"/>
      <c r="M47" s="313"/>
      <c r="N47" s="308"/>
      <c r="O47" s="25"/>
    </row>
    <row r="48" spans="1:15" ht="11.25" customHeight="1" x14ac:dyDescent="0.2">
      <c r="B48" s="130" t="s">
        <v>18</v>
      </c>
      <c r="C48" s="131"/>
      <c r="D48" s="131"/>
      <c r="E48" s="131"/>
      <c r="F48" s="131"/>
      <c r="G48" s="53"/>
      <c r="H48" s="325"/>
      <c r="I48" s="326"/>
      <c r="J48" s="326"/>
      <c r="K48" s="326"/>
      <c r="L48" s="326"/>
      <c r="M48" s="326"/>
      <c r="N48" s="308">
        <f>N46+N45</f>
        <v>405.44899003199998</v>
      </c>
      <c r="O48" s="25">
        <f>N48/N66</f>
        <v>7.8159220177853386E-2</v>
      </c>
    </row>
    <row r="49" spans="1:15" ht="11.25" customHeight="1" x14ac:dyDescent="0.2">
      <c r="B49" s="130"/>
      <c r="G49" s="52"/>
      <c r="H49" s="324"/>
      <c r="I49" s="313"/>
      <c r="J49" s="313"/>
      <c r="K49" s="313"/>
      <c r="L49" s="313"/>
      <c r="M49" s="313"/>
      <c r="N49" s="308"/>
      <c r="O49" s="25"/>
    </row>
    <row r="50" spans="1:15" ht="11.25" customHeight="1" x14ac:dyDescent="0.2">
      <c r="A50" s="98" t="s">
        <v>106</v>
      </c>
      <c r="B50" s="88" t="s">
        <v>109</v>
      </c>
      <c r="G50" s="97"/>
      <c r="H50" s="308"/>
      <c r="I50" s="308"/>
      <c r="J50" s="308"/>
      <c r="K50" s="308"/>
      <c r="L50" s="308"/>
      <c r="M50" s="308"/>
      <c r="N50" s="308"/>
      <c r="O50" s="25"/>
    </row>
    <row r="51" spans="1:15" ht="11.25" customHeight="1" x14ac:dyDescent="0.2">
      <c r="A51" s="98" t="s">
        <v>107</v>
      </c>
      <c r="B51" s="88" t="s">
        <v>104</v>
      </c>
      <c r="G51" s="97" t="s">
        <v>32</v>
      </c>
      <c r="H51" s="308">
        <f>H45</f>
        <v>25.188599999999997</v>
      </c>
      <c r="I51" s="323">
        <f>VLOOKUP(A51,'[1]TAB OGU JUN18'!$A:$G,6,"falso")</f>
        <v>20.56</v>
      </c>
      <c r="J51" s="323">
        <f>VLOOKUP(A51,'[1]TAB OGU JUN18'!$A:$G,4,"falso")</f>
        <v>20.56</v>
      </c>
      <c r="K51" s="308">
        <f>H51*J51</f>
        <v>517.87761599999988</v>
      </c>
      <c r="L51" s="323">
        <f>VLOOKUP(A51,'[1]TAB OGU JUN18'!$A:$G,5,"falso")</f>
        <v>0</v>
      </c>
      <c r="M51" s="308"/>
      <c r="N51" s="308">
        <f>H51*I51</f>
        <v>517.87761599999988</v>
      </c>
      <c r="O51" s="25">
        <f>N51/N54</f>
        <v>0.43520110372353793</v>
      </c>
    </row>
    <row r="52" spans="1:15" ht="11.25" customHeight="1" x14ac:dyDescent="0.2">
      <c r="A52" s="98" t="s">
        <v>108</v>
      </c>
      <c r="B52" s="88" t="s">
        <v>105</v>
      </c>
      <c r="G52" s="97" t="s">
        <v>32</v>
      </c>
      <c r="H52" s="308">
        <f>H46</f>
        <v>165.94950759999998</v>
      </c>
      <c r="I52" s="323">
        <f>VLOOKUP(A52,'[1]TAB OGU JUN18'!$A:$G,6,"falso")</f>
        <v>4.05</v>
      </c>
      <c r="J52" s="323">
        <f>VLOOKUP(A52,'[1]TAB OGU JUN18'!$A:$G,4,"falso")</f>
        <v>4.05</v>
      </c>
      <c r="K52" s="308">
        <f>H52*J52</f>
        <v>672.09550577999983</v>
      </c>
      <c r="L52" s="323">
        <f>VLOOKUP(A52,'[1]TAB OGU JUN18'!$A:$G,5,"falso")</f>
        <v>0</v>
      </c>
      <c r="M52" s="308"/>
      <c r="N52" s="308">
        <f>H52*I52</f>
        <v>672.09550577999983</v>
      </c>
      <c r="O52" s="25">
        <f>N52/N54</f>
        <v>0.56479889627646207</v>
      </c>
    </row>
    <row r="53" spans="1:15" ht="11.25" customHeight="1" x14ac:dyDescent="0.2">
      <c r="B53" s="130"/>
      <c r="G53" s="52"/>
      <c r="H53" s="324"/>
      <c r="I53" s="313"/>
      <c r="J53" s="313"/>
      <c r="K53" s="313"/>
      <c r="L53" s="313"/>
      <c r="M53" s="313"/>
      <c r="N53" s="308"/>
      <c r="O53" s="25"/>
    </row>
    <row r="54" spans="1:15" ht="11.25" customHeight="1" x14ac:dyDescent="0.2">
      <c r="B54" s="130" t="s">
        <v>18</v>
      </c>
      <c r="C54" s="131"/>
      <c r="D54" s="131"/>
      <c r="E54" s="131"/>
      <c r="F54" s="131"/>
      <c r="G54" s="53"/>
      <c r="H54" s="325"/>
      <c r="I54" s="326"/>
      <c r="J54" s="326"/>
      <c r="K54" s="326"/>
      <c r="L54" s="326"/>
      <c r="M54" s="326"/>
      <c r="N54" s="308">
        <f>N52+N51</f>
        <v>1189.9731217799997</v>
      </c>
      <c r="O54" s="25">
        <f>N54/N66</f>
        <v>0.22939352055998449</v>
      </c>
    </row>
    <row r="55" spans="1:15" ht="11.25" customHeight="1" x14ac:dyDescent="0.2">
      <c r="B55" s="130"/>
      <c r="G55" s="52"/>
      <c r="H55" s="324"/>
      <c r="I55" s="313"/>
      <c r="J55" s="313"/>
      <c r="K55" s="313"/>
      <c r="L55" s="313"/>
      <c r="M55" s="313"/>
      <c r="N55" s="308"/>
      <c r="O55" s="25"/>
    </row>
    <row r="56" spans="1:15" ht="11.25" customHeight="1" x14ac:dyDescent="0.2">
      <c r="A56" s="98" t="s">
        <v>110</v>
      </c>
      <c r="B56" s="88" t="s">
        <v>112</v>
      </c>
      <c r="G56" s="52"/>
      <c r="H56" s="324"/>
      <c r="I56" s="313"/>
      <c r="J56" s="313"/>
      <c r="K56" s="313"/>
      <c r="L56" s="313"/>
      <c r="M56" s="313"/>
      <c r="N56" s="313"/>
      <c r="O56" s="19"/>
    </row>
    <row r="57" spans="1:15" ht="11.25" customHeight="1" x14ac:dyDescent="0.2">
      <c r="A57" s="98" t="s">
        <v>111</v>
      </c>
      <c r="B57" s="88" t="s">
        <v>113</v>
      </c>
      <c r="G57" s="97" t="s">
        <v>32</v>
      </c>
      <c r="H57" s="308">
        <f>T12</f>
        <v>10.542574899999998</v>
      </c>
      <c r="I57" s="323">
        <f>VLOOKUP(A57,'[1]TAB OGU JUN18'!$A:$G,6,"falso")</f>
        <v>1.85</v>
      </c>
      <c r="J57" s="323">
        <f>VLOOKUP(A57,'[1]TAB OGU JUN18'!$A:$G,4,"falso")</f>
        <v>1.85</v>
      </c>
      <c r="K57" s="308">
        <f>H57*J57</f>
        <v>19.503763564999996</v>
      </c>
      <c r="L57" s="323">
        <f>VLOOKUP(A57,'[1]TAB OGU JUN18'!$A:$G,5,"falso")</f>
        <v>0</v>
      </c>
      <c r="M57" s="308"/>
      <c r="N57" s="308">
        <f>H57*I57</f>
        <v>19.503763564999996</v>
      </c>
      <c r="O57" s="25">
        <f>N57/N59</f>
        <v>1</v>
      </c>
    </row>
    <row r="58" spans="1:15" ht="11.25" customHeight="1" x14ac:dyDescent="0.2">
      <c r="G58" s="52"/>
      <c r="H58" s="324"/>
      <c r="I58" s="313"/>
      <c r="J58" s="313"/>
      <c r="K58" s="313"/>
      <c r="L58" s="313"/>
      <c r="M58" s="313"/>
      <c r="N58" s="313"/>
      <c r="O58" s="19"/>
    </row>
    <row r="59" spans="1:15" ht="11.25" customHeight="1" x14ac:dyDescent="0.2">
      <c r="B59" s="130" t="s">
        <v>18</v>
      </c>
      <c r="C59" s="131"/>
      <c r="D59" s="131"/>
      <c r="E59" s="131"/>
      <c r="F59" s="131"/>
      <c r="G59" s="53"/>
      <c r="H59" s="325"/>
      <c r="I59" s="326"/>
      <c r="J59" s="326"/>
      <c r="K59" s="326"/>
      <c r="L59" s="326"/>
      <c r="M59" s="326"/>
      <c r="N59" s="308">
        <f>N57</f>
        <v>19.503763564999996</v>
      </c>
      <c r="O59" s="25">
        <f>N59/N66</f>
        <v>3.7597798693574658E-3</v>
      </c>
    </row>
    <row r="60" spans="1:15" ht="11.25" customHeight="1" x14ac:dyDescent="0.2">
      <c r="B60" s="130"/>
      <c r="G60" s="52"/>
      <c r="H60" s="324"/>
      <c r="I60" s="313"/>
      <c r="J60" s="313"/>
      <c r="K60" s="313"/>
      <c r="L60" s="313"/>
      <c r="M60" s="313"/>
      <c r="N60" s="308"/>
      <c r="O60" s="25"/>
    </row>
    <row r="61" spans="1:15" ht="11.25" customHeight="1" x14ac:dyDescent="0.2">
      <c r="A61" s="98" t="s">
        <v>114</v>
      </c>
      <c r="B61" s="88" t="s">
        <v>737</v>
      </c>
      <c r="G61" s="52"/>
      <c r="H61" s="324"/>
      <c r="I61" s="313"/>
      <c r="J61" s="313"/>
      <c r="K61" s="313"/>
      <c r="L61" s="313"/>
      <c r="M61" s="313"/>
      <c r="N61" s="313"/>
      <c r="O61" s="19"/>
    </row>
    <row r="62" spans="1:15" ht="11.25" customHeight="1" x14ac:dyDescent="0.2">
      <c r="A62" s="98" t="s">
        <v>115</v>
      </c>
      <c r="B62" s="88" t="s">
        <v>116</v>
      </c>
      <c r="G62" s="97" t="s">
        <v>180</v>
      </c>
      <c r="H62" s="308">
        <f>H57*3</f>
        <v>31.627724699999995</v>
      </c>
      <c r="I62" s="323">
        <f>VLOOKUP(A62,'[1]TAB OGU JUN18'!$A:$G,6,"falso")</f>
        <v>1</v>
      </c>
      <c r="J62" s="323">
        <f>VLOOKUP(A62,'[1]TAB OGU JUN18'!$A:$G,4,"falso")</f>
        <v>1</v>
      </c>
      <c r="K62" s="308">
        <f>H62*J62</f>
        <v>31.627724699999995</v>
      </c>
      <c r="L62" s="323">
        <f>VLOOKUP(A62,'[1]TAB OGU JUN18'!$A:$G,5,"falso")</f>
        <v>0</v>
      </c>
      <c r="M62" s="308"/>
      <c r="N62" s="308">
        <f>H62*I62</f>
        <v>31.627724699999995</v>
      </c>
      <c r="O62" s="25">
        <f>N62/N64</f>
        <v>1</v>
      </c>
    </row>
    <row r="63" spans="1:15" ht="11.25" customHeight="1" x14ac:dyDescent="0.2">
      <c r="G63" s="52"/>
      <c r="H63" s="324"/>
      <c r="I63" s="313"/>
      <c r="J63" s="313"/>
      <c r="K63" s="313"/>
      <c r="L63" s="313"/>
      <c r="M63" s="313"/>
      <c r="N63" s="313"/>
      <c r="O63" s="19"/>
    </row>
    <row r="64" spans="1:15" ht="11.25" customHeight="1" x14ac:dyDescent="0.2">
      <c r="B64" s="130" t="s">
        <v>18</v>
      </c>
      <c r="C64" s="131"/>
      <c r="D64" s="131"/>
      <c r="E64" s="131"/>
      <c r="F64" s="131"/>
      <c r="G64" s="53"/>
      <c r="H64" s="325"/>
      <c r="I64" s="326"/>
      <c r="J64" s="326"/>
      <c r="K64" s="326"/>
      <c r="L64" s="326"/>
      <c r="M64" s="326"/>
      <c r="N64" s="308">
        <f>N62</f>
        <v>31.627724699999995</v>
      </c>
      <c r="O64" s="25">
        <f>N64/N66</f>
        <v>6.0969403286877822E-3</v>
      </c>
    </row>
    <row r="65" spans="1:17" ht="11.25" customHeight="1" x14ac:dyDescent="0.2">
      <c r="B65" s="130"/>
      <c r="G65" s="52"/>
      <c r="H65" s="324"/>
      <c r="I65" s="313"/>
      <c r="J65" s="313"/>
      <c r="K65" s="313"/>
      <c r="L65" s="313"/>
      <c r="M65" s="313"/>
      <c r="N65" s="308"/>
      <c r="O65" s="25"/>
    </row>
    <row r="66" spans="1:17" s="132" customFormat="1" ht="11.25" customHeight="1" x14ac:dyDescent="0.2">
      <c r="B66" s="133" t="s">
        <v>20</v>
      </c>
      <c r="C66" s="134"/>
      <c r="D66" s="134"/>
      <c r="E66" s="134"/>
      <c r="F66" s="134"/>
      <c r="G66" s="78"/>
      <c r="H66" s="327"/>
      <c r="I66" s="328"/>
      <c r="J66" s="328"/>
      <c r="K66" s="328"/>
      <c r="L66" s="328"/>
      <c r="M66" s="328"/>
      <c r="N66" s="310">
        <f>N64+N59+N54+N48+N42+N36</f>
        <v>5187.4748636103332</v>
      </c>
      <c r="O66" s="77">
        <f>N66/N118</f>
        <v>0.42608876438487003</v>
      </c>
    </row>
    <row r="67" spans="1:17" ht="11.25" customHeight="1" x14ac:dyDescent="0.2">
      <c r="B67" s="130"/>
      <c r="G67" s="52"/>
      <c r="H67" s="324"/>
      <c r="I67" s="313"/>
      <c r="J67" s="313"/>
      <c r="K67" s="313"/>
      <c r="L67" s="313"/>
      <c r="M67" s="313"/>
      <c r="N67" s="308"/>
      <c r="O67" s="25"/>
    </row>
    <row r="68" spans="1:17" ht="11.25" customHeight="1" x14ac:dyDescent="0.2">
      <c r="A68" s="129" t="s">
        <v>117</v>
      </c>
      <c r="B68" s="88" t="s">
        <v>22</v>
      </c>
      <c r="H68" s="329"/>
      <c r="I68" s="311"/>
      <c r="J68" s="311"/>
      <c r="K68" s="311"/>
      <c r="L68" s="311"/>
      <c r="M68" s="311"/>
      <c r="N68" s="311"/>
      <c r="O68" s="19"/>
    </row>
    <row r="69" spans="1:17" ht="11.25" customHeight="1" x14ac:dyDescent="0.2">
      <c r="A69" s="129" t="s">
        <v>118</v>
      </c>
      <c r="B69" s="88" t="s">
        <v>23</v>
      </c>
      <c r="H69" s="329"/>
      <c r="I69" s="311"/>
      <c r="J69" s="311"/>
      <c r="K69" s="311"/>
      <c r="L69" s="311"/>
      <c r="M69" s="311"/>
      <c r="N69" s="311"/>
      <c r="O69" s="19"/>
    </row>
    <row r="70" spans="1:17" ht="11.25" customHeight="1" x14ac:dyDescent="0.2">
      <c r="A70" s="129" t="s">
        <v>119</v>
      </c>
      <c r="B70" s="88" t="s">
        <v>120</v>
      </c>
      <c r="G70" s="97" t="s">
        <v>31</v>
      </c>
      <c r="H70" s="308">
        <f>0.95*S6</f>
        <v>110.62777549999998</v>
      </c>
      <c r="I70" s="323">
        <f>VLOOKUP(A70,'[1]TAB OGU JUN18'!$A:$G,6,"falso")</f>
        <v>14.81</v>
      </c>
      <c r="J70" s="323">
        <f>VLOOKUP(A70,'[1]TAB OGU JUN18'!$A:$G,4,"falso")</f>
        <v>13.63</v>
      </c>
      <c r="K70" s="308">
        <f>H70*J70</f>
        <v>1507.8565800649999</v>
      </c>
      <c r="L70" s="323">
        <f>VLOOKUP(A70,'[1]TAB OGU JUN18'!$A:$G,5,"falso")</f>
        <v>1.18</v>
      </c>
      <c r="M70" s="308">
        <f>H70*L70</f>
        <v>130.54077508999998</v>
      </c>
      <c r="N70" s="308">
        <f>H70*I70</f>
        <v>1638.3973551549998</v>
      </c>
      <c r="O70" s="25">
        <f>N70/N73</f>
        <v>0.92425685662670387</v>
      </c>
    </row>
    <row r="71" spans="1:17" ht="11.25" customHeight="1" x14ac:dyDescent="0.2">
      <c r="A71" s="129" t="s">
        <v>224</v>
      </c>
      <c r="B71" s="88" t="s">
        <v>225</v>
      </c>
      <c r="G71" s="97" t="s">
        <v>31</v>
      </c>
      <c r="H71" s="308">
        <f>0.05*S6</f>
        <v>5.8225145000000005</v>
      </c>
      <c r="I71" s="323">
        <f>VLOOKUP(A71,'[1]TAB OGU JUN18'!$A:$G,6,"falso")</f>
        <v>23.06</v>
      </c>
      <c r="J71" s="323">
        <f>VLOOKUP(A71,'[1]TAB OGU JUN18'!$A:$G,4,"falso")</f>
        <v>22.37</v>
      </c>
      <c r="K71" s="308">
        <f>H71*J71</f>
        <v>130.24964936500001</v>
      </c>
      <c r="L71" s="323">
        <f>VLOOKUP(A71,'[1]TAB OGU JUN18'!$A:$G,5,"falso")-0.01</f>
        <v>0.67999999999999994</v>
      </c>
      <c r="M71" s="308">
        <f>H71*L71</f>
        <v>3.9593098599999998</v>
      </c>
      <c r="N71" s="308">
        <f>H71*I71</f>
        <v>134.26718437</v>
      </c>
      <c r="O71" s="25">
        <f>N71/N73</f>
        <v>7.5743143373296115E-2</v>
      </c>
    </row>
    <row r="72" spans="1:17" ht="11.25" customHeight="1" x14ac:dyDescent="0.2">
      <c r="B72" s="130"/>
      <c r="G72" s="52"/>
      <c r="H72" s="324"/>
      <c r="I72" s="313"/>
      <c r="J72" s="313"/>
      <c r="K72" s="313"/>
      <c r="L72" s="313"/>
      <c r="M72" s="313"/>
      <c r="N72" s="308"/>
      <c r="O72" s="25"/>
    </row>
    <row r="73" spans="1:17" ht="11.25" customHeight="1" x14ac:dyDescent="0.2">
      <c r="B73" s="130" t="s">
        <v>18</v>
      </c>
      <c r="C73" s="131"/>
      <c r="D73" s="131"/>
      <c r="E73" s="131"/>
      <c r="F73" s="131"/>
      <c r="G73" s="53"/>
      <c r="H73" s="325"/>
      <c r="I73" s="326"/>
      <c r="J73" s="326"/>
      <c r="K73" s="326"/>
      <c r="L73" s="326"/>
      <c r="M73" s="326"/>
      <c r="N73" s="308">
        <f>N70+N71</f>
        <v>1772.6645395249998</v>
      </c>
      <c r="O73" s="25">
        <f>N73/N80</f>
        <v>1</v>
      </c>
    </row>
    <row r="74" spans="1:17" ht="12.75" hidden="1" x14ac:dyDescent="0.2">
      <c r="B74" s="130"/>
      <c r="G74" s="52"/>
      <c r="H74" s="324"/>
      <c r="I74" s="324"/>
      <c r="J74" s="313"/>
      <c r="K74" s="313"/>
      <c r="L74" s="313"/>
      <c r="M74" s="313"/>
      <c r="N74" s="308"/>
      <c r="O74" s="25"/>
      <c r="Q74" s="311"/>
    </row>
    <row r="75" spans="1:17" ht="12.75" hidden="1" x14ac:dyDescent="0.2">
      <c r="A75" s="129" t="s">
        <v>304</v>
      </c>
      <c r="B75" s="88" t="s">
        <v>305</v>
      </c>
      <c r="H75" s="329"/>
      <c r="I75" s="329"/>
      <c r="J75" s="311"/>
      <c r="K75" s="311"/>
      <c r="L75" s="311"/>
      <c r="M75" s="311"/>
      <c r="N75" s="311"/>
      <c r="O75" s="19"/>
      <c r="Q75" s="311"/>
    </row>
    <row r="76" spans="1:17" ht="12.75" hidden="1" x14ac:dyDescent="0.2">
      <c r="A76" s="129" t="s">
        <v>306</v>
      </c>
      <c r="B76" s="88" t="s">
        <v>307</v>
      </c>
      <c r="G76" s="97" t="s">
        <v>31</v>
      </c>
      <c r="H76" s="308"/>
      <c r="I76" s="323">
        <f>VLOOKUP(A76,'[1]TAB OGU JUN18'!$A:$G,6,"falso")</f>
        <v>144.25</v>
      </c>
      <c r="J76" s="323">
        <f>VLOOKUP(A76,'[1]TAB OGU JUN18'!$A:$G,4,"falso")</f>
        <v>134.15</v>
      </c>
      <c r="K76" s="308">
        <f>H76*J76</f>
        <v>0</v>
      </c>
      <c r="L76" s="323">
        <f>VLOOKUP(A76,'[1]TAB OGU JUN18'!$A:$G,5,"falso")</f>
        <v>10.1</v>
      </c>
      <c r="M76" s="308">
        <f>H76*L76</f>
        <v>0</v>
      </c>
      <c r="N76" s="308">
        <f>H76*I76</f>
        <v>0</v>
      </c>
      <c r="O76" s="25" t="e">
        <f>N76/N78</f>
        <v>#DIV/0!</v>
      </c>
      <c r="Q76" s="311"/>
    </row>
    <row r="77" spans="1:17" ht="12.75" hidden="1" x14ac:dyDescent="0.2">
      <c r="B77" s="130"/>
      <c r="G77" s="52"/>
      <c r="H77" s="324"/>
      <c r="I77" s="324"/>
      <c r="J77" s="313"/>
      <c r="K77" s="313"/>
      <c r="L77" s="313"/>
      <c r="M77" s="313"/>
      <c r="N77" s="308"/>
      <c r="O77" s="25"/>
      <c r="Q77" s="311"/>
    </row>
    <row r="78" spans="1:17" ht="12.75" hidden="1" x14ac:dyDescent="0.2">
      <c r="B78" s="130" t="s">
        <v>18</v>
      </c>
      <c r="C78" s="131"/>
      <c r="D78" s="131"/>
      <c r="E78" s="131"/>
      <c r="F78" s="131"/>
      <c r="G78" s="53"/>
      <c r="H78" s="325"/>
      <c r="I78" s="325"/>
      <c r="J78" s="326"/>
      <c r="K78" s="326"/>
      <c r="L78" s="326"/>
      <c r="M78" s="326"/>
      <c r="N78" s="308">
        <f>N76</f>
        <v>0</v>
      </c>
      <c r="O78" s="25">
        <f>N78/N80</f>
        <v>0</v>
      </c>
      <c r="Q78" s="311"/>
    </row>
    <row r="79" spans="1:17" ht="11.25" customHeight="1" x14ac:dyDescent="0.2">
      <c r="B79" s="130"/>
      <c r="G79" s="52"/>
      <c r="H79" s="324"/>
      <c r="I79" s="313"/>
      <c r="J79" s="313"/>
      <c r="K79" s="313"/>
      <c r="L79" s="313"/>
      <c r="M79" s="313"/>
      <c r="N79" s="308"/>
      <c r="O79" s="25"/>
    </row>
    <row r="80" spans="1:17" s="132" customFormat="1" ht="11.25" customHeight="1" x14ac:dyDescent="0.2">
      <c r="B80" s="133" t="s">
        <v>20</v>
      </c>
      <c r="C80" s="134"/>
      <c r="D80" s="134"/>
      <c r="E80" s="134"/>
      <c r="F80" s="134"/>
      <c r="G80" s="78"/>
      <c r="H80" s="327"/>
      <c r="I80" s="328"/>
      <c r="J80" s="328"/>
      <c r="K80" s="328"/>
      <c r="L80" s="328"/>
      <c r="M80" s="328"/>
      <c r="N80" s="310">
        <f>N73+N78</f>
        <v>1772.6645395249998</v>
      </c>
      <c r="O80" s="77">
        <f>N80/N118</f>
        <v>0.14560310424124273</v>
      </c>
    </row>
    <row r="81" spans="1:17" ht="11.25" customHeight="1" x14ac:dyDescent="0.2">
      <c r="B81" s="130"/>
      <c r="G81" s="52"/>
      <c r="H81" s="324"/>
      <c r="I81" s="313"/>
      <c r="J81" s="313"/>
      <c r="K81" s="313"/>
      <c r="L81" s="313"/>
      <c r="M81" s="313"/>
      <c r="N81" s="308"/>
      <c r="O81" s="25"/>
    </row>
    <row r="82" spans="1:17" ht="11.25" customHeight="1" x14ac:dyDescent="0.2">
      <c r="A82" s="129" t="s">
        <v>124</v>
      </c>
      <c r="B82" s="88" t="s">
        <v>121</v>
      </c>
      <c r="H82" s="329"/>
      <c r="I82" s="311"/>
      <c r="J82" s="311"/>
      <c r="K82" s="311"/>
      <c r="L82" s="311"/>
      <c r="M82" s="311"/>
      <c r="N82" s="311"/>
      <c r="O82" s="19"/>
    </row>
    <row r="83" spans="1:17" ht="11.25" customHeight="1" x14ac:dyDescent="0.2">
      <c r="A83" s="129" t="s">
        <v>125</v>
      </c>
      <c r="B83" s="88" t="s">
        <v>122</v>
      </c>
      <c r="H83" s="329"/>
      <c r="I83" s="311"/>
      <c r="J83" s="311"/>
      <c r="K83" s="311"/>
      <c r="L83" s="311"/>
      <c r="M83" s="311"/>
      <c r="N83" s="311"/>
      <c r="O83" s="19"/>
    </row>
    <row r="84" spans="1:17" ht="11.25" customHeight="1" x14ac:dyDescent="0.2">
      <c r="A84" s="129" t="s">
        <v>126</v>
      </c>
      <c r="B84" s="88" t="s">
        <v>189</v>
      </c>
      <c r="G84" s="97" t="s">
        <v>123</v>
      </c>
      <c r="H84" s="308">
        <f>((H14*R6*Q6)*0.06*1000)/20000</f>
        <v>0.60369222332551231</v>
      </c>
      <c r="I84" s="323">
        <f>VLOOKUP(A84,'[1]TAB OGU JUN18'!$A:$G,6,"falso")</f>
        <v>5.52</v>
      </c>
      <c r="J84" s="323">
        <f>VLOOKUP(A84,'[1]TAB OGU JUN18'!$A:$G,4,"falso")</f>
        <v>5.52</v>
      </c>
      <c r="K84" s="308">
        <f>H84*J84</f>
        <v>3.3323810727568275</v>
      </c>
      <c r="L84" s="323">
        <f>VLOOKUP(A84,'[1]TAB OGU JUN18'!$A:$G,5,"falso")</f>
        <v>0</v>
      </c>
      <c r="M84" s="308"/>
      <c r="N84" s="308">
        <f>H84*I84</f>
        <v>3.3323810727568275</v>
      </c>
      <c r="O84" s="25">
        <f>N84/N86</f>
        <v>1</v>
      </c>
    </row>
    <row r="85" spans="1:17" ht="11.25" customHeight="1" x14ac:dyDescent="0.2">
      <c r="B85" s="130"/>
      <c r="G85" s="52"/>
      <c r="H85" s="324"/>
      <c r="I85" s="313"/>
      <c r="J85" s="313"/>
      <c r="K85" s="313"/>
      <c r="L85" s="313"/>
      <c r="M85" s="313"/>
      <c r="N85" s="308"/>
      <c r="O85" s="25"/>
    </row>
    <row r="86" spans="1:17" ht="11.25" customHeight="1" x14ac:dyDescent="0.2">
      <c r="B86" s="130" t="s">
        <v>18</v>
      </c>
      <c r="C86" s="131"/>
      <c r="D86" s="131"/>
      <c r="E86" s="131"/>
      <c r="F86" s="131"/>
      <c r="G86" s="53"/>
      <c r="H86" s="325"/>
      <c r="I86" s="326"/>
      <c r="J86" s="326"/>
      <c r="K86" s="326"/>
      <c r="L86" s="326"/>
      <c r="M86" s="326"/>
      <c r="N86" s="308">
        <f>N84</f>
        <v>3.3323810727568275</v>
      </c>
      <c r="O86" s="25">
        <f>N86/N88</f>
        <v>1</v>
      </c>
    </row>
    <row r="87" spans="1:17" ht="11.25" customHeight="1" x14ac:dyDescent="0.2">
      <c r="B87" s="130"/>
      <c r="G87" s="52"/>
      <c r="H87" s="324"/>
      <c r="I87" s="313"/>
      <c r="J87" s="313"/>
      <c r="K87" s="313"/>
      <c r="L87" s="313"/>
      <c r="M87" s="313"/>
      <c r="N87" s="308"/>
      <c r="O87" s="25"/>
    </row>
    <row r="88" spans="1:17" s="132" customFormat="1" ht="11.25" customHeight="1" x14ac:dyDescent="0.2">
      <c r="B88" s="133" t="s">
        <v>20</v>
      </c>
      <c r="C88" s="134"/>
      <c r="D88" s="134"/>
      <c r="E88" s="134"/>
      <c r="F88" s="134"/>
      <c r="G88" s="78"/>
      <c r="H88" s="327"/>
      <c r="I88" s="328"/>
      <c r="J88" s="328"/>
      <c r="K88" s="328"/>
      <c r="L88" s="328"/>
      <c r="M88" s="328"/>
      <c r="N88" s="310">
        <f>N86</f>
        <v>3.3323810727568275</v>
      </c>
      <c r="O88" s="77">
        <f>N88/N118</f>
        <v>2.7371508702835078E-4</v>
      </c>
    </row>
    <row r="89" spans="1:17" ht="11.25" customHeight="1" x14ac:dyDescent="0.2">
      <c r="B89" s="130"/>
      <c r="G89" s="52"/>
      <c r="H89" s="324"/>
      <c r="I89" s="313"/>
      <c r="J89" s="313"/>
      <c r="K89" s="313"/>
      <c r="L89" s="313"/>
      <c r="M89" s="313"/>
      <c r="N89" s="308"/>
      <c r="O89" s="25"/>
    </row>
    <row r="90" spans="1:17" ht="11.25" customHeight="1" x14ac:dyDescent="0.2">
      <c r="A90" s="129" t="s">
        <v>127</v>
      </c>
      <c r="B90" s="88" t="s">
        <v>130</v>
      </c>
      <c r="H90" s="329"/>
      <c r="I90" s="311"/>
      <c r="J90" s="311"/>
      <c r="K90" s="311"/>
      <c r="L90" s="311"/>
      <c r="M90" s="311"/>
      <c r="N90" s="311"/>
      <c r="O90" s="19"/>
    </row>
    <row r="91" spans="1:17" ht="11.25" customHeight="1" x14ac:dyDescent="0.2">
      <c r="A91" s="129" t="s">
        <v>128</v>
      </c>
      <c r="B91" s="88" t="s">
        <v>131</v>
      </c>
      <c r="H91" s="329"/>
      <c r="I91" s="311"/>
      <c r="J91" s="311"/>
      <c r="K91" s="311"/>
      <c r="L91" s="311"/>
      <c r="M91" s="311"/>
      <c r="N91" s="311"/>
      <c r="O91" s="19"/>
    </row>
    <row r="92" spans="1:17" ht="11.25" customHeight="1" x14ac:dyDescent="0.2">
      <c r="A92" s="129" t="s">
        <v>129</v>
      </c>
      <c r="B92" s="88" t="s">
        <v>132</v>
      </c>
      <c r="G92" s="97" t="s">
        <v>17</v>
      </c>
      <c r="H92" s="308">
        <f>H14-H93</f>
        <v>121.47</v>
      </c>
      <c r="I92" s="323">
        <f>VLOOKUP(A92,'[1]TAB OGU JUN18'!$A:$G,6,"falso")</f>
        <v>2.64</v>
      </c>
      <c r="J92" s="323">
        <f>VLOOKUP(A92,'[1]TAB OGU JUN18'!$A:$G,4,"falso")</f>
        <v>2.56</v>
      </c>
      <c r="K92" s="308">
        <f>H92*J92</f>
        <v>310.96320000000003</v>
      </c>
      <c r="L92" s="323">
        <f>VLOOKUP(A92,'[1]TAB OGU JUN18'!$A:$G,5,"falso")</f>
        <v>0.08</v>
      </c>
      <c r="M92" s="308">
        <f>H92*L92</f>
        <v>9.7176000000000009</v>
      </c>
      <c r="N92" s="308">
        <f>H92*I92</f>
        <v>320.68080000000003</v>
      </c>
      <c r="O92" s="25">
        <f>N92/$N$95</f>
        <v>1</v>
      </c>
    </row>
    <row r="93" spans="1:17" ht="12.75" hidden="1" x14ac:dyDescent="0.2">
      <c r="A93" s="129" t="s">
        <v>207</v>
      </c>
      <c r="B93" s="88" t="s">
        <v>206</v>
      </c>
      <c r="G93" s="97" t="s">
        <v>17</v>
      </c>
      <c r="H93" s="308">
        <v>0</v>
      </c>
      <c r="I93" s="323">
        <f>VLOOKUP(A93,'[1]TAB OGU JUN18'!$A:$G,6,"falso")</f>
        <v>3.14</v>
      </c>
      <c r="J93" s="323">
        <f>VLOOKUP(A93,'[1]TAB OGU JUN18'!$A:$G,4,"falso")</f>
        <v>3.01</v>
      </c>
      <c r="K93" s="308">
        <f>H93*J93</f>
        <v>0</v>
      </c>
      <c r="L93" s="323">
        <f>VLOOKUP(A93,'[1]TAB OGU JUN18'!$A:$G,5,"falso")</f>
        <v>0.13</v>
      </c>
      <c r="M93" s="308">
        <f>H93*L93</f>
        <v>0</v>
      </c>
      <c r="N93" s="308">
        <f>H93*I93</f>
        <v>0</v>
      </c>
      <c r="O93" s="25">
        <f>N93/$N$95</f>
        <v>0</v>
      </c>
      <c r="Q93" s="311"/>
    </row>
    <row r="94" spans="1:17" ht="11.25" customHeight="1" x14ac:dyDescent="0.2">
      <c r="B94" s="130"/>
      <c r="G94" s="52"/>
      <c r="H94" s="324"/>
      <c r="I94" s="313"/>
      <c r="J94" s="313"/>
      <c r="K94" s="313"/>
      <c r="L94" s="313"/>
      <c r="M94" s="313"/>
      <c r="N94" s="308"/>
      <c r="O94" s="25"/>
    </row>
    <row r="95" spans="1:17" ht="11.25" customHeight="1" x14ac:dyDescent="0.2">
      <c r="B95" s="130" t="s">
        <v>18</v>
      </c>
      <c r="C95" s="131"/>
      <c r="D95" s="131"/>
      <c r="E95" s="131"/>
      <c r="F95" s="131"/>
      <c r="G95" s="53"/>
      <c r="H95" s="325"/>
      <c r="I95" s="326"/>
      <c r="J95" s="326"/>
      <c r="K95" s="326"/>
      <c r="L95" s="326"/>
      <c r="M95" s="326"/>
      <c r="N95" s="308">
        <f>SUM(N92:N93)</f>
        <v>320.68080000000003</v>
      </c>
      <c r="O95" s="25">
        <f>N95/N108</f>
        <v>6.6447158085559441E-2</v>
      </c>
    </row>
    <row r="96" spans="1:17" ht="11.25" customHeight="1" x14ac:dyDescent="0.2">
      <c r="B96" s="130"/>
      <c r="G96" s="52"/>
      <c r="H96" s="324"/>
      <c r="I96" s="313"/>
      <c r="J96" s="313"/>
      <c r="K96" s="313"/>
      <c r="L96" s="313"/>
      <c r="M96" s="313"/>
      <c r="N96" s="308"/>
      <c r="O96" s="25"/>
    </row>
    <row r="97" spans="1:15" ht="11.25" customHeight="1" x14ac:dyDescent="0.2">
      <c r="A97" s="98" t="s">
        <v>139</v>
      </c>
      <c r="B97" s="88" t="s">
        <v>142</v>
      </c>
      <c r="G97" s="97"/>
      <c r="H97" s="308"/>
      <c r="I97" s="308"/>
      <c r="J97" s="308"/>
      <c r="K97" s="308"/>
      <c r="L97" s="308"/>
      <c r="M97" s="308"/>
      <c r="N97" s="308"/>
      <c r="O97" s="25"/>
    </row>
    <row r="98" spans="1:15" ht="11.25" customHeight="1" x14ac:dyDescent="0.2">
      <c r="A98" s="98" t="s">
        <v>140</v>
      </c>
      <c r="B98" s="88" t="s">
        <v>143</v>
      </c>
      <c r="G98" s="97" t="s">
        <v>24</v>
      </c>
      <c r="H98" s="308">
        <f>U6</f>
        <v>4</v>
      </c>
      <c r="I98" s="323">
        <f>VLOOKUP(A98,'[1]TAB OGU JUN18'!$A:$G,6,"falso")</f>
        <v>466.82</v>
      </c>
      <c r="J98" s="323">
        <f>VLOOKUP(A98,'[1]TAB OGU JUN18'!$A:$G,4,"falso")</f>
        <v>143.97</v>
      </c>
      <c r="K98" s="308">
        <f>H98*J98</f>
        <v>575.88</v>
      </c>
      <c r="L98" s="323">
        <f>VLOOKUP(A98,'[1]TAB OGU JUN18'!$A:$G,5,"falso")</f>
        <v>322.85000000000002</v>
      </c>
      <c r="M98" s="308">
        <f>H98*L98</f>
        <v>1291.4000000000001</v>
      </c>
      <c r="N98" s="308">
        <f>H98*I98</f>
        <v>1867.28</v>
      </c>
      <c r="O98" s="25">
        <f>N98/N101</f>
        <v>0.58739702465310506</v>
      </c>
    </row>
    <row r="99" spans="1:15" ht="11.25" customHeight="1" x14ac:dyDescent="0.2">
      <c r="A99" s="98" t="s">
        <v>141</v>
      </c>
      <c r="B99" s="88" t="s">
        <v>144</v>
      </c>
      <c r="G99" s="97" t="s">
        <v>17</v>
      </c>
      <c r="H99" s="308">
        <f>(Q6-1.1)*H98</f>
        <v>5.1867531077632325</v>
      </c>
      <c r="I99" s="323">
        <f>VLOOKUP(A99,'[1]TAB OGU JUN18'!$A:$G,6,"falso")</f>
        <v>252.88</v>
      </c>
      <c r="J99" s="323">
        <f>VLOOKUP(A99,'[1]TAB OGU JUN18'!$A:$G,4,"falso")</f>
        <v>47.83</v>
      </c>
      <c r="K99" s="308">
        <f>H99*J99</f>
        <v>248.08240114431541</v>
      </c>
      <c r="L99" s="323">
        <f>VLOOKUP(A99,'[1]TAB OGU JUN18'!$A:$G,5,"falso")</f>
        <v>205.05</v>
      </c>
      <c r="M99" s="308">
        <f>H99*L99</f>
        <v>1063.5437247468508</v>
      </c>
      <c r="N99" s="308">
        <f>H99*I99</f>
        <v>1311.6261258911661</v>
      </c>
      <c r="O99" s="25">
        <f>N99/N101</f>
        <v>0.41260297534689494</v>
      </c>
    </row>
    <row r="100" spans="1:15" ht="11.25" customHeight="1" x14ac:dyDescent="0.2">
      <c r="B100" s="130"/>
      <c r="G100" s="52"/>
      <c r="H100" s="324"/>
      <c r="I100" s="313"/>
      <c r="J100" s="313"/>
      <c r="K100" s="313"/>
      <c r="L100" s="313"/>
      <c r="M100" s="313"/>
      <c r="N100" s="308"/>
      <c r="O100" s="25"/>
    </row>
    <row r="101" spans="1:15" ht="11.25" customHeight="1" x14ac:dyDescent="0.2">
      <c r="B101" s="130" t="s">
        <v>18</v>
      </c>
      <c r="C101" s="131"/>
      <c r="D101" s="131"/>
      <c r="E101" s="131"/>
      <c r="F101" s="131"/>
      <c r="G101" s="53"/>
      <c r="H101" s="325"/>
      <c r="I101" s="326"/>
      <c r="J101" s="326"/>
      <c r="K101" s="326"/>
      <c r="L101" s="326"/>
      <c r="M101" s="326"/>
      <c r="N101" s="308">
        <f>N99+N98</f>
        <v>3178.9061258911661</v>
      </c>
      <c r="O101" s="25">
        <f>N101/N108</f>
        <v>0.65869013014263278</v>
      </c>
    </row>
    <row r="102" spans="1:15" ht="11.25" customHeight="1" x14ac:dyDescent="0.2">
      <c r="B102" s="130"/>
      <c r="G102" s="52"/>
      <c r="H102" s="324"/>
      <c r="I102" s="313"/>
      <c r="J102" s="313"/>
      <c r="K102" s="313"/>
      <c r="L102" s="313"/>
      <c r="M102" s="313"/>
      <c r="N102" s="308"/>
      <c r="O102" s="25"/>
    </row>
    <row r="103" spans="1:15" ht="11.25" customHeight="1" x14ac:dyDescent="0.2">
      <c r="A103" s="129" t="s">
        <v>145</v>
      </c>
      <c r="B103" s="88" t="s">
        <v>26</v>
      </c>
      <c r="H103" s="329"/>
      <c r="I103" s="311"/>
      <c r="J103" s="311"/>
      <c r="K103" s="311"/>
      <c r="L103" s="311"/>
      <c r="M103" s="311"/>
      <c r="N103" s="311"/>
      <c r="O103" s="19"/>
    </row>
    <row r="104" spans="1:15" ht="11.25" customHeight="1" x14ac:dyDescent="0.2">
      <c r="A104" s="129" t="s">
        <v>146</v>
      </c>
      <c r="B104" s="88" t="s">
        <v>147</v>
      </c>
      <c r="G104" s="97" t="s">
        <v>32</v>
      </c>
      <c r="H104" s="308">
        <f>H14*R6*0.1</f>
        <v>8.3961999999999986</v>
      </c>
      <c r="I104" s="323">
        <f>VLOOKUP(A104,'[1]TAB OGU JUN18'!$A:$G,6,"falso")</f>
        <v>157.99</v>
      </c>
      <c r="J104" s="323">
        <f>VLOOKUP(A104,'[1]TAB OGU JUN18'!$A:$G,4,"falso")</f>
        <v>39.5</v>
      </c>
      <c r="K104" s="308">
        <f>H104*J104</f>
        <v>331.64989999999995</v>
      </c>
      <c r="L104" s="323">
        <f>VLOOKUP(A104,'[1]TAB OGU JUN18'!$A:$G,5,"falso")</f>
        <v>118.49</v>
      </c>
      <c r="M104" s="308">
        <f>H104*L104</f>
        <v>994.86573799999974</v>
      </c>
      <c r="N104" s="308">
        <f>H104*I104</f>
        <v>1326.5156379999999</v>
      </c>
      <c r="O104" s="25">
        <f>N104/N106</f>
        <v>1</v>
      </c>
    </row>
    <row r="105" spans="1:15" ht="11.25" customHeight="1" x14ac:dyDescent="0.2">
      <c r="B105" s="130"/>
      <c r="G105" s="52"/>
      <c r="H105" s="324"/>
      <c r="I105" s="313"/>
      <c r="J105" s="313"/>
      <c r="K105" s="313"/>
      <c r="L105" s="313"/>
      <c r="M105" s="313"/>
      <c r="N105" s="308"/>
      <c r="O105" s="25"/>
    </row>
    <row r="106" spans="1:15" ht="11.25" customHeight="1" x14ac:dyDescent="0.2">
      <c r="B106" s="130" t="s">
        <v>18</v>
      </c>
      <c r="C106" s="131"/>
      <c r="D106" s="131"/>
      <c r="E106" s="131"/>
      <c r="F106" s="131"/>
      <c r="G106" s="53"/>
      <c r="H106" s="325"/>
      <c r="I106" s="326"/>
      <c r="J106" s="326"/>
      <c r="K106" s="326"/>
      <c r="L106" s="326"/>
      <c r="M106" s="326"/>
      <c r="N106" s="308">
        <f>N104</f>
        <v>1326.5156379999999</v>
      </c>
      <c r="O106" s="25">
        <f>N106/N108</f>
        <v>0.27486271177180771</v>
      </c>
    </row>
    <row r="107" spans="1:15" ht="11.25" customHeight="1" x14ac:dyDescent="0.2">
      <c r="B107" s="130"/>
      <c r="G107" s="52"/>
      <c r="H107" s="324"/>
      <c r="I107" s="313"/>
      <c r="J107" s="313"/>
      <c r="K107" s="313"/>
      <c r="L107" s="313"/>
      <c r="M107" s="313"/>
      <c r="N107" s="308"/>
      <c r="O107" s="25"/>
    </row>
    <row r="108" spans="1:15" s="132" customFormat="1" ht="11.25" customHeight="1" x14ac:dyDescent="0.2">
      <c r="B108" s="133" t="s">
        <v>20</v>
      </c>
      <c r="C108" s="134"/>
      <c r="D108" s="134"/>
      <c r="E108" s="134"/>
      <c r="F108" s="134"/>
      <c r="G108" s="78"/>
      <c r="H108" s="327"/>
      <c r="I108" s="328"/>
      <c r="J108" s="328"/>
      <c r="K108" s="328"/>
      <c r="L108" s="328"/>
      <c r="M108" s="328"/>
      <c r="N108" s="310">
        <f>N106+N101+N95</f>
        <v>4826.102563891166</v>
      </c>
      <c r="O108" s="77">
        <f>N108/N118</f>
        <v>0.39640636963238818</v>
      </c>
    </row>
    <row r="109" spans="1:15" ht="11.25" customHeight="1" x14ac:dyDescent="0.2">
      <c r="B109" s="130"/>
      <c r="G109" s="52"/>
      <c r="H109" s="324"/>
      <c r="I109" s="313"/>
      <c r="J109" s="313"/>
      <c r="K109" s="313"/>
      <c r="L109" s="313"/>
      <c r="M109" s="313"/>
      <c r="N109" s="308"/>
      <c r="O109" s="25"/>
    </row>
    <row r="110" spans="1:15" ht="11.25" customHeight="1" x14ac:dyDescent="0.2">
      <c r="A110" s="98" t="s">
        <v>169</v>
      </c>
      <c r="B110" s="88" t="s">
        <v>172</v>
      </c>
      <c r="G110" s="97"/>
      <c r="H110" s="308"/>
      <c r="I110" s="308"/>
      <c r="J110" s="308"/>
      <c r="K110" s="308"/>
      <c r="L110" s="308"/>
      <c r="M110" s="308"/>
      <c r="N110" s="308"/>
      <c r="O110" s="25"/>
    </row>
    <row r="111" spans="1:15" ht="11.25" customHeight="1" x14ac:dyDescent="0.2">
      <c r="A111" s="98" t="s">
        <v>170</v>
      </c>
      <c r="B111" s="88" t="s">
        <v>173</v>
      </c>
      <c r="G111" s="97"/>
      <c r="H111" s="308"/>
      <c r="I111" s="308"/>
      <c r="J111" s="308"/>
      <c r="K111" s="308"/>
      <c r="L111" s="308"/>
      <c r="M111" s="308"/>
      <c r="N111" s="308"/>
      <c r="O111" s="25"/>
    </row>
    <row r="112" spans="1:15" ht="11.25" customHeight="1" x14ac:dyDescent="0.2">
      <c r="A112" s="98" t="s">
        <v>171</v>
      </c>
      <c r="B112" s="88" t="s">
        <v>174</v>
      </c>
      <c r="G112" s="97" t="s">
        <v>17</v>
      </c>
      <c r="H112" s="308">
        <f>H14</f>
        <v>121.47</v>
      </c>
      <c r="I112" s="323">
        <f>VLOOKUP(A112,'[1]TAB OGU JUN18'!$A:$G,6,"falso")</f>
        <v>1.31</v>
      </c>
      <c r="J112" s="323">
        <f>VLOOKUP(A112,'[1]TAB OGU JUN18'!$A:$G,4,"falso")</f>
        <v>1.1399999999999999</v>
      </c>
      <c r="K112" s="308">
        <f>H112*J112</f>
        <v>138.47579999999999</v>
      </c>
      <c r="L112" s="323">
        <f>VLOOKUP(A112,'[1]TAB OGU JUN18'!$A:$G,5,"falso")</f>
        <v>0.17</v>
      </c>
      <c r="M112" s="308">
        <f>H112*L112</f>
        <v>20.649900000000002</v>
      </c>
      <c r="N112" s="308">
        <f>H112*I112</f>
        <v>159.12569999999999</v>
      </c>
      <c r="O112" s="25">
        <f>N112/N114</f>
        <v>1</v>
      </c>
    </row>
    <row r="113" spans="1:16" ht="11.25" customHeight="1" x14ac:dyDescent="0.2">
      <c r="B113" s="130"/>
      <c r="G113" s="52"/>
      <c r="H113" s="324"/>
      <c r="I113" s="313"/>
      <c r="J113" s="313"/>
      <c r="K113" s="313"/>
      <c r="L113" s="313"/>
      <c r="M113" s="313"/>
      <c r="N113" s="308"/>
      <c r="O113" s="25"/>
    </row>
    <row r="114" spans="1:16" ht="11.25" customHeight="1" x14ac:dyDescent="0.2">
      <c r="B114" s="130" t="s">
        <v>18</v>
      </c>
      <c r="C114" s="131"/>
      <c r="D114" s="131"/>
      <c r="E114" s="131"/>
      <c r="F114" s="131"/>
      <c r="G114" s="53"/>
      <c r="H114" s="325"/>
      <c r="I114" s="326"/>
      <c r="J114" s="326"/>
      <c r="K114" s="326"/>
      <c r="L114" s="326"/>
      <c r="M114" s="326"/>
      <c r="N114" s="308">
        <f>N112</f>
        <v>159.12569999999999</v>
      </c>
      <c r="O114" s="25">
        <f>N114/N116</f>
        <v>1</v>
      </c>
    </row>
    <row r="115" spans="1:16" ht="11.25" customHeight="1" x14ac:dyDescent="0.2">
      <c r="A115" s="98"/>
      <c r="B115" s="88"/>
      <c r="G115" s="97"/>
      <c r="H115" s="308"/>
      <c r="I115" s="308"/>
      <c r="J115" s="308"/>
      <c r="K115" s="308"/>
      <c r="L115" s="308"/>
      <c r="M115" s="308"/>
      <c r="N115" s="308"/>
      <c r="O115" s="25"/>
    </row>
    <row r="116" spans="1:16" s="132" customFormat="1" ht="11.25" customHeight="1" x14ac:dyDescent="0.2">
      <c r="A116" s="145"/>
      <c r="B116" s="133" t="s">
        <v>20</v>
      </c>
      <c r="C116" s="134"/>
      <c r="D116" s="134"/>
      <c r="E116" s="134"/>
      <c r="F116" s="134"/>
      <c r="G116" s="78"/>
      <c r="H116" s="327"/>
      <c r="I116" s="328"/>
      <c r="J116" s="328"/>
      <c r="K116" s="328"/>
      <c r="L116" s="328"/>
      <c r="M116" s="328"/>
      <c r="N116" s="310">
        <f>N114</f>
        <v>159.12569999999999</v>
      </c>
      <c r="O116" s="77">
        <f>N116/N118</f>
        <v>1.3070265336705555E-2</v>
      </c>
    </row>
    <row r="117" spans="1:16" ht="6.75" customHeight="1" x14ac:dyDescent="0.2">
      <c r="A117" s="98"/>
      <c r="B117" s="88"/>
      <c r="G117" s="97"/>
      <c r="H117" s="308"/>
      <c r="I117" s="308"/>
      <c r="J117" s="308"/>
      <c r="K117" s="308"/>
      <c r="L117" s="308"/>
      <c r="M117" s="308"/>
      <c r="N117" s="308"/>
      <c r="O117" s="25"/>
    </row>
    <row r="118" spans="1:16" ht="12" customHeight="1" x14ac:dyDescent="0.2">
      <c r="A118" s="146"/>
      <c r="B118" s="147" t="s">
        <v>30</v>
      </c>
      <c r="C118" s="146"/>
      <c r="D118" s="146"/>
      <c r="E118" s="146"/>
      <c r="F118" s="146"/>
      <c r="G118" s="146"/>
      <c r="H118" s="342"/>
      <c r="I118" s="345"/>
      <c r="J118" s="345"/>
      <c r="K118" s="275">
        <f>SUM(K12:K117)</f>
        <v>8613.7403752574046</v>
      </c>
      <c r="L118" s="275"/>
      <c r="M118" s="275">
        <f>SUM(M12:M117)</f>
        <v>3560.8356476968506</v>
      </c>
      <c r="N118" s="343">
        <f>N116+N108+N88+N80+N66+N29</f>
        <v>12174.634248099255</v>
      </c>
      <c r="O118" s="322"/>
      <c r="P118" s="149"/>
    </row>
    <row r="119" spans="1:16" ht="4.5" customHeight="1" x14ac:dyDescent="0.2">
      <c r="A119" s="98"/>
      <c r="B119" s="88"/>
      <c r="G119" s="97"/>
      <c r="H119" s="308"/>
      <c r="I119" s="308"/>
      <c r="J119" s="308"/>
      <c r="K119" s="308"/>
      <c r="L119" s="308"/>
      <c r="M119" s="308"/>
      <c r="N119" s="308"/>
      <c r="O119" s="25"/>
    </row>
    <row r="120" spans="1:16" ht="12" customHeight="1" x14ac:dyDescent="0.2">
      <c r="A120" s="146"/>
      <c r="B120" s="147" t="s">
        <v>265</v>
      </c>
      <c r="C120" s="146"/>
      <c r="D120" s="146"/>
      <c r="E120" s="146"/>
      <c r="F120" s="146"/>
      <c r="G120" s="146"/>
      <c r="H120" s="342"/>
      <c r="I120" s="342"/>
      <c r="J120" s="342"/>
      <c r="K120" s="274">
        <f>K118+(K118*O5)</f>
        <v>10989.409970753397</v>
      </c>
      <c r="L120" s="274"/>
      <c r="M120" s="275">
        <f>M118+(M118*O7)</f>
        <v>4191.8157244687327</v>
      </c>
      <c r="N120" s="343">
        <f>K120+M120</f>
        <v>15181.225695222129</v>
      </c>
      <c r="O120" s="29">
        <f>N120/RESUMO!H95</f>
        <v>2.0964245722203925E-3</v>
      </c>
      <c r="P120" s="149"/>
    </row>
    <row r="124" spans="1:16" ht="12" customHeight="1" x14ac:dyDescent="0.2">
      <c r="M124" s="311"/>
    </row>
    <row r="125" spans="1:16" s="150" customFormat="1" ht="12" customHeight="1" x14ac:dyDescent="0.2">
      <c r="A125" s="51"/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2"/>
    </row>
    <row r="126" spans="1:16" s="150" customFormat="1" ht="12" customHeight="1" x14ac:dyDescent="0.2">
      <c r="A126" s="51"/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2"/>
    </row>
  </sheetData>
  <mergeCells count="9">
    <mergeCell ref="T4:T5"/>
    <mergeCell ref="U4:U5"/>
    <mergeCell ref="A5:B6"/>
    <mergeCell ref="A2:O2"/>
    <mergeCell ref="N4:O4"/>
    <mergeCell ref="P4:P5"/>
    <mergeCell ref="Q4:Q5"/>
    <mergeCell ref="R4:R5"/>
    <mergeCell ref="S4:S5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rowBreaks count="1" manualBreakCount="1">
    <brk id="30" max="12" man="1"/>
  </rowBreaks>
  <legacyDrawingHF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6" tint="0.39997558519241921"/>
    <pageSetUpPr fitToPage="1"/>
  </sheetPr>
  <dimension ref="A1:P44"/>
  <sheetViews>
    <sheetView view="pageBreakPreview" zoomScale="90" zoomScaleNormal="90" zoomScaleSheetLayoutView="90" workbookViewId="0">
      <selection activeCell="O44" sqref="O44"/>
    </sheetView>
  </sheetViews>
  <sheetFormatPr defaultColWidth="11.42578125" defaultRowHeight="12" customHeight="1" x14ac:dyDescent="0.2"/>
  <cols>
    <col min="1" max="5" width="11.42578125" style="51" customWidth="1"/>
    <col min="6" max="6" width="28.5703125" style="51" customWidth="1"/>
    <col min="7" max="9" width="11.42578125" style="51" customWidth="1"/>
    <col min="10" max="10" width="11.42578125" style="51" hidden="1" customWidth="1"/>
    <col min="11" max="11" width="14.28515625" style="51" customWidth="1"/>
    <col min="12" max="12" width="6" style="51" hidden="1" customWidth="1"/>
    <col min="13" max="13" width="14.28515625" style="51" customWidth="1"/>
    <col min="14" max="14" width="17.140625" style="51" customWidth="1"/>
    <col min="15" max="15" width="11.42578125" style="52" customWidth="1"/>
    <col min="16" max="16" width="6" style="51" bestFit="1" customWidth="1"/>
    <col min="17" max="16384" width="11.42578125" style="51"/>
  </cols>
  <sheetData>
    <row r="1" spans="1:16" ht="7.5" customHeight="1" x14ac:dyDescent="0.2"/>
    <row r="2" spans="1:16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6" ht="7.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95"/>
    </row>
    <row r="4" spans="1:16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6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6" ht="12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6" ht="12" customHeight="1" x14ac:dyDescent="0.2">
      <c r="A7" s="253"/>
      <c r="B7" s="253"/>
      <c r="C7" s="260" t="s">
        <v>6</v>
      </c>
      <c r="D7" s="263" t="str">
        <f>RESUMO!A23</f>
        <v>U.C. : 07</v>
      </c>
      <c r="E7" s="258"/>
      <c r="F7" s="258"/>
      <c r="G7" s="260" t="s">
        <v>9</v>
      </c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6" ht="12" customHeight="1" thickBot="1" x14ac:dyDescent="0.25">
      <c r="A8" s="124"/>
      <c r="B8" s="125"/>
      <c r="C8" s="266" t="s">
        <v>8</v>
      </c>
      <c r="D8" s="267" t="str">
        <f>RESUMO!B23</f>
        <v>COLETOR 02</v>
      </c>
      <c r="E8" s="268"/>
      <c r="F8" s="268"/>
      <c r="G8" s="266"/>
      <c r="H8" s="123"/>
      <c r="I8" s="278"/>
      <c r="J8" s="278"/>
      <c r="K8" s="278"/>
      <c r="L8" s="278"/>
      <c r="M8" s="278"/>
      <c r="N8" s="271"/>
      <c r="O8" s="427"/>
    </row>
    <row r="9" spans="1:16" ht="12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6" ht="7.5" customHeight="1" x14ac:dyDescent="0.2">
      <c r="O10" s="19"/>
    </row>
    <row r="11" spans="1:16" ht="12" customHeight="1" x14ac:dyDescent="0.2">
      <c r="A11" s="93">
        <f>RESUMO!A43</f>
        <v>2</v>
      </c>
      <c r="B11" s="93" t="str">
        <f>RESUMO!B25</f>
        <v>COLETOR 02 - MATERIAIS</v>
      </c>
      <c r="O11" s="19"/>
    </row>
    <row r="12" spans="1:16" ht="12" customHeight="1" x14ac:dyDescent="0.2">
      <c r="A12" s="98" t="s">
        <v>266</v>
      </c>
      <c r="B12" s="88" t="s">
        <v>71</v>
      </c>
      <c r="G12" s="52"/>
      <c r="H12" s="19"/>
      <c r="I12" s="52"/>
      <c r="J12" s="52"/>
      <c r="K12" s="52"/>
      <c r="L12" s="52"/>
      <c r="M12" s="52"/>
      <c r="N12" s="52"/>
      <c r="O12" s="19"/>
    </row>
    <row r="13" spans="1:16" ht="12" customHeight="1" x14ac:dyDescent="0.2">
      <c r="A13" s="98" t="s">
        <v>279</v>
      </c>
      <c r="B13" s="88" t="s">
        <v>280</v>
      </c>
      <c r="G13" s="52"/>
      <c r="H13" s="19"/>
      <c r="I13" s="52"/>
      <c r="J13" s="52"/>
      <c r="K13" s="52"/>
      <c r="L13" s="52"/>
      <c r="M13" s="52"/>
      <c r="N13" s="52"/>
      <c r="O13" s="19"/>
    </row>
    <row r="14" spans="1:16" ht="12" customHeight="1" x14ac:dyDescent="0.2">
      <c r="A14" s="98" t="s">
        <v>282</v>
      </c>
      <c r="B14" s="88" t="s">
        <v>260</v>
      </c>
      <c r="G14" s="97" t="s">
        <v>24</v>
      </c>
      <c r="H14" s="308">
        <f>'08 - 2'!H98</f>
        <v>4</v>
      </c>
      <c r="I14" s="308">
        <v>37.840000000000003</v>
      </c>
      <c r="J14" s="308"/>
      <c r="K14" s="308"/>
      <c r="L14" s="323">
        <v>37.840000000000003</v>
      </c>
      <c r="M14" s="308">
        <f>H14*L14</f>
        <v>151.36000000000001</v>
      </c>
      <c r="N14" s="308">
        <f>H14*I14</f>
        <v>151.36000000000001</v>
      </c>
      <c r="O14" s="25">
        <f>N14/N16</f>
        <v>1</v>
      </c>
      <c r="P14" s="51">
        <v>13255</v>
      </c>
    </row>
    <row r="15" spans="1:16" ht="12" customHeight="1" x14ac:dyDescent="0.2">
      <c r="G15" s="52"/>
      <c r="H15" s="324"/>
      <c r="I15" s="313"/>
      <c r="J15" s="313"/>
      <c r="K15" s="313"/>
      <c r="L15" s="313"/>
      <c r="M15" s="313"/>
      <c r="N15" s="313"/>
      <c r="O15" s="19"/>
    </row>
    <row r="16" spans="1:16" ht="12" customHeight="1" x14ac:dyDescent="0.2">
      <c r="B16" s="130" t="s">
        <v>18</v>
      </c>
      <c r="C16" s="131"/>
      <c r="D16" s="131"/>
      <c r="E16" s="131"/>
      <c r="F16" s="131"/>
      <c r="G16" s="53"/>
      <c r="H16" s="325"/>
      <c r="I16" s="326"/>
      <c r="J16" s="326"/>
      <c r="K16" s="326"/>
      <c r="L16" s="326"/>
      <c r="M16" s="326"/>
      <c r="N16" s="308">
        <f>N14</f>
        <v>151.36000000000001</v>
      </c>
      <c r="O16" s="25">
        <f>N16/N18</f>
        <v>1</v>
      </c>
    </row>
    <row r="17" spans="1:16" ht="12" customHeight="1" x14ac:dyDescent="0.2">
      <c r="B17" s="130"/>
      <c r="G17" s="52"/>
      <c r="H17" s="324"/>
      <c r="I17" s="313"/>
      <c r="J17" s="313"/>
      <c r="K17" s="313"/>
      <c r="L17" s="313"/>
      <c r="M17" s="313"/>
      <c r="N17" s="308"/>
      <c r="O17" s="25"/>
    </row>
    <row r="18" spans="1:16" s="132" customFormat="1" ht="12" customHeight="1" x14ac:dyDescent="0.2">
      <c r="B18" s="133" t="s">
        <v>20</v>
      </c>
      <c r="C18" s="134"/>
      <c r="D18" s="134"/>
      <c r="E18" s="134"/>
      <c r="F18" s="134"/>
      <c r="G18" s="78"/>
      <c r="H18" s="327"/>
      <c r="I18" s="328"/>
      <c r="J18" s="328"/>
      <c r="K18" s="328"/>
      <c r="L18" s="328"/>
      <c r="M18" s="328"/>
      <c r="N18" s="310">
        <f>N16</f>
        <v>151.36000000000001</v>
      </c>
      <c r="O18" s="77">
        <f>N18/N29</f>
        <v>3.2052340184005761E-2</v>
      </c>
    </row>
    <row r="19" spans="1:16" ht="12" customHeight="1" x14ac:dyDescent="0.2">
      <c r="G19" s="52"/>
      <c r="H19" s="324"/>
      <c r="I19" s="313"/>
      <c r="J19" s="313"/>
      <c r="K19" s="313"/>
      <c r="L19" s="313"/>
      <c r="M19" s="313"/>
      <c r="N19" s="313"/>
      <c r="O19" s="19"/>
    </row>
    <row r="20" spans="1:16" ht="12" customHeight="1" x14ac:dyDescent="0.2">
      <c r="A20" s="98" t="s">
        <v>270</v>
      </c>
      <c r="B20" s="88" t="s">
        <v>29</v>
      </c>
      <c r="G20" s="52"/>
      <c r="H20" s="324"/>
      <c r="I20" s="313"/>
      <c r="J20" s="313"/>
      <c r="K20" s="313"/>
      <c r="L20" s="313"/>
      <c r="M20" s="313"/>
      <c r="N20" s="313"/>
      <c r="O20" s="19"/>
    </row>
    <row r="21" spans="1:16" ht="12" customHeight="1" x14ac:dyDescent="0.2">
      <c r="A21" s="98" t="s">
        <v>275</v>
      </c>
      <c r="B21" s="88" t="s">
        <v>36</v>
      </c>
      <c r="G21" s="52"/>
      <c r="H21" s="324"/>
      <c r="I21" s="313"/>
      <c r="J21" s="313"/>
      <c r="K21" s="313"/>
      <c r="L21" s="313"/>
      <c r="M21" s="313"/>
      <c r="N21" s="313"/>
      <c r="O21" s="19"/>
    </row>
    <row r="22" spans="1:16" ht="12" customHeight="1" x14ac:dyDescent="0.2">
      <c r="A22" s="98" t="s">
        <v>276</v>
      </c>
      <c r="B22" s="88" t="s">
        <v>78</v>
      </c>
      <c r="G22" s="97" t="s">
        <v>17</v>
      </c>
      <c r="H22" s="308">
        <f>'08 - 2'!H92</f>
        <v>121.47</v>
      </c>
      <c r="I22" s="323">
        <f>VLOOKUP(A22,'[1]TAB OGU JUN18'!$A:$G,6,"falso")</f>
        <v>37.630000000000003</v>
      </c>
      <c r="J22" s="308"/>
      <c r="K22" s="308"/>
      <c r="L22" s="323">
        <f>VLOOKUP(A22,'[1]TAB OGU JUN18'!$A:$G,5,"falso")</f>
        <v>37.630000000000003</v>
      </c>
      <c r="M22" s="308">
        <f>H22*L22</f>
        <v>4570.9161000000004</v>
      </c>
      <c r="N22" s="308">
        <f>H22*I22</f>
        <v>4570.9161000000004</v>
      </c>
      <c r="O22" s="25">
        <f>N22/$N$25</f>
        <v>1</v>
      </c>
    </row>
    <row r="23" spans="1:16" ht="12" hidden="1" customHeight="1" x14ac:dyDescent="0.2">
      <c r="A23" s="98" t="s">
        <v>277</v>
      </c>
      <c r="B23" s="88" t="s">
        <v>205</v>
      </c>
      <c r="G23" s="97" t="s">
        <v>17</v>
      </c>
      <c r="H23" s="308">
        <f>'08 - 2'!H93</f>
        <v>0</v>
      </c>
      <c r="I23" s="323">
        <f>VLOOKUP(A23,'[1]TAB OGU JUN18'!$A:$G,6,"falso")</f>
        <v>58.74</v>
      </c>
      <c r="J23" s="308"/>
      <c r="K23" s="308"/>
      <c r="L23" s="323">
        <f>VLOOKUP(A23,'[1]TAB OGU JUN18'!$A:$G,5,"falso")</f>
        <v>58.74</v>
      </c>
      <c r="M23" s="308">
        <f>H23*L23</f>
        <v>0</v>
      </c>
      <c r="N23" s="308">
        <f>H23*I23</f>
        <v>0</v>
      </c>
      <c r="O23" s="25">
        <f>N23/$N$25</f>
        <v>0</v>
      </c>
    </row>
    <row r="24" spans="1:16" ht="12" customHeight="1" x14ac:dyDescent="0.2">
      <c r="G24" s="52"/>
      <c r="H24" s="324"/>
      <c r="I24" s="313"/>
      <c r="J24" s="313"/>
      <c r="K24" s="313"/>
      <c r="L24" s="313"/>
      <c r="M24" s="313"/>
      <c r="N24" s="313"/>
      <c r="O24" s="19"/>
    </row>
    <row r="25" spans="1:16" ht="12" customHeight="1" x14ac:dyDescent="0.2">
      <c r="B25" s="130" t="s">
        <v>18</v>
      </c>
      <c r="C25" s="131"/>
      <c r="D25" s="131"/>
      <c r="E25" s="131"/>
      <c r="F25" s="131"/>
      <c r="G25" s="53"/>
      <c r="H25" s="325"/>
      <c r="I25" s="326"/>
      <c r="J25" s="326"/>
      <c r="K25" s="326"/>
      <c r="L25" s="326"/>
      <c r="M25" s="326"/>
      <c r="N25" s="308">
        <f>N22+N23</f>
        <v>4570.9161000000004</v>
      </c>
      <c r="O25" s="25">
        <f>N25/N27</f>
        <v>1</v>
      </c>
    </row>
    <row r="26" spans="1:16" ht="12" customHeight="1" x14ac:dyDescent="0.2">
      <c r="G26" s="52"/>
      <c r="H26" s="313"/>
      <c r="I26" s="313"/>
      <c r="J26" s="313"/>
      <c r="K26" s="313"/>
      <c r="L26" s="313"/>
      <c r="M26" s="313"/>
      <c r="N26" s="313"/>
      <c r="O26" s="19"/>
    </row>
    <row r="27" spans="1:16" s="132" customFormat="1" ht="12" customHeight="1" x14ac:dyDescent="0.2">
      <c r="B27" s="133" t="s">
        <v>20</v>
      </c>
      <c r="C27" s="134"/>
      <c r="D27" s="134"/>
      <c r="E27" s="134"/>
      <c r="F27" s="134"/>
      <c r="G27" s="78"/>
      <c r="H27" s="328"/>
      <c r="I27" s="328"/>
      <c r="J27" s="328"/>
      <c r="K27" s="328"/>
      <c r="L27" s="328"/>
      <c r="M27" s="328"/>
      <c r="N27" s="310">
        <f>N25</f>
        <v>4570.9161000000004</v>
      </c>
      <c r="O27" s="77">
        <f>N27/N29</f>
        <v>0.96794765981599429</v>
      </c>
    </row>
    <row r="28" spans="1:16" ht="7.5" customHeight="1" x14ac:dyDescent="0.2">
      <c r="G28" s="52"/>
      <c r="H28" s="313"/>
      <c r="I28" s="313"/>
      <c r="J28" s="313"/>
      <c r="K28" s="313"/>
      <c r="L28" s="313"/>
      <c r="M28" s="313"/>
      <c r="N28" s="313"/>
      <c r="O28" s="19"/>
    </row>
    <row r="29" spans="1:16" ht="12" customHeight="1" x14ac:dyDescent="0.2">
      <c r="A29" s="146"/>
      <c r="B29" s="147" t="s">
        <v>30</v>
      </c>
      <c r="C29" s="146"/>
      <c r="D29" s="146"/>
      <c r="E29" s="146"/>
      <c r="F29" s="146"/>
      <c r="G29" s="146"/>
      <c r="H29" s="342"/>
      <c r="I29" s="345"/>
      <c r="J29" s="345"/>
      <c r="K29" s="345"/>
      <c r="L29" s="345"/>
      <c r="M29" s="275">
        <f>SUM(M14:M28)</f>
        <v>4722.2761</v>
      </c>
      <c r="N29" s="316">
        <f>N27+N18</f>
        <v>4722.2761</v>
      </c>
      <c r="O29" s="322"/>
      <c r="P29" s="149"/>
    </row>
    <row r="30" spans="1:16" ht="7.5" customHeight="1" x14ac:dyDescent="0.2">
      <c r="G30" s="52"/>
      <c r="H30" s="313"/>
      <c r="I30" s="313"/>
      <c r="J30" s="313"/>
      <c r="K30" s="313"/>
      <c r="L30" s="313"/>
      <c r="M30" s="313"/>
      <c r="N30" s="313"/>
      <c r="O30" s="19"/>
    </row>
    <row r="31" spans="1:16" ht="12" customHeight="1" x14ac:dyDescent="0.2">
      <c r="A31" s="146"/>
      <c r="B31" s="147" t="s">
        <v>265</v>
      </c>
      <c r="C31" s="146"/>
      <c r="D31" s="146"/>
      <c r="E31" s="146"/>
      <c r="F31" s="146"/>
      <c r="G31" s="146"/>
      <c r="H31" s="342"/>
      <c r="I31" s="345"/>
      <c r="J31" s="345"/>
      <c r="K31" s="345"/>
      <c r="L31" s="345"/>
      <c r="M31" s="275">
        <f>M29+(M29*O7)</f>
        <v>5559.0634249200002</v>
      </c>
      <c r="N31" s="316">
        <f>M31</f>
        <v>5559.0634249200002</v>
      </c>
      <c r="O31" s="29">
        <f>N31/RESUMO!H95</f>
        <v>7.6766905363917796E-4</v>
      </c>
      <c r="P31" s="149"/>
    </row>
    <row r="43" spans="1:15" ht="12" customHeight="1" x14ac:dyDescent="0.2">
      <c r="A43" s="150"/>
      <c r="B43" s="150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211"/>
      <c r="O43" s="210"/>
    </row>
    <row r="44" spans="1:15" ht="12" customHeight="1" x14ac:dyDescent="0.2">
      <c r="A44" s="88"/>
      <c r="C44" s="184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184"/>
      <c r="O44" s="437"/>
    </row>
  </sheetData>
  <mergeCells count="3">
    <mergeCell ref="A2:O2"/>
    <mergeCell ref="N4:O4"/>
    <mergeCell ref="A5:B6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rowBreaks count="1" manualBreakCount="1">
    <brk id="20" max="12" man="1"/>
  </rowBreaks>
  <legacyDrawingHF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6" tint="0.39997558519241921"/>
    <pageSetUpPr fitToPage="1"/>
  </sheetPr>
  <dimension ref="A1:U126"/>
  <sheetViews>
    <sheetView view="pageBreakPreview" zoomScale="85" zoomScaleNormal="90" zoomScaleSheetLayoutView="85" workbookViewId="0">
      <selection activeCell="P33" sqref="P33"/>
    </sheetView>
  </sheetViews>
  <sheetFormatPr defaultColWidth="11.42578125" defaultRowHeight="12" customHeight="1" x14ac:dyDescent="0.2"/>
  <cols>
    <col min="1" max="3" width="11.42578125" style="51"/>
    <col min="4" max="4" width="11.42578125" style="51" customWidth="1"/>
    <col min="5" max="5" width="11.42578125" style="51"/>
    <col min="6" max="6" width="28.5703125" style="51" customWidth="1"/>
    <col min="7" max="7" width="11.42578125" style="51"/>
    <col min="8" max="9" width="11.42578125" style="51" customWidth="1"/>
    <col min="10" max="10" width="5.7109375" style="51" hidden="1" customWidth="1"/>
    <col min="11" max="11" width="14.28515625" style="51" customWidth="1"/>
    <col min="12" max="12" width="6.7109375" style="51" hidden="1" customWidth="1"/>
    <col min="13" max="13" width="14.28515625" style="51" customWidth="1"/>
    <col min="14" max="14" width="17.28515625" style="51" customWidth="1"/>
    <col min="15" max="15" width="11.42578125" style="52" customWidth="1"/>
    <col min="16" max="19" width="11.42578125" style="51"/>
    <col min="20" max="20" width="13.42578125" style="51" customWidth="1"/>
    <col min="21" max="16384" width="11.42578125" style="51"/>
  </cols>
  <sheetData>
    <row r="1" spans="1:21" ht="6.75" customHeight="1" x14ac:dyDescent="0.2"/>
    <row r="2" spans="1:21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21" ht="6.7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95"/>
    </row>
    <row r="4" spans="1:21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K4" s="259"/>
      <c r="L4" s="259"/>
      <c r="M4" s="259">
        <f ca="1">RESUMO!G4</f>
        <v>43657</v>
      </c>
      <c r="N4" s="832" t="str">
        <f>RESUMO!H4</f>
        <v>BDI Aplicado</v>
      </c>
      <c r="O4" s="833"/>
      <c r="P4" s="831" t="s">
        <v>995</v>
      </c>
      <c r="Q4" s="831" t="s">
        <v>991</v>
      </c>
      <c r="R4" s="831" t="s">
        <v>992</v>
      </c>
      <c r="S4" s="831" t="s">
        <v>993</v>
      </c>
      <c r="T4" s="831" t="s">
        <v>994</v>
      </c>
      <c r="U4" s="831" t="s">
        <v>996</v>
      </c>
    </row>
    <row r="5" spans="1:21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K5" s="258"/>
      <c r="L5" s="258"/>
      <c r="M5" s="258"/>
      <c r="N5" s="261" t="str">
        <f>RESUMO!H5</f>
        <v>Serviços</v>
      </c>
      <c r="O5" s="234">
        <f>RESUMO!I5</f>
        <v>0.27579999999999999</v>
      </c>
      <c r="P5" s="831"/>
      <c r="Q5" s="831"/>
      <c r="R5" s="831"/>
      <c r="S5" s="831"/>
      <c r="T5" s="831"/>
      <c r="U5" s="831"/>
    </row>
    <row r="6" spans="1:21" ht="12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K6" s="258"/>
      <c r="L6" s="258"/>
      <c r="M6" s="258"/>
      <c r="N6" s="261" t="str">
        <f>RESUMO!H6</f>
        <v>Serv Terc:</v>
      </c>
      <c r="O6" s="234">
        <f>RESUMO!I6</f>
        <v>0.1772</v>
      </c>
      <c r="P6" s="486">
        <v>993.74000000000012</v>
      </c>
      <c r="Q6" s="486">
        <v>2.4059087034838083</v>
      </c>
      <c r="R6" s="486">
        <v>0.6527572604504196</v>
      </c>
      <c r="S6" s="486">
        <v>956.33908599999995</v>
      </c>
      <c r="T6" s="486">
        <v>216.22366666666667</v>
      </c>
      <c r="U6" s="486">
        <v>16</v>
      </c>
    </row>
    <row r="7" spans="1:21" ht="12" customHeight="1" x14ac:dyDescent="0.2">
      <c r="A7" s="253"/>
      <c r="B7" s="253"/>
      <c r="C7" s="260" t="s">
        <v>6</v>
      </c>
      <c r="D7" s="263" t="str">
        <f>RESUMO!A26</f>
        <v>U.C. : 08</v>
      </c>
      <c r="E7" s="258"/>
      <c r="F7" s="258"/>
      <c r="G7" s="260" t="s">
        <v>9</v>
      </c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  <c r="T7" s="486">
        <v>179.95518066666668</v>
      </c>
    </row>
    <row r="8" spans="1:21" ht="12" customHeight="1" thickBot="1" x14ac:dyDescent="0.25">
      <c r="A8" s="124"/>
      <c r="B8" s="125"/>
      <c r="C8" s="266" t="s">
        <v>8</v>
      </c>
      <c r="D8" s="267" t="str">
        <f>RESUMO!B26</f>
        <v>COLETOR 03</v>
      </c>
      <c r="E8" s="268"/>
      <c r="F8" s="268"/>
      <c r="G8" s="266"/>
      <c r="H8" s="123"/>
      <c r="I8" s="278"/>
      <c r="J8" s="278"/>
      <c r="K8" s="278"/>
      <c r="L8" s="278"/>
      <c r="M8" s="278"/>
      <c r="N8" s="271"/>
      <c r="O8" s="427"/>
      <c r="T8" s="486">
        <v>792.3576946666667</v>
      </c>
    </row>
    <row r="9" spans="1:21" ht="12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  <c r="T9" s="486">
        <v>409.29710149999994</v>
      </c>
    </row>
    <row r="10" spans="1:21" ht="12.75" x14ac:dyDescent="0.2">
      <c r="O10" s="19"/>
      <c r="T10" s="486">
        <v>194.60130000000001</v>
      </c>
    </row>
    <row r="11" spans="1:21" ht="11.25" customHeight="1" x14ac:dyDescent="0.2">
      <c r="A11" s="93">
        <f>RESUMO!A42</f>
        <v>1</v>
      </c>
      <c r="B11" s="93" t="str">
        <f>RESUMO!B27</f>
        <v>COLETOR 03 - SERVIÇOS</v>
      </c>
      <c r="H11" s="61"/>
      <c r="O11" s="19"/>
      <c r="T11" s="486">
        <v>1320.8058577000002</v>
      </c>
    </row>
    <row r="12" spans="1:21" ht="11.25" customHeight="1" x14ac:dyDescent="0.2">
      <c r="A12" s="129" t="s">
        <v>48</v>
      </c>
      <c r="B12" s="88" t="s">
        <v>16</v>
      </c>
      <c r="H12" s="61"/>
      <c r="O12" s="19"/>
      <c r="T12" s="486">
        <v>82.426485800000009</v>
      </c>
    </row>
    <row r="13" spans="1:21" ht="11.25" customHeight="1" x14ac:dyDescent="0.2">
      <c r="A13" s="129" t="s">
        <v>79</v>
      </c>
      <c r="B13" s="88" t="s">
        <v>80</v>
      </c>
      <c r="H13" s="61"/>
      <c r="O13" s="19"/>
    </row>
    <row r="14" spans="1:21" ht="11.25" customHeight="1" x14ac:dyDescent="0.2">
      <c r="A14" s="129" t="s">
        <v>209</v>
      </c>
      <c r="B14" s="88" t="s">
        <v>210</v>
      </c>
      <c r="G14" s="97" t="s">
        <v>17</v>
      </c>
      <c r="H14" s="308">
        <f>P6</f>
        <v>993.74000000000012</v>
      </c>
      <c r="I14" s="323">
        <f>VLOOKUP(A14,'[1]TAB OGU JUN18'!$A:$G,6,"falso")</f>
        <v>1.2</v>
      </c>
      <c r="J14" s="323">
        <f>VLOOKUP(A14,'[1]TAB OGU JUN18'!$A:$G,4,"falso")</f>
        <v>0.82</v>
      </c>
      <c r="K14" s="308">
        <f>H14*J14</f>
        <v>814.86680000000001</v>
      </c>
      <c r="L14" s="323">
        <f>VLOOKUP(A14,'[1]TAB OGU JUN18'!$A:$G,5,"falso")</f>
        <v>0.38</v>
      </c>
      <c r="M14" s="308">
        <f>H14*L14</f>
        <v>377.62120000000004</v>
      </c>
      <c r="N14" s="308">
        <f>H14*I14</f>
        <v>1192.4880000000001</v>
      </c>
      <c r="O14" s="25">
        <f>N14/N17</f>
        <v>1</v>
      </c>
      <c r="Q14" s="311"/>
    </row>
    <row r="15" spans="1:21" ht="11.25" customHeight="1" x14ac:dyDescent="0.2">
      <c r="B15" s="258" t="s">
        <v>211</v>
      </c>
      <c r="G15" s="52"/>
      <c r="H15" s="324"/>
      <c r="I15" s="324"/>
      <c r="J15" s="313"/>
      <c r="K15" s="313"/>
      <c r="L15" s="313"/>
      <c r="M15" s="313"/>
      <c r="N15" s="309"/>
      <c r="O15" s="25"/>
      <c r="Q15" s="311"/>
    </row>
    <row r="16" spans="1:21" ht="11.25" customHeight="1" x14ac:dyDescent="0.2">
      <c r="G16" s="52"/>
      <c r="H16" s="324"/>
      <c r="I16" s="324"/>
      <c r="J16" s="313"/>
      <c r="K16" s="313"/>
      <c r="L16" s="313"/>
      <c r="M16" s="313"/>
      <c r="N16" s="309"/>
      <c r="O16" s="25"/>
      <c r="Q16" s="311"/>
    </row>
    <row r="17" spans="1:17" ht="11.25" customHeight="1" x14ac:dyDescent="0.2">
      <c r="B17" s="130" t="s">
        <v>18</v>
      </c>
      <c r="C17" s="131"/>
      <c r="D17" s="131"/>
      <c r="E17" s="131"/>
      <c r="F17" s="131"/>
      <c r="G17" s="53"/>
      <c r="H17" s="325"/>
      <c r="I17" s="325"/>
      <c r="J17" s="326"/>
      <c r="K17" s="326"/>
      <c r="L17" s="326"/>
      <c r="M17" s="326"/>
      <c r="N17" s="308">
        <f>SUM(N14:N14)</f>
        <v>1192.4880000000001</v>
      </c>
      <c r="O17" s="25">
        <f>N17/N29</f>
        <v>0.64516129032258063</v>
      </c>
      <c r="Q17" s="311"/>
    </row>
    <row r="18" spans="1:17" ht="11.25" customHeight="1" x14ac:dyDescent="0.2">
      <c r="B18" s="130"/>
      <c r="G18" s="52"/>
      <c r="H18" s="324"/>
      <c r="I18" s="324"/>
      <c r="J18" s="313"/>
      <c r="K18" s="313"/>
      <c r="L18" s="313"/>
      <c r="M18" s="313"/>
      <c r="N18" s="308"/>
      <c r="O18" s="25"/>
      <c r="Q18" s="311"/>
    </row>
    <row r="19" spans="1:17" ht="11.25" customHeight="1" x14ac:dyDescent="0.2">
      <c r="A19" s="98" t="s">
        <v>779</v>
      </c>
      <c r="B19" s="88" t="s">
        <v>780</v>
      </c>
      <c r="G19" s="52"/>
      <c r="H19" s="324"/>
      <c r="I19" s="324"/>
      <c r="J19" s="313"/>
      <c r="K19" s="313"/>
      <c r="L19" s="313"/>
      <c r="M19" s="313"/>
      <c r="N19" s="313"/>
      <c r="O19" s="19"/>
      <c r="Q19" s="311"/>
    </row>
    <row r="20" spans="1:17" ht="11.25" customHeight="1" x14ac:dyDescent="0.2">
      <c r="A20" s="98" t="s">
        <v>782</v>
      </c>
      <c r="B20" s="88" t="s">
        <v>781</v>
      </c>
      <c r="G20" s="97" t="s">
        <v>17</v>
      </c>
      <c r="H20" s="308">
        <f>H14</f>
        <v>993.74000000000012</v>
      </c>
      <c r="I20" s="323">
        <f>VLOOKUP(A20,'[1]TAB OGU JUN18'!$A:$G,6,"falso")</f>
        <v>0.4</v>
      </c>
      <c r="J20" s="323">
        <f>VLOOKUP(A20,'[1]TAB OGU JUN18'!$A:$G,4,"falso")</f>
        <v>0.4</v>
      </c>
      <c r="K20" s="308">
        <f>H20*J20</f>
        <v>397.49600000000009</v>
      </c>
      <c r="L20" s="323">
        <f>VLOOKUP(A20,'[1]TAB OGU JUN18'!$A:$G,5,"falso")</f>
        <v>0</v>
      </c>
      <c r="M20" s="308"/>
      <c r="N20" s="308">
        <f>H20*I20</f>
        <v>397.49600000000009</v>
      </c>
      <c r="O20" s="25">
        <f>N20/N22</f>
        <v>1</v>
      </c>
      <c r="Q20" s="311"/>
    </row>
    <row r="21" spans="1:17" ht="11.25" customHeight="1" x14ac:dyDescent="0.2">
      <c r="G21" s="52"/>
      <c r="H21" s="324"/>
      <c r="I21" s="324"/>
      <c r="J21" s="313"/>
      <c r="K21" s="313"/>
      <c r="L21" s="313"/>
      <c r="M21" s="313"/>
      <c r="N21" s="313"/>
      <c r="O21" s="19"/>
      <c r="Q21" s="311"/>
    </row>
    <row r="22" spans="1:17" ht="11.25" customHeight="1" x14ac:dyDescent="0.2">
      <c r="B22" s="130" t="s">
        <v>18</v>
      </c>
      <c r="C22" s="131"/>
      <c r="D22" s="131"/>
      <c r="E22" s="131"/>
      <c r="F22" s="131"/>
      <c r="G22" s="53"/>
      <c r="H22" s="325"/>
      <c r="I22" s="325"/>
      <c r="J22" s="326"/>
      <c r="K22" s="326"/>
      <c r="L22" s="326"/>
      <c r="M22" s="326"/>
      <c r="N22" s="308">
        <f>N20</f>
        <v>397.49600000000009</v>
      </c>
      <c r="O22" s="25">
        <f>N22/N29</f>
        <v>0.21505376344086025</v>
      </c>
      <c r="Q22" s="311"/>
    </row>
    <row r="23" spans="1:17" ht="11.25" customHeight="1" x14ac:dyDescent="0.2">
      <c r="B23" s="130"/>
      <c r="G23" s="52"/>
      <c r="H23" s="324"/>
      <c r="I23" s="324"/>
      <c r="J23" s="313"/>
      <c r="K23" s="313"/>
      <c r="L23" s="313"/>
      <c r="M23" s="313"/>
      <c r="N23" s="308"/>
      <c r="O23" s="25"/>
      <c r="Q23" s="311"/>
    </row>
    <row r="24" spans="1:17" ht="11.25" customHeight="1" x14ac:dyDescent="0.2">
      <c r="A24" s="98" t="s">
        <v>82</v>
      </c>
      <c r="B24" s="88" t="s">
        <v>19</v>
      </c>
      <c r="G24" s="52"/>
      <c r="H24" s="19"/>
      <c r="I24" s="52"/>
      <c r="J24" s="52"/>
      <c r="K24" s="52"/>
      <c r="L24" s="52"/>
      <c r="M24" s="52"/>
      <c r="N24" s="52"/>
      <c r="O24" s="19"/>
    </row>
    <row r="25" spans="1:17" ht="11.25" customHeight="1" x14ac:dyDescent="0.2">
      <c r="A25" s="98" t="s">
        <v>83</v>
      </c>
      <c r="B25" s="88" t="s">
        <v>81</v>
      </c>
      <c r="G25" s="97" t="s">
        <v>17</v>
      </c>
      <c r="H25" s="308">
        <f>H20</f>
        <v>993.74000000000012</v>
      </c>
      <c r="I25" s="323">
        <f>VLOOKUP(A25,'[1]TAB OGU JUN18'!$A:$G,6,"falso")</f>
        <v>0.26</v>
      </c>
      <c r="J25" s="323">
        <f>VLOOKUP(A25,'[1]TAB OGU JUN18'!$A:$G,4,"falso")</f>
        <v>0.26</v>
      </c>
      <c r="K25" s="308">
        <f>H25*J25</f>
        <v>258.37240000000003</v>
      </c>
      <c r="L25" s="323">
        <f>VLOOKUP(A25,'[1]TAB OGU JUN18'!$A:$G,5,"falso")</f>
        <v>0</v>
      </c>
      <c r="M25" s="308"/>
      <c r="N25" s="308">
        <f>H25*I25</f>
        <v>258.37240000000003</v>
      </c>
      <c r="O25" s="25">
        <f>N25/N27</f>
        <v>1</v>
      </c>
    </row>
    <row r="26" spans="1:17" ht="11.25" customHeight="1" x14ac:dyDescent="0.2">
      <c r="G26" s="52"/>
      <c r="H26" s="324"/>
      <c r="I26" s="313"/>
      <c r="J26" s="313"/>
      <c r="K26" s="313"/>
      <c r="L26" s="313"/>
      <c r="M26" s="313"/>
      <c r="N26" s="313"/>
      <c r="O26" s="19"/>
    </row>
    <row r="27" spans="1:17" ht="11.25" customHeight="1" x14ac:dyDescent="0.2">
      <c r="B27" s="130" t="s">
        <v>18</v>
      </c>
      <c r="C27" s="131"/>
      <c r="D27" s="131"/>
      <c r="E27" s="131"/>
      <c r="F27" s="131"/>
      <c r="G27" s="53"/>
      <c r="H27" s="325"/>
      <c r="I27" s="326"/>
      <c r="J27" s="326"/>
      <c r="K27" s="326"/>
      <c r="L27" s="326"/>
      <c r="M27" s="326"/>
      <c r="N27" s="308">
        <f>N25</f>
        <v>258.37240000000003</v>
      </c>
      <c r="O27" s="25">
        <f>N27/N29</f>
        <v>0.13978494623655915</v>
      </c>
    </row>
    <row r="28" spans="1:17" ht="11.25" customHeight="1" x14ac:dyDescent="0.2">
      <c r="B28" s="130"/>
      <c r="G28" s="52"/>
      <c r="H28" s="324"/>
      <c r="I28" s="313"/>
      <c r="J28" s="313"/>
      <c r="K28" s="313"/>
      <c r="L28" s="313"/>
      <c r="M28" s="313"/>
      <c r="N28" s="308"/>
      <c r="O28" s="25"/>
    </row>
    <row r="29" spans="1:17" s="132" customFormat="1" ht="11.25" customHeight="1" x14ac:dyDescent="0.2">
      <c r="B29" s="133" t="s">
        <v>20</v>
      </c>
      <c r="C29" s="134"/>
      <c r="D29" s="134"/>
      <c r="E29" s="134"/>
      <c r="F29" s="134"/>
      <c r="G29" s="78"/>
      <c r="H29" s="327"/>
      <c r="I29" s="328"/>
      <c r="J29" s="328"/>
      <c r="K29" s="328"/>
      <c r="L29" s="328"/>
      <c r="M29" s="328"/>
      <c r="N29" s="310">
        <f>N27+N17+N22</f>
        <v>1848.3564000000001</v>
      </c>
      <c r="O29" s="77">
        <f>N29/N118</f>
        <v>2.2238118125355904E-2</v>
      </c>
    </row>
    <row r="30" spans="1:17" ht="11.25" customHeight="1" x14ac:dyDescent="0.2">
      <c r="G30" s="52"/>
      <c r="H30" s="324"/>
      <c r="I30" s="313"/>
      <c r="J30" s="313"/>
      <c r="K30" s="313"/>
      <c r="L30" s="313"/>
      <c r="M30" s="313"/>
      <c r="N30" s="313"/>
      <c r="O30" s="19"/>
    </row>
    <row r="31" spans="1:17" ht="11.25" customHeight="1" x14ac:dyDescent="0.2">
      <c r="A31" s="129" t="s">
        <v>93</v>
      </c>
      <c r="B31" s="88" t="s">
        <v>96</v>
      </c>
      <c r="H31" s="329"/>
      <c r="I31" s="311"/>
      <c r="J31" s="311"/>
      <c r="K31" s="311"/>
      <c r="L31" s="311"/>
      <c r="M31" s="311"/>
      <c r="N31" s="311"/>
      <c r="O31" s="19"/>
    </row>
    <row r="32" spans="1:17" ht="11.25" customHeight="1" x14ac:dyDescent="0.2">
      <c r="A32" s="129" t="s">
        <v>94</v>
      </c>
      <c r="B32" s="88" t="s">
        <v>97</v>
      </c>
      <c r="H32" s="329"/>
      <c r="I32" s="311"/>
      <c r="J32" s="311"/>
      <c r="K32" s="311"/>
      <c r="L32" s="311"/>
      <c r="M32" s="311"/>
      <c r="N32" s="311"/>
      <c r="O32" s="19"/>
    </row>
    <row r="33" spans="1:15" ht="11.25" customHeight="1" x14ac:dyDescent="0.2">
      <c r="A33" s="129" t="s">
        <v>95</v>
      </c>
      <c r="B33" s="88" t="s">
        <v>228</v>
      </c>
      <c r="G33" s="97" t="s">
        <v>32</v>
      </c>
      <c r="H33" s="308">
        <f>T6</f>
        <v>216.22366666666667</v>
      </c>
      <c r="I33" s="323">
        <f>VLOOKUP(A33,'[1]TAB OGU JUN18'!$A:$G,6,"falso")</f>
        <v>32.9</v>
      </c>
      <c r="J33" s="323">
        <f>VLOOKUP(A33,'[1]TAB OGU JUN18'!$A:$G,4,"falso")</f>
        <v>32.9</v>
      </c>
      <c r="K33" s="308">
        <f>H33*J33</f>
        <v>7113.7586333333329</v>
      </c>
      <c r="L33" s="323">
        <f>VLOOKUP(A33,'[1]TAB OGU JUN18'!$A:$G,5,"falso")</f>
        <v>0</v>
      </c>
      <c r="M33" s="308"/>
      <c r="N33" s="308">
        <f>H33*I33</f>
        <v>7113.7586333333329</v>
      </c>
      <c r="O33" s="25">
        <f>N33/N36</f>
        <v>0.49008640380037882</v>
      </c>
    </row>
    <row r="34" spans="1:15" ht="11.25" customHeight="1" x14ac:dyDescent="0.2">
      <c r="A34" s="129" t="s">
        <v>261</v>
      </c>
      <c r="B34" s="88" t="s">
        <v>643</v>
      </c>
      <c r="G34" s="97" t="s">
        <v>32</v>
      </c>
      <c r="H34" s="308">
        <f>T7</f>
        <v>179.95518066666668</v>
      </c>
      <c r="I34" s="323">
        <f>VLOOKUP(A34,'[1]TAB OGU JUN18'!$A:$G,6,"falso")</f>
        <v>41.13</v>
      </c>
      <c r="J34" s="323">
        <f>VLOOKUP(A34,'[1]TAB OGU JUN18'!$A:$G,4,"falso")</f>
        <v>41.13</v>
      </c>
      <c r="K34" s="308">
        <f>H34*J34</f>
        <v>7401.5565808200008</v>
      </c>
      <c r="L34" s="323">
        <f>VLOOKUP(A34,'[1]TAB OGU JUN18'!$A:$G,5,"falso")</f>
        <v>0</v>
      </c>
      <c r="M34" s="308"/>
      <c r="N34" s="308">
        <f>H34*I34</f>
        <v>7401.5565808200008</v>
      </c>
      <c r="O34" s="25">
        <f>N34/N36</f>
        <v>0.50991359619962118</v>
      </c>
    </row>
    <row r="35" spans="1:15" ht="11.25" customHeight="1" x14ac:dyDescent="0.2">
      <c r="G35" s="52"/>
      <c r="H35" s="324"/>
      <c r="I35" s="313"/>
      <c r="J35" s="313"/>
      <c r="K35" s="313"/>
      <c r="L35" s="313"/>
      <c r="M35" s="313"/>
      <c r="N35" s="309"/>
      <c r="O35" s="25"/>
    </row>
    <row r="36" spans="1:15" ht="11.25" customHeight="1" x14ac:dyDescent="0.2">
      <c r="B36" s="130" t="s">
        <v>18</v>
      </c>
      <c r="C36" s="131"/>
      <c r="D36" s="131"/>
      <c r="E36" s="131"/>
      <c r="F36" s="131"/>
      <c r="G36" s="53"/>
      <c r="H36" s="325"/>
      <c r="I36" s="326"/>
      <c r="J36" s="326"/>
      <c r="K36" s="326"/>
      <c r="L36" s="326"/>
      <c r="M36" s="326"/>
      <c r="N36" s="308">
        <f>SUM(N33:N34)</f>
        <v>14515.315214153334</v>
      </c>
      <c r="O36" s="25">
        <f>N36/N66</f>
        <v>0.36509210926188357</v>
      </c>
    </row>
    <row r="37" spans="1:15" ht="11.25" customHeight="1" x14ac:dyDescent="0.2">
      <c r="B37" s="130"/>
      <c r="G37" s="52"/>
      <c r="H37" s="324"/>
      <c r="I37" s="313"/>
      <c r="J37" s="313"/>
      <c r="K37" s="313"/>
      <c r="L37" s="313"/>
      <c r="M37" s="313"/>
      <c r="N37" s="308"/>
      <c r="O37" s="25"/>
    </row>
    <row r="38" spans="1:15" ht="11.25" customHeight="1" x14ac:dyDescent="0.2">
      <c r="A38" s="98" t="s">
        <v>98</v>
      </c>
      <c r="B38" s="88" t="s">
        <v>100</v>
      </c>
      <c r="G38" s="52"/>
      <c r="H38" s="324"/>
      <c r="I38" s="313"/>
      <c r="J38" s="313"/>
      <c r="K38" s="313"/>
      <c r="L38" s="313"/>
      <c r="M38" s="313"/>
      <c r="N38" s="313"/>
      <c r="O38" s="19"/>
    </row>
    <row r="39" spans="1:15" ht="11.25" customHeight="1" x14ac:dyDescent="0.2">
      <c r="A39" s="98" t="s">
        <v>99</v>
      </c>
      <c r="B39" s="88" t="s">
        <v>229</v>
      </c>
      <c r="G39" s="97" t="s">
        <v>32</v>
      </c>
      <c r="H39" s="308">
        <f>T8</f>
        <v>792.3576946666667</v>
      </c>
      <c r="I39" s="323">
        <f>VLOOKUP(A39,'[1]TAB OGU JUN18'!$A:$G,6,"falso")</f>
        <v>9.77</v>
      </c>
      <c r="J39" s="323">
        <f>VLOOKUP(A39,'[1]TAB OGU JUN18'!$A:$G,4,"falso")</f>
        <v>9.77</v>
      </c>
      <c r="K39" s="308">
        <f>H39*J39</f>
        <v>7741.3346768933334</v>
      </c>
      <c r="L39" s="323">
        <f>VLOOKUP(A39,'[1]TAB OGU JUN18'!$A:$G,5,"falso")</f>
        <v>0</v>
      </c>
      <c r="M39" s="308"/>
      <c r="N39" s="308">
        <f>H39*I39</f>
        <v>7741.3346768933334</v>
      </c>
      <c r="O39" s="25">
        <f>N39/N42</f>
        <v>0.62891200483406762</v>
      </c>
    </row>
    <row r="40" spans="1:15" ht="11.25" customHeight="1" x14ac:dyDescent="0.2">
      <c r="A40" s="98" t="s">
        <v>232</v>
      </c>
      <c r="B40" s="88" t="s">
        <v>558</v>
      </c>
      <c r="G40" s="97" t="s">
        <v>32</v>
      </c>
      <c r="H40" s="308">
        <f>T9</f>
        <v>409.29710149999994</v>
      </c>
      <c r="I40" s="323">
        <f>VLOOKUP(A40,'[1]TAB OGU JUN18'!$A:$G,6,"falso")</f>
        <v>11.16</v>
      </c>
      <c r="J40" s="323">
        <f>VLOOKUP(A40,'[1]TAB OGU JUN18'!$A:$G,4,"falso")</f>
        <v>11.16</v>
      </c>
      <c r="K40" s="308">
        <f>H40*J40</f>
        <v>4567.7556527399993</v>
      </c>
      <c r="L40" s="323">
        <f>VLOOKUP(A40,'[1]TAB OGU JUN18'!$A:$G,5,"falso")</f>
        <v>0</v>
      </c>
      <c r="M40" s="308"/>
      <c r="N40" s="308">
        <f>H40*I40</f>
        <v>4567.7556527399993</v>
      </c>
      <c r="O40" s="25">
        <f>N40/N42</f>
        <v>0.37108799516593238</v>
      </c>
    </row>
    <row r="41" spans="1:15" ht="11.25" customHeight="1" x14ac:dyDescent="0.2">
      <c r="G41" s="52"/>
      <c r="H41" s="324"/>
      <c r="I41" s="313"/>
      <c r="J41" s="313"/>
      <c r="K41" s="313"/>
      <c r="L41" s="313"/>
      <c r="M41" s="313"/>
      <c r="N41" s="313"/>
      <c r="O41" s="19"/>
    </row>
    <row r="42" spans="1:15" ht="11.25" customHeight="1" x14ac:dyDescent="0.2">
      <c r="B42" s="130" t="s">
        <v>18</v>
      </c>
      <c r="C42" s="131"/>
      <c r="D42" s="131"/>
      <c r="E42" s="131"/>
      <c r="F42" s="131"/>
      <c r="G42" s="53"/>
      <c r="H42" s="325"/>
      <c r="I42" s="326"/>
      <c r="J42" s="326"/>
      <c r="K42" s="326"/>
      <c r="L42" s="326"/>
      <c r="M42" s="326"/>
      <c r="N42" s="308">
        <f>N39+N40</f>
        <v>12309.090329633333</v>
      </c>
      <c r="O42" s="25">
        <f>N42/N66</f>
        <v>0.30960070003571161</v>
      </c>
    </row>
    <row r="43" spans="1:15" ht="11.25" customHeight="1" x14ac:dyDescent="0.2">
      <c r="B43" s="130"/>
      <c r="G43" s="52"/>
      <c r="H43" s="324"/>
      <c r="I43" s="313"/>
      <c r="J43" s="313"/>
      <c r="K43" s="313"/>
      <c r="L43" s="313"/>
      <c r="M43" s="313"/>
      <c r="N43" s="308"/>
      <c r="O43" s="25"/>
    </row>
    <row r="44" spans="1:15" ht="11.25" customHeight="1" x14ac:dyDescent="0.2">
      <c r="A44" s="98" t="s">
        <v>101</v>
      </c>
      <c r="B44" s="88" t="s">
        <v>21</v>
      </c>
      <c r="G44" s="97"/>
      <c r="H44" s="308"/>
      <c r="I44" s="308"/>
      <c r="J44" s="308"/>
      <c r="K44" s="308"/>
      <c r="L44" s="308"/>
      <c r="M44" s="308"/>
      <c r="N44" s="308"/>
      <c r="O44" s="25"/>
    </row>
    <row r="45" spans="1:15" ht="11.25" customHeight="1" x14ac:dyDescent="0.2">
      <c r="A45" s="98" t="s">
        <v>102</v>
      </c>
      <c r="B45" s="88" t="s">
        <v>104</v>
      </c>
      <c r="G45" s="97" t="s">
        <v>32</v>
      </c>
      <c r="H45" s="308">
        <f>T10</f>
        <v>194.60130000000001</v>
      </c>
      <c r="I45" s="323">
        <f>VLOOKUP(A45,'[1]TAB OGU JUN18'!$A:$G,6,"falso")</f>
        <v>7.4</v>
      </c>
      <c r="J45" s="323">
        <f>VLOOKUP(A45,'[1]TAB OGU JUN18'!$A:$G,4,"falso")</f>
        <v>7.4</v>
      </c>
      <c r="K45" s="308">
        <f>H45*J45</f>
        <v>1440.0496200000002</v>
      </c>
      <c r="L45" s="323">
        <f>VLOOKUP(A45,'[1]TAB OGU JUN18'!$A:$G,5,"falso")</f>
        <v>0</v>
      </c>
      <c r="M45" s="308"/>
      <c r="N45" s="308">
        <f>H45*I45</f>
        <v>1440.0496200000002</v>
      </c>
      <c r="O45" s="25">
        <f>N45/N48</f>
        <v>0.45234602801999346</v>
      </c>
    </row>
    <row r="46" spans="1:15" ht="11.25" customHeight="1" x14ac:dyDescent="0.2">
      <c r="A46" s="98" t="s">
        <v>103</v>
      </c>
      <c r="B46" s="88" t="s">
        <v>105</v>
      </c>
      <c r="G46" s="97" t="s">
        <v>32</v>
      </c>
      <c r="H46" s="308">
        <f>T11</f>
        <v>1320.8058577000002</v>
      </c>
      <c r="I46" s="323">
        <f>VLOOKUP(A46,'[1]TAB OGU JUN18'!$A:$G,6,"falso")</f>
        <v>1.32</v>
      </c>
      <c r="J46" s="323">
        <f>VLOOKUP(A46,'[1]TAB OGU JUN18'!$A:$G,4,"falso")</f>
        <v>1.32</v>
      </c>
      <c r="K46" s="308">
        <f>H46*J46</f>
        <v>1743.4637321640002</v>
      </c>
      <c r="L46" s="323">
        <f>VLOOKUP(A46,'[1]TAB OGU JUN18'!$A:$G,5,"falso")</f>
        <v>0</v>
      </c>
      <c r="M46" s="308"/>
      <c r="N46" s="308">
        <f>H46*I46</f>
        <v>1743.4637321640002</v>
      </c>
      <c r="O46" s="25">
        <f>N46/N48</f>
        <v>0.54765397198000654</v>
      </c>
    </row>
    <row r="47" spans="1:15" ht="11.25" customHeight="1" x14ac:dyDescent="0.2">
      <c r="B47" s="130"/>
      <c r="G47" s="52"/>
      <c r="H47" s="324"/>
      <c r="I47" s="313"/>
      <c r="J47" s="313"/>
      <c r="K47" s="313"/>
      <c r="L47" s="313"/>
      <c r="M47" s="313"/>
      <c r="N47" s="308"/>
      <c r="O47" s="25"/>
    </row>
    <row r="48" spans="1:15" ht="11.25" customHeight="1" x14ac:dyDescent="0.2">
      <c r="B48" s="130" t="s">
        <v>18</v>
      </c>
      <c r="C48" s="131"/>
      <c r="D48" s="131"/>
      <c r="E48" s="131"/>
      <c r="F48" s="131"/>
      <c r="G48" s="53"/>
      <c r="H48" s="325"/>
      <c r="I48" s="326"/>
      <c r="J48" s="326"/>
      <c r="K48" s="326"/>
      <c r="L48" s="326"/>
      <c r="M48" s="326"/>
      <c r="N48" s="308">
        <f>N46+N45</f>
        <v>3183.5133521640005</v>
      </c>
      <c r="O48" s="25">
        <f>N48/N66</f>
        <v>8.0072364082843586E-2</v>
      </c>
    </row>
    <row r="49" spans="1:15" ht="11.25" customHeight="1" x14ac:dyDescent="0.2">
      <c r="B49" s="130"/>
      <c r="G49" s="52"/>
      <c r="H49" s="324"/>
      <c r="I49" s="313"/>
      <c r="J49" s="313"/>
      <c r="K49" s="313"/>
      <c r="L49" s="313"/>
      <c r="M49" s="313"/>
      <c r="N49" s="308"/>
      <c r="O49" s="25"/>
    </row>
    <row r="50" spans="1:15" ht="11.25" customHeight="1" x14ac:dyDescent="0.2">
      <c r="A50" s="98" t="s">
        <v>106</v>
      </c>
      <c r="B50" s="88" t="s">
        <v>109</v>
      </c>
      <c r="G50" s="97"/>
      <c r="H50" s="308"/>
      <c r="I50" s="308"/>
      <c r="J50" s="308"/>
      <c r="K50" s="308"/>
      <c r="L50" s="308"/>
      <c r="M50" s="308"/>
      <c r="N50" s="308"/>
      <c r="O50" s="25"/>
    </row>
    <row r="51" spans="1:15" ht="11.25" customHeight="1" x14ac:dyDescent="0.2">
      <c r="A51" s="98" t="s">
        <v>107</v>
      </c>
      <c r="B51" s="88" t="s">
        <v>104</v>
      </c>
      <c r="G51" s="97" t="s">
        <v>32</v>
      </c>
      <c r="H51" s="308">
        <f>H45</f>
        <v>194.60130000000001</v>
      </c>
      <c r="I51" s="323">
        <f>VLOOKUP(A51,'[1]TAB OGU JUN18'!$A:$G,6,"falso")</f>
        <v>20.56</v>
      </c>
      <c r="J51" s="323">
        <f>VLOOKUP(A51,'[1]TAB OGU JUN18'!$A:$G,4,"falso")</f>
        <v>20.56</v>
      </c>
      <c r="K51" s="308">
        <f>H51*J51</f>
        <v>4001.0027279999999</v>
      </c>
      <c r="L51" s="323">
        <f>VLOOKUP(A51,'[1]TAB OGU JUN18'!$A:$G,5,"falso")</f>
        <v>0</v>
      </c>
      <c r="M51" s="308"/>
      <c r="N51" s="308">
        <f>H51*I51</f>
        <v>4001.0027279999999</v>
      </c>
      <c r="O51" s="25">
        <f>N51/N54</f>
        <v>0.42790253611211093</v>
      </c>
    </row>
    <row r="52" spans="1:15" ht="11.25" customHeight="1" x14ac:dyDescent="0.2">
      <c r="A52" s="98" t="s">
        <v>108</v>
      </c>
      <c r="B52" s="88" t="s">
        <v>105</v>
      </c>
      <c r="G52" s="97" t="s">
        <v>32</v>
      </c>
      <c r="H52" s="308">
        <f>H46</f>
        <v>1320.8058577000002</v>
      </c>
      <c r="I52" s="323">
        <f>VLOOKUP(A52,'[1]TAB OGU JUN18'!$A:$G,6,"falso")</f>
        <v>4.05</v>
      </c>
      <c r="J52" s="323">
        <f>VLOOKUP(A52,'[1]TAB OGU JUN18'!$A:$G,4,"falso")</f>
        <v>4.05</v>
      </c>
      <c r="K52" s="308">
        <f>H52*J52</f>
        <v>5349.2637236850005</v>
      </c>
      <c r="L52" s="323">
        <f>VLOOKUP(A52,'[1]TAB OGU JUN18'!$A:$G,5,"falso")</f>
        <v>0</v>
      </c>
      <c r="M52" s="308"/>
      <c r="N52" s="308">
        <f>H52*I52</f>
        <v>5349.2637236850005</v>
      </c>
      <c r="O52" s="25">
        <f>N52/N54</f>
        <v>0.57209746388788918</v>
      </c>
    </row>
    <row r="53" spans="1:15" ht="11.25" customHeight="1" x14ac:dyDescent="0.2">
      <c r="B53" s="130"/>
      <c r="G53" s="52"/>
      <c r="H53" s="324"/>
      <c r="I53" s="313"/>
      <c r="J53" s="313"/>
      <c r="K53" s="313"/>
      <c r="L53" s="313"/>
      <c r="M53" s="313"/>
      <c r="N53" s="308"/>
      <c r="O53" s="25"/>
    </row>
    <row r="54" spans="1:15" ht="11.25" customHeight="1" x14ac:dyDescent="0.2">
      <c r="B54" s="130" t="s">
        <v>18</v>
      </c>
      <c r="C54" s="131"/>
      <c r="D54" s="131"/>
      <c r="E54" s="131"/>
      <c r="F54" s="131"/>
      <c r="G54" s="53"/>
      <c r="H54" s="325"/>
      <c r="I54" s="326"/>
      <c r="J54" s="326"/>
      <c r="K54" s="326"/>
      <c r="L54" s="326"/>
      <c r="M54" s="326"/>
      <c r="N54" s="308">
        <f>N52+N51</f>
        <v>9350.266451685</v>
      </c>
      <c r="O54" s="25">
        <f>N54/N66</f>
        <v>0.23517977051423081</v>
      </c>
    </row>
    <row r="55" spans="1:15" ht="11.25" customHeight="1" x14ac:dyDescent="0.2">
      <c r="B55" s="130"/>
      <c r="G55" s="52"/>
      <c r="H55" s="324"/>
      <c r="I55" s="313"/>
      <c r="J55" s="313"/>
      <c r="K55" s="313"/>
      <c r="L55" s="313"/>
      <c r="M55" s="313"/>
      <c r="N55" s="308"/>
      <c r="O55" s="25"/>
    </row>
    <row r="56" spans="1:15" ht="11.25" customHeight="1" x14ac:dyDescent="0.2">
      <c r="A56" s="98" t="s">
        <v>110</v>
      </c>
      <c r="B56" s="88" t="s">
        <v>112</v>
      </c>
      <c r="G56" s="52"/>
      <c r="H56" s="324"/>
      <c r="I56" s="313"/>
      <c r="J56" s="313"/>
      <c r="K56" s="313"/>
      <c r="L56" s="313"/>
      <c r="M56" s="313"/>
      <c r="N56" s="313"/>
      <c r="O56" s="19"/>
    </row>
    <row r="57" spans="1:15" ht="11.25" customHeight="1" x14ac:dyDescent="0.2">
      <c r="A57" s="98" t="s">
        <v>111</v>
      </c>
      <c r="B57" s="88" t="s">
        <v>113</v>
      </c>
      <c r="G57" s="97" t="s">
        <v>32</v>
      </c>
      <c r="H57" s="308">
        <f>T12</f>
        <v>82.426485800000009</v>
      </c>
      <c r="I57" s="323">
        <f>VLOOKUP(A57,'[1]TAB OGU JUN18'!$A:$G,6,"falso")</f>
        <v>1.85</v>
      </c>
      <c r="J57" s="323">
        <f>VLOOKUP(A57,'[1]TAB OGU JUN18'!$A:$G,4,"falso")</f>
        <v>1.85</v>
      </c>
      <c r="K57" s="308">
        <f>H57*J57</f>
        <v>152.48899873000002</v>
      </c>
      <c r="L57" s="323">
        <f>VLOOKUP(A57,'[1]TAB OGU JUN18'!$A:$G,5,"falso")</f>
        <v>0</v>
      </c>
      <c r="M57" s="308"/>
      <c r="N57" s="308">
        <f>H57*I57</f>
        <v>152.48899873000002</v>
      </c>
      <c r="O57" s="25">
        <f>N57/N59</f>
        <v>1</v>
      </c>
    </row>
    <row r="58" spans="1:15" ht="11.25" customHeight="1" x14ac:dyDescent="0.2">
      <c r="G58" s="52"/>
      <c r="H58" s="324"/>
      <c r="I58" s="313"/>
      <c r="J58" s="313"/>
      <c r="K58" s="313"/>
      <c r="L58" s="313"/>
      <c r="M58" s="313"/>
      <c r="N58" s="313"/>
      <c r="O58" s="19"/>
    </row>
    <row r="59" spans="1:15" ht="11.25" customHeight="1" x14ac:dyDescent="0.2">
      <c r="B59" s="130" t="s">
        <v>18</v>
      </c>
      <c r="C59" s="131"/>
      <c r="D59" s="131"/>
      <c r="E59" s="131"/>
      <c r="F59" s="131"/>
      <c r="G59" s="53"/>
      <c r="H59" s="325"/>
      <c r="I59" s="326"/>
      <c r="J59" s="326"/>
      <c r="K59" s="326"/>
      <c r="L59" s="326"/>
      <c r="M59" s="326"/>
      <c r="N59" s="308">
        <f>N57</f>
        <v>152.48899873000002</v>
      </c>
      <c r="O59" s="25">
        <f>N59/N66</f>
        <v>3.835433772136358E-3</v>
      </c>
    </row>
    <row r="60" spans="1:15" ht="11.25" customHeight="1" x14ac:dyDescent="0.2">
      <c r="B60" s="130"/>
      <c r="G60" s="52"/>
      <c r="H60" s="324"/>
      <c r="I60" s="313"/>
      <c r="J60" s="313"/>
      <c r="K60" s="313"/>
      <c r="L60" s="313"/>
      <c r="M60" s="313"/>
      <c r="N60" s="308"/>
      <c r="O60" s="25"/>
    </row>
    <row r="61" spans="1:15" ht="11.25" customHeight="1" x14ac:dyDescent="0.2">
      <c r="A61" s="98" t="s">
        <v>114</v>
      </c>
      <c r="B61" s="88" t="s">
        <v>737</v>
      </c>
      <c r="G61" s="52"/>
      <c r="H61" s="324"/>
      <c r="I61" s="313"/>
      <c r="J61" s="313"/>
      <c r="K61" s="313"/>
      <c r="L61" s="313"/>
      <c r="M61" s="313"/>
      <c r="N61" s="313"/>
      <c r="O61" s="19"/>
    </row>
    <row r="62" spans="1:15" ht="11.25" customHeight="1" x14ac:dyDescent="0.2">
      <c r="A62" s="98" t="s">
        <v>115</v>
      </c>
      <c r="B62" s="88" t="s">
        <v>116</v>
      </c>
      <c r="G62" s="97" t="s">
        <v>180</v>
      </c>
      <c r="H62" s="308">
        <f>H57*3</f>
        <v>247.27945740000001</v>
      </c>
      <c r="I62" s="323">
        <f>VLOOKUP(A62,'[1]TAB OGU JUN18'!$A:$G,6,"falso")</f>
        <v>1</v>
      </c>
      <c r="J62" s="323">
        <f>VLOOKUP(A62,'[1]TAB OGU JUN18'!$A:$G,4,"falso")</f>
        <v>1</v>
      </c>
      <c r="K62" s="308">
        <f>H62*J62</f>
        <v>247.27945740000001</v>
      </c>
      <c r="L62" s="323">
        <f>VLOOKUP(A62,'[1]TAB OGU JUN18'!$A:$G,5,"falso")</f>
        <v>0</v>
      </c>
      <c r="M62" s="308"/>
      <c r="N62" s="308">
        <f>H62*I62</f>
        <v>247.27945740000001</v>
      </c>
      <c r="O62" s="25">
        <f>N62/N64</f>
        <v>1</v>
      </c>
    </row>
    <row r="63" spans="1:15" ht="11.25" customHeight="1" x14ac:dyDescent="0.2">
      <c r="G63" s="52"/>
      <c r="H63" s="324"/>
      <c r="I63" s="313"/>
      <c r="J63" s="313"/>
      <c r="K63" s="313"/>
      <c r="L63" s="313"/>
      <c r="M63" s="313"/>
      <c r="N63" s="313"/>
      <c r="O63" s="19"/>
    </row>
    <row r="64" spans="1:15" ht="11.25" customHeight="1" x14ac:dyDescent="0.2">
      <c r="B64" s="130" t="s">
        <v>18</v>
      </c>
      <c r="C64" s="131"/>
      <c r="D64" s="131"/>
      <c r="E64" s="131"/>
      <c r="F64" s="131"/>
      <c r="G64" s="53"/>
      <c r="H64" s="325"/>
      <c r="I64" s="326"/>
      <c r="J64" s="326"/>
      <c r="K64" s="326"/>
      <c r="L64" s="326"/>
      <c r="M64" s="326"/>
      <c r="N64" s="308">
        <f>N62</f>
        <v>247.27945740000001</v>
      </c>
      <c r="O64" s="25">
        <f>N64/N66</f>
        <v>6.219622333194094E-3</v>
      </c>
    </row>
    <row r="65" spans="1:17" ht="11.25" customHeight="1" x14ac:dyDescent="0.2">
      <c r="B65" s="130"/>
      <c r="G65" s="52"/>
      <c r="H65" s="324"/>
      <c r="I65" s="313"/>
      <c r="J65" s="313"/>
      <c r="K65" s="313"/>
      <c r="L65" s="313"/>
      <c r="M65" s="313"/>
      <c r="N65" s="308"/>
      <c r="O65" s="25"/>
    </row>
    <row r="66" spans="1:17" s="132" customFormat="1" ht="11.25" customHeight="1" x14ac:dyDescent="0.2">
      <c r="B66" s="133" t="s">
        <v>20</v>
      </c>
      <c r="C66" s="134"/>
      <c r="D66" s="134"/>
      <c r="E66" s="134"/>
      <c r="F66" s="134"/>
      <c r="G66" s="78"/>
      <c r="H66" s="327"/>
      <c r="I66" s="328"/>
      <c r="J66" s="328"/>
      <c r="K66" s="328"/>
      <c r="L66" s="328"/>
      <c r="M66" s="328"/>
      <c r="N66" s="310">
        <f>N64+N59+N54+N48+N42+N36</f>
        <v>39757.953803765668</v>
      </c>
      <c r="O66" s="77">
        <f>N66/N118</f>
        <v>0.47833960653399088</v>
      </c>
    </row>
    <row r="67" spans="1:17" ht="11.25" customHeight="1" x14ac:dyDescent="0.2">
      <c r="B67" s="130"/>
      <c r="G67" s="52"/>
      <c r="H67" s="324"/>
      <c r="I67" s="313"/>
      <c r="J67" s="313"/>
      <c r="K67" s="313"/>
      <c r="L67" s="313"/>
      <c r="M67" s="313"/>
      <c r="N67" s="308"/>
      <c r="O67" s="25"/>
    </row>
    <row r="68" spans="1:17" ht="11.25" customHeight="1" x14ac:dyDescent="0.2">
      <c r="A68" s="129" t="s">
        <v>117</v>
      </c>
      <c r="B68" s="88" t="s">
        <v>22</v>
      </c>
      <c r="H68" s="329"/>
      <c r="I68" s="311"/>
      <c r="J68" s="311"/>
      <c r="K68" s="311"/>
      <c r="L68" s="311"/>
      <c r="M68" s="311"/>
      <c r="N68" s="311"/>
      <c r="O68" s="19"/>
    </row>
    <row r="69" spans="1:17" ht="11.25" customHeight="1" x14ac:dyDescent="0.2">
      <c r="A69" s="129" t="s">
        <v>118</v>
      </c>
      <c r="B69" s="88" t="s">
        <v>23</v>
      </c>
      <c r="H69" s="329"/>
      <c r="I69" s="311"/>
      <c r="J69" s="311"/>
      <c r="K69" s="311"/>
      <c r="L69" s="311"/>
      <c r="M69" s="311"/>
      <c r="N69" s="311"/>
      <c r="O69" s="19"/>
    </row>
    <row r="70" spans="1:17" ht="11.25" customHeight="1" x14ac:dyDescent="0.2">
      <c r="A70" s="129" t="s">
        <v>119</v>
      </c>
      <c r="B70" s="88" t="s">
        <v>120</v>
      </c>
      <c r="G70" s="97" t="s">
        <v>31</v>
      </c>
      <c r="H70" s="308">
        <f>0.95*S6</f>
        <v>908.52213169999993</v>
      </c>
      <c r="I70" s="323">
        <f>VLOOKUP(A70,'[1]TAB OGU JUN18'!$A:$G,6,"falso")</f>
        <v>14.81</v>
      </c>
      <c r="J70" s="323">
        <f>VLOOKUP(A70,'[1]TAB OGU JUN18'!$A:$G,4,"falso")</f>
        <v>13.63</v>
      </c>
      <c r="K70" s="308">
        <f>H70*J70</f>
        <v>12383.156655070999</v>
      </c>
      <c r="L70" s="323">
        <f>VLOOKUP(A70,'[1]TAB OGU JUN18'!$A:$G,5,"falso")</f>
        <v>1.18</v>
      </c>
      <c r="M70" s="308">
        <f>H70*L70</f>
        <v>1072.0561154059999</v>
      </c>
      <c r="N70" s="308">
        <f>H70*I70</f>
        <v>13455.212770476999</v>
      </c>
      <c r="O70" s="25">
        <f>N70/N73</f>
        <v>0.92425685662670387</v>
      </c>
    </row>
    <row r="71" spans="1:17" ht="11.25" customHeight="1" x14ac:dyDescent="0.2">
      <c r="A71" s="129" t="s">
        <v>224</v>
      </c>
      <c r="B71" s="88" t="s">
        <v>225</v>
      </c>
      <c r="G71" s="97" t="s">
        <v>31</v>
      </c>
      <c r="H71" s="308">
        <f>0.05*S6</f>
        <v>47.816954299999999</v>
      </c>
      <c r="I71" s="323">
        <f>VLOOKUP(A71,'[1]TAB OGU JUN18'!$A:$G,6,"falso")</f>
        <v>23.06</v>
      </c>
      <c r="J71" s="323">
        <f>VLOOKUP(A71,'[1]TAB OGU JUN18'!$A:$G,4,"falso")</f>
        <v>22.37</v>
      </c>
      <c r="K71" s="308">
        <f>H71*J71</f>
        <v>1069.6652676910001</v>
      </c>
      <c r="L71" s="323">
        <f>VLOOKUP(A71,'[1]TAB OGU JUN18'!$A:$G,5,"falso")-0.01</f>
        <v>0.67999999999999994</v>
      </c>
      <c r="M71" s="308">
        <f>H71*L71</f>
        <v>32.515528923999995</v>
      </c>
      <c r="N71" s="308">
        <f>H71*I71</f>
        <v>1102.6589661579999</v>
      </c>
      <c r="O71" s="25">
        <f>N71/N73</f>
        <v>7.5743143373296101E-2</v>
      </c>
    </row>
    <row r="72" spans="1:17" ht="11.25" customHeight="1" x14ac:dyDescent="0.2">
      <c r="B72" s="130"/>
      <c r="G72" s="52"/>
      <c r="H72" s="324"/>
      <c r="I72" s="313"/>
      <c r="J72" s="313"/>
      <c r="K72" s="313"/>
      <c r="L72" s="313"/>
      <c r="M72" s="313"/>
      <c r="N72" s="308"/>
      <c r="O72" s="25"/>
    </row>
    <row r="73" spans="1:17" ht="11.25" customHeight="1" x14ac:dyDescent="0.2">
      <c r="B73" s="130" t="s">
        <v>18</v>
      </c>
      <c r="C73" s="131"/>
      <c r="D73" s="131"/>
      <c r="E73" s="131"/>
      <c r="F73" s="131"/>
      <c r="G73" s="53"/>
      <c r="H73" s="325"/>
      <c r="I73" s="326"/>
      <c r="J73" s="326"/>
      <c r="K73" s="326"/>
      <c r="L73" s="326"/>
      <c r="M73" s="326"/>
      <c r="N73" s="308">
        <f>N70+N71</f>
        <v>14557.871736634999</v>
      </c>
      <c r="O73" s="25">
        <f>N73/N80</f>
        <v>1</v>
      </c>
    </row>
    <row r="74" spans="1:17" ht="12.75" hidden="1" x14ac:dyDescent="0.2">
      <c r="B74" s="130"/>
      <c r="G74" s="52"/>
      <c r="H74" s="324"/>
      <c r="I74" s="324"/>
      <c r="J74" s="313"/>
      <c r="K74" s="313"/>
      <c r="L74" s="313"/>
      <c r="M74" s="313"/>
      <c r="N74" s="308"/>
      <c r="O74" s="25"/>
      <c r="Q74" s="311"/>
    </row>
    <row r="75" spans="1:17" ht="12.75" hidden="1" x14ac:dyDescent="0.2">
      <c r="A75" s="129" t="s">
        <v>304</v>
      </c>
      <c r="B75" s="88" t="s">
        <v>305</v>
      </c>
      <c r="H75" s="329"/>
      <c r="I75" s="329"/>
      <c r="J75" s="311"/>
      <c r="K75" s="311"/>
      <c r="L75" s="311"/>
      <c r="M75" s="311"/>
      <c r="N75" s="311"/>
      <c r="O75" s="19"/>
      <c r="Q75" s="311"/>
    </row>
    <row r="76" spans="1:17" ht="12.75" hidden="1" x14ac:dyDescent="0.2">
      <c r="A76" s="129" t="s">
        <v>306</v>
      </c>
      <c r="B76" s="88" t="s">
        <v>307</v>
      </c>
      <c r="G76" s="97" t="s">
        <v>31</v>
      </c>
      <c r="H76" s="308"/>
      <c r="I76" s="323">
        <f>VLOOKUP(A76,'[1]TAB OGU JUN18'!$A:$G,6,"falso")</f>
        <v>144.25</v>
      </c>
      <c r="J76" s="323">
        <f>VLOOKUP(A76,'[1]TAB OGU JUN18'!$A:$G,4,"falso")</f>
        <v>134.15</v>
      </c>
      <c r="K76" s="308">
        <f>H76*J76</f>
        <v>0</v>
      </c>
      <c r="L76" s="323">
        <f>VLOOKUP(A76,'[1]TAB OGU JUN18'!$A:$G,5,"falso")</f>
        <v>10.1</v>
      </c>
      <c r="M76" s="308">
        <f>H76*L76</f>
        <v>0</v>
      </c>
      <c r="N76" s="308">
        <f>H76*I76</f>
        <v>0</v>
      </c>
      <c r="O76" s="25" t="e">
        <f>N76/N78</f>
        <v>#DIV/0!</v>
      </c>
      <c r="Q76" s="311"/>
    </row>
    <row r="77" spans="1:17" ht="12.75" hidden="1" x14ac:dyDescent="0.2">
      <c r="B77" s="130"/>
      <c r="G77" s="52"/>
      <c r="H77" s="324"/>
      <c r="I77" s="324"/>
      <c r="J77" s="313"/>
      <c r="K77" s="313"/>
      <c r="L77" s="313"/>
      <c r="M77" s="313"/>
      <c r="N77" s="308"/>
      <c r="O77" s="25"/>
      <c r="Q77" s="311"/>
    </row>
    <row r="78" spans="1:17" ht="12.75" hidden="1" x14ac:dyDescent="0.2">
      <c r="B78" s="130" t="s">
        <v>18</v>
      </c>
      <c r="C78" s="131"/>
      <c r="D78" s="131"/>
      <c r="E78" s="131"/>
      <c r="F78" s="131"/>
      <c r="G78" s="53"/>
      <c r="H78" s="325"/>
      <c r="I78" s="325"/>
      <c r="J78" s="326"/>
      <c r="K78" s="326"/>
      <c r="L78" s="326"/>
      <c r="M78" s="326"/>
      <c r="N78" s="308">
        <f>N76</f>
        <v>0</v>
      </c>
      <c r="O78" s="25">
        <f>N78/N80</f>
        <v>0</v>
      </c>
      <c r="Q78" s="311"/>
    </row>
    <row r="79" spans="1:17" ht="11.25" customHeight="1" x14ac:dyDescent="0.2">
      <c r="B79" s="130"/>
      <c r="G79" s="52"/>
      <c r="H79" s="324"/>
      <c r="I79" s="313"/>
      <c r="J79" s="313"/>
      <c r="K79" s="313"/>
      <c r="L79" s="313"/>
      <c r="M79" s="313"/>
      <c r="N79" s="308"/>
      <c r="O79" s="25"/>
    </row>
    <row r="80" spans="1:17" s="132" customFormat="1" ht="11.25" customHeight="1" x14ac:dyDescent="0.2">
      <c r="B80" s="133" t="s">
        <v>20</v>
      </c>
      <c r="C80" s="134"/>
      <c r="D80" s="134"/>
      <c r="E80" s="134"/>
      <c r="F80" s="134"/>
      <c r="G80" s="78"/>
      <c r="H80" s="327"/>
      <c r="I80" s="328"/>
      <c r="J80" s="328"/>
      <c r="K80" s="328"/>
      <c r="L80" s="328"/>
      <c r="M80" s="328"/>
      <c r="N80" s="310">
        <f>N73+N78</f>
        <v>14557.871736634999</v>
      </c>
      <c r="O80" s="77">
        <f>N80/N118</f>
        <v>0.1751500259003454</v>
      </c>
    </row>
    <row r="81" spans="1:17" ht="11.25" customHeight="1" x14ac:dyDescent="0.2">
      <c r="B81" s="130"/>
      <c r="G81" s="52"/>
      <c r="H81" s="324"/>
      <c r="I81" s="313"/>
      <c r="J81" s="313"/>
      <c r="K81" s="313"/>
      <c r="L81" s="313"/>
      <c r="M81" s="313"/>
      <c r="N81" s="308"/>
      <c r="O81" s="25"/>
    </row>
    <row r="82" spans="1:17" ht="11.25" customHeight="1" x14ac:dyDescent="0.2">
      <c r="A82" s="129" t="s">
        <v>124</v>
      </c>
      <c r="B82" s="88" t="s">
        <v>121</v>
      </c>
      <c r="H82" s="329"/>
      <c r="I82" s="311"/>
      <c r="J82" s="311"/>
      <c r="K82" s="311"/>
      <c r="L82" s="311"/>
      <c r="M82" s="311"/>
      <c r="N82" s="311"/>
      <c r="O82" s="19"/>
    </row>
    <row r="83" spans="1:17" ht="11.25" customHeight="1" x14ac:dyDescent="0.2">
      <c r="A83" s="129" t="s">
        <v>125</v>
      </c>
      <c r="B83" s="88" t="s">
        <v>122</v>
      </c>
      <c r="H83" s="329"/>
      <c r="I83" s="311"/>
      <c r="J83" s="311"/>
      <c r="K83" s="311"/>
      <c r="L83" s="311"/>
      <c r="M83" s="311"/>
      <c r="N83" s="311"/>
      <c r="O83" s="19"/>
    </row>
    <row r="84" spans="1:17" ht="11.25" customHeight="1" x14ac:dyDescent="0.2">
      <c r="A84" s="129" t="s">
        <v>126</v>
      </c>
      <c r="B84" s="88" t="s">
        <v>189</v>
      </c>
      <c r="G84" s="97" t="s">
        <v>123</v>
      </c>
      <c r="H84" s="308">
        <f>((H14*R6*Q6)*0.06*1000)/20000</f>
        <v>4.6819296137926365</v>
      </c>
      <c r="I84" s="323">
        <f>VLOOKUP(A84,'[1]TAB OGU JUN18'!$A:$G,6,"falso")</f>
        <v>5.52</v>
      </c>
      <c r="J84" s="323">
        <f>VLOOKUP(A84,'[1]TAB OGU JUN18'!$A:$G,4,"falso")</f>
        <v>5.52</v>
      </c>
      <c r="K84" s="308">
        <f>H84*J84</f>
        <v>25.844251468135351</v>
      </c>
      <c r="L84" s="323">
        <f>VLOOKUP(A84,'[1]TAB OGU JUN18'!$A:$G,5,"falso")</f>
        <v>0</v>
      </c>
      <c r="M84" s="308"/>
      <c r="N84" s="308">
        <f>H84*I84</f>
        <v>25.844251468135351</v>
      </c>
      <c r="O84" s="25">
        <f>N84/N86</f>
        <v>1</v>
      </c>
    </row>
    <row r="85" spans="1:17" ht="11.25" customHeight="1" x14ac:dyDescent="0.2">
      <c r="B85" s="130"/>
      <c r="G85" s="52"/>
      <c r="H85" s="324"/>
      <c r="I85" s="313"/>
      <c r="J85" s="313"/>
      <c r="K85" s="313"/>
      <c r="L85" s="313"/>
      <c r="M85" s="313"/>
      <c r="N85" s="308"/>
      <c r="O85" s="25"/>
    </row>
    <row r="86" spans="1:17" ht="11.25" customHeight="1" x14ac:dyDescent="0.2">
      <c r="B86" s="130" t="s">
        <v>18</v>
      </c>
      <c r="C86" s="131"/>
      <c r="D86" s="131"/>
      <c r="E86" s="131"/>
      <c r="F86" s="131"/>
      <c r="G86" s="53"/>
      <c r="H86" s="325"/>
      <c r="I86" s="326"/>
      <c r="J86" s="326"/>
      <c r="K86" s="326"/>
      <c r="L86" s="326"/>
      <c r="M86" s="326"/>
      <c r="N86" s="308">
        <f>N84</f>
        <v>25.844251468135351</v>
      </c>
      <c r="O86" s="25">
        <f>N86/N88</f>
        <v>1</v>
      </c>
    </row>
    <row r="87" spans="1:17" ht="11.25" customHeight="1" x14ac:dyDescent="0.2">
      <c r="B87" s="130"/>
      <c r="G87" s="52"/>
      <c r="H87" s="324"/>
      <c r="I87" s="313"/>
      <c r="J87" s="313"/>
      <c r="K87" s="313"/>
      <c r="L87" s="313"/>
      <c r="M87" s="313"/>
      <c r="N87" s="308"/>
      <c r="O87" s="25"/>
    </row>
    <row r="88" spans="1:17" s="132" customFormat="1" ht="11.25" customHeight="1" x14ac:dyDescent="0.2">
      <c r="B88" s="133" t="s">
        <v>20</v>
      </c>
      <c r="C88" s="134"/>
      <c r="D88" s="134"/>
      <c r="E88" s="134"/>
      <c r="F88" s="134"/>
      <c r="G88" s="78"/>
      <c r="H88" s="327"/>
      <c r="I88" s="328"/>
      <c r="J88" s="328"/>
      <c r="K88" s="328"/>
      <c r="L88" s="328"/>
      <c r="M88" s="328"/>
      <c r="N88" s="310">
        <f>N86</f>
        <v>25.844251468135351</v>
      </c>
      <c r="O88" s="77">
        <f>N88/N118</f>
        <v>3.1093977168569688E-4</v>
      </c>
    </row>
    <row r="89" spans="1:17" ht="11.25" customHeight="1" x14ac:dyDescent="0.2">
      <c r="B89" s="130"/>
      <c r="G89" s="52"/>
      <c r="H89" s="324"/>
      <c r="I89" s="313"/>
      <c r="J89" s="313"/>
      <c r="K89" s="313"/>
      <c r="L89" s="313"/>
      <c r="M89" s="313"/>
      <c r="N89" s="308"/>
      <c r="O89" s="25"/>
    </row>
    <row r="90" spans="1:17" ht="11.25" customHeight="1" x14ac:dyDescent="0.2">
      <c r="A90" s="129" t="s">
        <v>127</v>
      </c>
      <c r="B90" s="88" t="s">
        <v>130</v>
      </c>
      <c r="H90" s="329"/>
      <c r="I90" s="311"/>
      <c r="J90" s="311"/>
      <c r="K90" s="311"/>
      <c r="L90" s="311"/>
      <c r="M90" s="311"/>
      <c r="N90" s="311"/>
      <c r="O90" s="19"/>
    </row>
    <row r="91" spans="1:17" ht="11.25" customHeight="1" x14ac:dyDescent="0.2">
      <c r="A91" s="129" t="s">
        <v>128</v>
      </c>
      <c r="B91" s="88" t="s">
        <v>131</v>
      </c>
      <c r="H91" s="329"/>
      <c r="I91" s="311"/>
      <c r="J91" s="311"/>
      <c r="K91" s="311"/>
      <c r="L91" s="311"/>
      <c r="M91" s="311"/>
      <c r="N91" s="311"/>
      <c r="O91" s="19"/>
    </row>
    <row r="92" spans="1:17" ht="11.25" customHeight="1" x14ac:dyDescent="0.2">
      <c r="A92" s="129" t="s">
        <v>129</v>
      </c>
      <c r="B92" s="88" t="s">
        <v>132</v>
      </c>
      <c r="G92" s="97" t="s">
        <v>17</v>
      </c>
      <c r="H92" s="308">
        <f>H14-H93</f>
        <v>993.74000000000012</v>
      </c>
      <c r="I92" s="323">
        <f>VLOOKUP(A92,'[1]TAB OGU JUN18'!$A:$G,6,"falso")</f>
        <v>2.64</v>
      </c>
      <c r="J92" s="323">
        <f>VLOOKUP(A92,'[1]TAB OGU JUN18'!$A:$G,4,"falso")</f>
        <v>2.56</v>
      </c>
      <c r="K92" s="308">
        <f>H92*J92</f>
        <v>2543.9744000000005</v>
      </c>
      <c r="L92" s="323">
        <f>VLOOKUP(A92,'[1]TAB OGU JUN18'!$A:$G,5,"falso")</f>
        <v>0.08</v>
      </c>
      <c r="M92" s="308">
        <f>H92*L92</f>
        <v>79.499200000000016</v>
      </c>
      <c r="N92" s="308">
        <f>H92*I92</f>
        <v>2623.4736000000003</v>
      </c>
      <c r="O92" s="25">
        <f>N92/$N$95</f>
        <v>1</v>
      </c>
    </row>
    <row r="93" spans="1:17" ht="12.75" hidden="1" x14ac:dyDescent="0.2">
      <c r="A93" s="129" t="s">
        <v>207</v>
      </c>
      <c r="B93" s="88" t="s">
        <v>206</v>
      </c>
      <c r="G93" s="97" t="s">
        <v>17</v>
      </c>
      <c r="H93" s="308">
        <v>0</v>
      </c>
      <c r="I93" s="323">
        <f>VLOOKUP(A93,'[1]TAB OGU JUN18'!$A:$G,6,"falso")</f>
        <v>3.14</v>
      </c>
      <c r="J93" s="323">
        <f>VLOOKUP(A93,'[1]TAB OGU JUN18'!$A:$G,4,"falso")</f>
        <v>3.01</v>
      </c>
      <c r="K93" s="308">
        <f>H93*J93</f>
        <v>0</v>
      </c>
      <c r="L93" s="323">
        <f>VLOOKUP(A93,'[1]TAB OGU JUN18'!$A:$G,5,"falso")</f>
        <v>0.13</v>
      </c>
      <c r="M93" s="308">
        <f>H93*L93</f>
        <v>0</v>
      </c>
      <c r="N93" s="308">
        <f>H93*I93</f>
        <v>0</v>
      </c>
      <c r="O93" s="25">
        <f>N93/$N$95</f>
        <v>0</v>
      </c>
      <c r="Q93" s="311"/>
    </row>
    <row r="94" spans="1:17" ht="11.25" customHeight="1" x14ac:dyDescent="0.2">
      <c r="B94" s="130"/>
      <c r="G94" s="52"/>
      <c r="H94" s="324"/>
      <c r="I94" s="313"/>
      <c r="J94" s="313"/>
      <c r="K94" s="313"/>
      <c r="L94" s="313"/>
      <c r="M94" s="313"/>
      <c r="N94" s="308"/>
      <c r="O94" s="25"/>
    </row>
    <row r="95" spans="1:17" ht="11.25" customHeight="1" x14ac:dyDescent="0.2">
      <c r="B95" s="130" t="s">
        <v>18</v>
      </c>
      <c r="C95" s="131"/>
      <c r="D95" s="131"/>
      <c r="E95" s="131"/>
      <c r="F95" s="131"/>
      <c r="G95" s="53"/>
      <c r="H95" s="325"/>
      <c r="I95" s="326"/>
      <c r="J95" s="326"/>
      <c r="K95" s="326"/>
      <c r="L95" s="326"/>
      <c r="M95" s="326"/>
      <c r="N95" s="308">
        <f>SUM(N92:N93)</f>
        <v>2623.4736000000003</v>
      </c>
      <c r="O95" s="25">
        <f>N95/N108</f>
        <v>0.10238042516689684</v>
      </c>
    </row>
    <row r="96" spans="1:17" ht="11.25" customHeight="1" x14ac:dyDescent="0.2">
      <c r="B96" s="130"/>
      <c r="G96" s="52"/>
      <c r="H96" s="324"/>
      <c r="I96" s="313"/>
      <c r="J96" s="313"/>
      <c r="K96" s="313"/>
      <c r="L96" s="313"/>
      <c r="M96" s="313"/>
      <c r="N96" s="308"/>
      <c r="O96" s="25"/>
    </row>
    <row r="97" spans="1:15" ht="11.25" customHeight="1" x14ac:dyDescent="0.2">
      <c r="A97" s="98" t="s">
        <v>139</v>
      </c>
      <c r="B97" s="88" t="s">
        <v>142</v>
      </c>
      <c r="G97" s="97"/>
      <c r="H97" s="308"/>
      <c r="I97" s="308"/>
      <c r="J97" s="308"/>
      <c r="K97" s="308"/>
      <c r="L97" s="308"/>
      <c r="M97" s="308"/>
      <c r="N97" s="308"/>
      <c r="O97" s="25"/>
    </row>
    <row r="98" spans="1:15" ht="11.25" customHeight="1" x14ac:dyDescent="0.2">
      <c r="A98" s="98" t="s">
        <v>140</v>
      </c>
      <c r="B98" s="88" t="s">
        <v>143</v>
      </c>
      <c r="G98" s="97" t="s">
        <v>24</v>
      </c>
      <c r="H98" s="308">
        <f>U6</f>
        <v>16</v>
      </c>
      <c r="I98" s="323">
        <f>VLOOKUP(A98,'[1]TAB OGU JUN18'!$A:$G,6,"falso")</f>
        <v>466.82</v>
      </c>
      <c r="J98" s="323">
        <f>VLOOKUP(A98,'[1]TAB OGU JUN18'!$A:$G,4,"falso")</f>
        <v>143.97</v>
      </c>
      <c r="K98" s="308">
        <f>H98*J98</f>
        <v>2303.52</v>
      </c>
      <c r="L98" s="323">
        <f>VLOOKUP(A98,'[1]TAB OGU JUN18'!$A:$G,5,"falso")</f>
        <v>322.85000000000002</v>
      </c>
      <c r="M98" s="308">
        <f>H98*L98</f>
        <v>5165.6000000000004</v>
      </c>
      <c r="N98" s="308">
        <f>H98*I98</f>
        <v>7469.12</v>
      </c>
      <c r="O98" s="25">
        <f>N98/N101</f>
        <v>0.58567869214149881</v>
      </c>
    </row>
    <row r="99" spans="1:15" ht="11.25" customHeight="1" x14ac:dyDescent="0.2">
      <c r="A99" s="98" t="s">
        <v>141</v>
      </c>
      <c r="B99" s="88" t="s">
        <v>144</v>
      </c>
      <c r="G99" s="97" t="s">
        <v>17</v>
      </c>
      <c r="H99" s="308">
        <f>(Q6-1.1)*H98</f>
        <v>20.894539255740931</v>
      </c>
      <c r="I99" s="323">
        <f>VLOOKUP(A99,'[1]TAB OGU JUN18'!$A:$G,6,"falso")</f>
        <v>252.88</v>
      </c>
      <c r="J99" s="323">
        <f>VLOOKUP(A99,'[1]TAB OGU JUN18'!$A:$G,4,"falso")</f>
        <v>47.83</v>
      </c>
      <c r="K99" s="308">
        <f>H99*J99</f>
        <v>999.38581260208866</v>
      </c>
      <c r="L99" s="323">
        <f>VLOOKUP(A99,'[1]TAB OGU JUN18'!$A:$G,5,"falso")</f>
        <v>205.05</v>
      </c>
      <c r="M99" s="308">
        <f>H99*L99</f>
        <v>4284.4252743896777</v>
      </c>
      <c r="N99" s="308">
        <f>H99*I99</f>
        <v>5283.8110869917664</v>
      </c>
      <c r="O99" s="25">
        <f>N99/N101</f>
        <v>0.41432130785850124</v>
      </c>
    </row>
    <row r="100" spans="1:15" ht="11.25" customHeight="1" x14ac:dyDescent="0.2">
      <c r="B100" s="130"/>
      <c r="G100" s="52"/>
      <c r="H100" s="324"/>
      <c r="I100" s="313"/>
      <c r="J100" s="313"/>
      <c r="K100" s="313"/>
      <c r="L100" s="313"/>
      <c r="M100" s="313"/>
      <c r="N100" s="308"/>
      <c r="O100" s="25"/>
    </row>
    <row r="101" spans="1:15" ht="11.25" customHeight="1" x14ac:dyDescent="0.2">
      <c r="B101" s="130" t="s">
        <v>18</v>
      </c>
      <c r="C101" s="131"/>
      <c r="D101" s="131"/>
      <c r="E101" s="131"/>
      <c r="F101" s="131"/>
      <c r="G101" s="53"/>
      <c r="H101" s="325"/>
      <c r="I101" s="326"/>
      <c r="J101" s="326"/>
      <c r="K101" s="326"/>
      <c r="L101" s="326"/>
      <c r="M101" s="326"/>
      <c r="N101" s="308">
        <f>N99+N98</f>
        <v>12752.931086991766</v>
      </c>
      <c r="O101" s="25">
        <f>N101/N108</f>
        <v>0.49768006310806895</v>
      </c>
    </row>
    <row r="102" spans="1:15" ht="11.25" customHeight="1" x14ac:dyDescent="0.2">
      <c r="B102" s="130"/>
      <c r="G102" s="52"/>
      <c r="H102" s="324"/>
      <c r="I102" s="313"/>
      <c r="J102" s="313"/>
      <c r="K102" s="313"/>
      <c r="L102" s="313"/>
      <c r="M102" s="313"/>
      <c r="N102" s="308"/>
      <c r="O102" s="25"/>
    </row>
    <row r="103" spans="1:15" ht="11.25" customHeight="1" x14ac:dyDescent="0.2">
      <c r="A103" s="129" t="s">
        <v>145</v>
      </c>
      <c r="B103" s="88" t="s">
        <v>26</v>
      </c>
      <c r="H103" s="329"/>
      <c r="I103" s="311"/>
      <c r="J103" s="311"/>
      <c r="K103" s="311"/>
      <c r="L103" s="311"/>
      <c r="M103" s="311"/>
      <c r="N103" s="311"/>
      <c r="O103" s="19"/>
    </row>
    <row r="104" spans="1:15" ht="11.25" customHeight="1" x14ac:dyDescent="0.2">
      <c r="A104" s="129" t="s">
        <v>146</v>
      </c>
      <c r="B104" s="88" t="s">
        <v>147</v>
      </c>
      <c r="G104" s="97" t="s">
        <v>32</v>
      </c>
      <c r="H104" s="308">
        <f>H14*R6*0.1</f>
        <v>64.867100000000008</v>
      </c>
      <c r="I104" s="323">
        <f>VLOOKUP(A104,'[1]TAB OGU JUN18'!$A:$G,6,"falso")</f>
        <v>157.99</v>
      </c>
      <c r="J104" s="323">
        <f>VLOOKUP(A104,'[1]TAB OGU JUN18'!$A:$G,4,"falso")</f>
        <v>39.5</v>
      </c>
      <c r="K104" s="308">
        <f>H104*J104</f>
        <v>2562.2504500000005</v>
      </c>
      <c r="L104" s="323">
        <f>VLOOKUP(A104,'[1]TAB OGU JUN18'!$A:$G,5,"falso")</f>
        <v>118.49</v>
      </c>
      <c r="M104" s="308">
        <f>H104*L104</f>
        <v>7686.1026790000005</v>
      </c>
      <c r="N104" s="308">
        <f>H104*I104</f>
        <v>10248.353129000001</v>
      </c>
      <c r="O104" s="25">
        <f>N104/N106</f>
        <v>1</v>
      </c>
    </row>
    <row r="105" spans="1:15" ht="11.25" customHeight="1" x14ac:dyDescent="0.2">
      <c r="B105" s="130"/>
      <c r="G105" s="52"/>
      <c r="H105" s="324"/>
      <c r="I105" s="313"/>
      <c r="J105" s="313"/>
      <c r="K105" s="313"/>
      <c r="L105" s="313"/>
      <c r="M105" s="313"/>
      <c r="N105" s="308"/>
      <c r="O105" s="25"/>
    </row>
    <row r="106" spans="1:15" ht="11.25" customHeight="1" x14ac:dyDescent="0.2">
      <c r="B106" s="130" t="s">
        <v>18</v>
      </c>
      <c r="C106" s="131"/>
      <c r="D106" s="131"/>
      <c r="E106" s="131"/>
      <c r="F106" s="131"/>
      <c r="G106" s="53"/>
      <c r="H106" s="325"/>
      <c r="I106" s="326"/>
      <c r="J106" s="326"/>
      <c r="K106" s="326"/>
      <c r="L106" s="326"/>
      <c r="M106" s="326"/>
      <c r="N106" s="308">
        <f>N104</f>
        <v>10248.353129000001</v>
      </c>
      <c r="O106" s="25">
        <f>N106/N108</f>
        <v>0.39993951172503417</v>
      </c>
    </row>
    <row r="107" spans="1:15" ht="11.25" customHeight="1" x14ac:dyDescent="0.2">
      <c r="B107" s="130"/>
      <c r="G107" s="52"/>
      <c r="H107" s="324"/>
      <c r="I107" s="313"/>
      <c r="J107" s="313"/>
      <c r="K107" s="313"/>
      <c r="L107" s="313"/>
      <c r="M107" s="313"/>
      <c r="N107" s="308"/>
      <c r="O107" s="25"/>
    </row>
    <row r="108" spans="1:15" s="132" customFormat="1" ht="11.25" customHeight="1" x14ac:dyDescent="0.2">
      <c r="B108" s="133" t="s">
        <v>20</v>
      </c>
      <c r="C108" s="134"/>
      <c r="D108" s="134"/>
      <c r="E108" s="134"/>
      <c r="F108" s="134"/>
      <c r="G108" s="78"/>
      <c r="H108" s="327"/>
      <c r="I108" s="328"/>
      <c r="J108" s="328"/>
      <c r="K108" s="328"/>
      <c r="L108" s="328"/>
      <c r="M108" s="328"/>
      <c r="N108" s="310">
        <f>N106+N101+N95</f>
        <v>25624.757815991768</v>
      </c>
      <c r="O108" s="77">
        <f>N108/N118</f>
        <v>0.30829897916097881</v>
      </c>
    </row>
    <row r="109" spans="1:15" ht="11.25" customHeight="1" x14ac:dyDescent="0.2">
      <c r="B109" s="130"/>
      <c r="G109" s="52"/>
      <c r="H109" s="324"/>
      <c r="I109" s="313"/>
      <c r="J109" s="313"/>
      <c r="K109" s="313"/>
      <c r="L109" s="313"/>
      <c r="M109" s="313"/>
      <c r="N109" s="308"/>
      <c r="O109" s="25"/>
    </row>
    <row r="110" spans="1:15" ht="11.25" customHeight="1" x14ac:dyDescent="0.2">
      <c r="A110" s="98" t="s">
        <v>169</v>
      </c>
      <c r="B110" s="88" t="s">
        <v>172</v>
      </c>
      <c r="G110" s="97"/>
      <c r="H110" s="308"/>
      <c r="I110" s="308"/>
      <c r="J110" s="308"/>
      <c r="K110" s="308"/>
      <c r="L110" s="308"/>
      <c r="M110" s="308"/>
      <c r="N110" s="308"/>
      <c r="O110" s="25"/>
    </row>
    <row r="111" spans="1:15" ht="11.25" customHeight="1" x14ac:dyDescent="0.2">
      <c r="A111" s="98" t="s">
        <v>170</v>
      </c>
      <c r="B111" s="88" t="s">
        <v>173</v>
      </c>
      <c r="G111" s="97"/>
      <c r="H111" s="308"/>
      <c r="I111" s="308"/>
      <c r="J111" s="308"/>
      <c r="K111" s="308"/>
      <c r="L111" s="308"/>
      <c r="M111" s="308"/>
      <c r="N111" s="308"/>
      <c r="O111" s="25"/>
    </row>
    <row r="112" spans="1:15" ht="11.25" customHeight="1" x14ac:dyDescent="0.2">
      <c r="A112" s="98" t="s">
        <v>171</v>
      </c>
      <c r="B112" s="88" t="s">
        <v>174</v>
      </c>
      <c r="G112" s="97" t="s">
        <v>17</v>
      </c>
      <c r="H112" s="308">
        <f>H14</f>
        <v>993.74000000000012</v>
      </c>
      <c r="I112" s="323">
        <f>VLOOKUP(A112,'[1]TAB OGU JUN18'!$A:$G,6,"falso")</f>
        <v>1.31</v>
      </c>
      <c r="J112" s="323">
        <f>VLOOKUP(A112,'[1]TAB OGU JUN18'!$A:$G,4,"falso")</f>
        <v>1.1399999999999999</v>
      </c>
      <c r="K112" s="308">
        <f>H112*J112</f>
        <v>1132.8636000000001</v>
      </c>
      <c r="L112" s="323">
        <f>VLOOKUP(A112,'[1]TAB OGU JUN18'!$A:$G,5,"falso")</f>
        <v>0.17</v>
      </c>
      <c r="M112" s="308">
        <f>H112*L112</f>
        <v>168.93580000000003</v>
      </c>
      <c r="N112" s="308">
        <f>H112*I112</f>
        <v>1301.7994000000001</v>
      </c>
      <c r="O112" s="25">
        <f>N112/N114</f>
        <v>1</v>
      </c>
    </row>
    <row r="113" spans="1:16" ht="11.25" customHeight="1" x14ac:dyDescent="0.2">
      <c r="B113" s="130"/>
      <c r="G113" s="52"/>
      <c r="H113" s="324"/>
      <c r="I113" s="313"/>
      <c r="J113" s="313"/>
      <c r="K113" s="313"/>
      <c r="L113" s="313"/>
      <c r="M113" s="313"/>
      <c r="N113" s="308"/>
      <c r="O113" s="25"/>
    </row>
    <row r="114" spans="1:16" ht="11.25" customHeight="1" x14ac:dyDescent="0.2">
      <c r="B114" s="130" t="s">
        <v>18</v>
      </c>
      <c r="C114" s="131"/>
      <c r="D114" s="131"/>
      <c r="E114" s="131"/>
      <c r="F114" s="131"/>
      <c r="G114" s="53"/>
      <c r="H114" s="325"/>
      <c r="I114" s="326"/>
      <c r="J114" s="326"/>
      <c r="K114" s="326"/>
      <c r="L114" s="326"/>
      <c r="M114" s="326"/>
      <c r="N114" s="308">
        <f>N112</f>
        <v>1301.7994000000001</v>
      </c>
      <c r="O114" s="25">
        <f>N114/N116</f>
        <v>1</v>
      </c>
    </row>
    <row r="115" spans="1:16" ht="11.25" customHeight="1" x14ac:dyDescent="0.2">
      <c r="A115" s="98"/>
      <c r="B115" s="88"/>
      <c r="G115" s="97"/>
      <c r="H115" s="308"/>
      <c r="I115" s="308"/>
      <c r="J115" s="308"/>
      <c r="K115" s="308"/>
      <c r="L115" s="308"/>
      <c r="M115" s="308"/>
      <c r="N115" s="308"/>
      <c r="O115" s="25"/>
    </row>
    <row r="116" spans="1:16" s="132" customFormat="1" ht="11.25" customHeight="1" x14ac:dyDescent="0.2">
      <c r="A116" s="145"/>
      <c r="B116" s="133" t="s">
        <v>20</v>
      </c>
      <c r="C116" s="134"/>
      <c r="D116" s="134"/>
      <c r="E116" s="134"/>
      <c r="F116" s="134"/>
      <c r="G116" s="78"/>
      <c r="H116" s="327"/>
      <c r="I116" s="328"/>
      <c r="J116" s="328"/>
      <c r="K116" s="328"/>
      <c r="L116" s="328"/>
      <c r="M116" s="328"/>
      <c r="N116" s="310">
        <f>N114</f>
        <v>1301.7994000000001</v>
      </c>
      <c r="O116" s="77">
        <f>N116/N118</f>
        <v>1.5662330507643134E-2</v>
      </c>
    </row>
    <row r="117" spans="1:16" ht="6.75" customHeight="1" x14ac:dyDescent="0.2">
      <c r="A117" s="98"/>
      <c r="B117" s="88"/>
      <c r="G117" s="97"/>
      <c r="H117" s="308"/>
      <c r="I117" s="308"/>
      <c r="J117" s="308"/>
      <c r="K117" s="308"/>
      <c r="L117" s="308"/>
      <c r="M117" s="308"/>
      <c r="N117" s="308"/>
      <c r="O117" s="25"/>
    </row>
    <row r="118" spans="1:16" ht="12" customHeight="1" x14ac:dyDescent="0.2">
      <c r="A118" s="146"/>
      <c r="B118" s="147" t="s">
        <v>30</v>
      </c>
      <c r="C118" s="146"/>
      <c r="D118" s="146"/>
      <c r="E118" s="146"/>
      <c r="F118" s="146"/>
      <c r="G118" s="146"/>
      <c r="H118" s="342"/>
      <c r="I118" s="345"/>
      <c r="J118" s="345"/>
      <c r="K118" s="275">
        <f>SUM(K12:K117)</f>
        <v>64249.349440597878</v>
      </c>
      <c r="L118" s="275"/>
      <c r="M118" s="275">
        <f>SUM(M12:M117)</f>
        <v>18866.755797719678</v>
      </c>
      <c r="N118" s="343">
        <f>N116+N108+N88+N80+N66+N29</f>
        <v>83116.583407860584</v>
      </c>
      <c r="O118" s="322"/>
      <c r="P118" s="149"/>
    </row>
    <row r="119" spans="1:16" ht="4.5" customHeight="1" x14ac:dyDescent="0.2">
      <c r="A119" s="98"/>
      <c r="B119" s="88"/>
      <c r="G119" s="97"/>
      <c r="H119" s="308"/>
      <c r="I119" s="308"/>
      <c r="J119" s="308"/>
      <c r="K119" s="308"/>
      <c r="L119" s="308"/>
      <c r="M119" s="308"/>
      <c r="N119" s="308"/>
      <c r="O119" s="25"/>
    </row>
    <row r="120" spans="1:16" ht="12" customHeight="1" x14ac:dyDescent="0.2">
      <c r="A120" s="146"/>
      <c r="B120" s="147" t="s">
        <v>265</v>
      </c>
      <c r="C120" s="146"/>
      <c r="D120" s="146"/>
      <c r="E120" s="146"/>
      <c r="F120" s="146"/>
      <c r="G120" s="146"/>
      <c r="H120" s="342"/>
      <c r="I120" s="342"/>
      <c r="J120" s="342"/>
      <c r="K120" s="274">
        <f>K118+(K118*O5)</f>
        <v>81969.32001631477</v>
      </c>
      <c r="L120" s="274"/>
      <c r="M120" s="275">
        <f>M118+(M118*O7)</f>
        <v>22209.944925075604</v>
      </c>
      <c r="N120" s="343">
        <f>K120+M120</f>
        <v>104179.26494139037</v>
      </c>
      <c r="O120" s="29">
        <f>N120/RESUMO!H95</f>
        <v>1.4386451747945877E-2</v>
      </c>
      <c r="P120" s="149"/>
    </row>
    <row r="125" spans="1:16" s="150" customFormat="1" ht="12" customHeight="1" x14ac:dyDescent="0.2">
      <c r="A125" s="51"/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311"/>
      <c r="N125" s="51"/>
      <c r="O125" s="52"/>
    </row>
    <row r="126" spans="1:16" s="150" customFormat="1" ht="12" customHeight="1" x14ac:dyDescent="0.2">
      <c r="A126" s="51"/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2"/>
    </row>
  </sheetData>
  <mergeCells count="9">
    <mergeCell ref="T4:T5"/>
    <mergeCell ref="U4:U5"/>
    <mergeCell ref="A5:B6"/>
    <mergeCell ref="A2:O2"/>
    <mergeCell ref="N4:O4"/>
    <mergeCell ref="P4:P5"/>
    <mergeCell ref="Q4:Q5"/>
    <mergeCell ref="R4:R5"/>
    <mergeCell ref="S4:S5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rowBreaks count="1" manualBreakCount="1">
    <brk id="30" max="12" man="1"/>
  </rowBreaks>
  <legacyDrawingHF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6" tint="0.39997558519241921"/>
    <pageSetUpPr fitToPage="1"/>
  </sheetPr>
  <dimension ref="A1:P44"/>
  <sheetViews>
    <sheetView view="pageBreakPreview" zoomScale="90" zoomScaleNormal="90" zoomScaleSheetLayoutView="90" workbookViewId="0">
      <selection activeCell="P43" sqref="P43"/>
    </sheetView>
  </sheetViews>
  <sheetFormatPr defaultColWidth="11.42578125" defaultRowHeight="12" customHeight="1" x14ac:dyDescent="0.2"/>
  <cols>
    <col min="1" max="5" width="11.42578125" style="51" customWidth="1"/>
    <col min="6" max="6" width="28.5703125" style="51" customWidth="1"/>
    <col min="7" max="9" width="11.42578125" style="51" customWidth="1"/>
    <col min="10" max="10" width="11.42578125" style="51" hidden="1" customWidth="1"/>
    <col min="11" max="11" width="14.28515625" style="51" customWidth="1"/>
    <col min="12" max="12" width="6" style="51" hidden="1" customWidth="1"/>
    <col min="13" max="13" width="14.28515625" style="51" customWidth="1"/>
    <col min="14" max="14" width="17.140625" style="51" customWidth="1"/>
    <col min="15" max="15" width="11.42578125" style="52" customWidth="1"/>
    <col min="16" max="16" width="6" style="51" bestFit="1" customWidth="1"/>
    <col min="17" max="16384" width="11.42578125" style="51"/>
  </cols>
  <sheetData>
    <row r="1" spans="1:16" ht="7.5" customHeight="1" x14ac:dyDescent="0.2"/>
    <row r="2" spans="1:16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6" ht="7.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95"/>
    </row>
    <row r="4" spans="1:16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6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6" ht="12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6" ht="12" customHeight="1" x14ac:dyDescent="0.2">
      <c r="A7" s="253"/>
      <c r="B7" s="253"/>
      <c r="C7" s="260" t="s">
        <v>6</v>
      </c>
      <c r="D7" s="263" t="str">
        <f>RESUMO!A26</f>
        <v>U.C. : 08</v>
      </c>
      <c r="E7" s="258"/>
      <c r="F7" s="258"/>
      <c r="G7" s="260" t="s">
        <v>9</v>
      </c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6" ht="12" customHeight="1" thickBot="1" x14ac:dyDescent="0.25">
      <c r="A8" s="124"/>
      <c r="B8" s="125"/>
      <c r="C8" s="266" t="s">
        <v>8</v>
      </c>
      <c r="D8" s="267" t="str">
        <f>RESUMO!B26</f>
        <v>COLETOR 03</v>
      </c>
      <c r="E8" s="268"/>
      <c r="F8" s="268"/>
      <c r="G8" s="266"/>
      <c r="H8" s="123"/>
      <c r="I8" s="278"/>
      <c r="J8" s="278"/>
      <c r="K8" s="278"/>
      <c r="L8" s="278"/>
      <c r="M8" s="278"/>
      <c r="N8" s="271"/>
      <c r="O8" s="427"/>
    </row>
    <row r="9" spans="1:16" ht="12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6" ht="7.5" customHeight="1" x14ac:dyDescent="0.2">
      <c r="O10" s="19"/>
    </row>
    <row r="11" spans="1:16" ht="12" customHeight="1" x14ac:dyDescent="0.2">
      <c r="A11" s="93">
        <f>RESUMO!A43</f>
        <v>2</v>
      </c>
      <c r="B11" s="93" t="str">
        <f>RESUMO!B28</f>
        <v>COLETOR 03 - MATERIAIS</v>
      </c>
      <c r="O11" s="19"/>
    </row>
    <row r="12" spans="1:16" ht="12" customHeight="1" x14ac:dyDescent="0.2">
      <c r="A12" s="98" t="s">
        <v>266</v>
      </c>
      <c r="B12" s="88" t="s">
        <v>71</v>
      </c>
      <c r="G12" s="52"/>
      <c r="H12" s="19"/>
      <c r="I12" s="52"/>
      <c r="J12" s="52"/>
      <c r="K12" s="52"/>
      <c r="L12" s="52"/>
      <c r="M12" s="52"/>
      <c r="N12" s="52"/>
      <c r="O12" s="19"/>
    </row>
    <row r="13" spans="1:16" ht="12" customHeight="1" x14ac:dyDescent="0.2">
      <c r="A13" s="98" t="s">
        <v>279</v>
      </c>
      <c r="B13" s="88" t="s">
        <v>280</v>
      </c>
      <c r="G13" s="52"/>
      <c r="H13" s="19"/>
      <c r="I13" s="52"/>
      <c r="J13" s="52"/>
      <c r="K13" s="52"/>
      <c r="L13" s="52"/>
      <c r="M13" s="52"/>
      <c r="N13" s="52"/>
      <c r="O13" s="19"/>
    </row>
    <row r="14" spans="1:16" ht="12" customHeight="1" x14ac:dyDescent="0.2">
      <c r="A14" s="98" t="s">
        <v>282</v>
      </c>
      <c r="B14" s="88" t="s">
        <v>260</v>
      </c>
      <c r="G14" s="97" t="s">
        <v>24</v>
      </c>
      <c r="H14" s="308">
        <f>'08 - 3'!H98</f>
        <v>16</v>
      </c>
      <c r="I14" s="308">
        <v>37.840000000000003</v>
      </c>
      <c r="J14" s="308"/>
      <c r="K14" s="308"/>
      <c r="L14" s="323">
        <v>37.840000000000003</v>
      </c>
      <c r="M14" s="308">
        <f>H14*L14</f>
        <v>605.44000000000005</v>
      </c>
      <c r="N14" s="308">
        <f>H14*I14</f>
        <v>605.44000000000005</v>
      </c>
      <c r="O14" s="25">
        <f>N14/N16</f>
        <v>1</v>
      </c>
      <c r="P14" s="51">
        <v>13255</v>
      </c>
    </row>
    <row r="15" spans="1:16" ht="12" customHeight="1" x14ac:dyDescent="0.2">
      <c r="G15" s="52"/>
      <c r="H15" s="324"/>
      <c r="I15" s="313"/>
      <c r="J15" s="313"/>
      <c r="K15" s="313"/>
      <c r="L15" s="313"/>
      <c r="M15" s="313"/>
      <c r="N15" s="313"/>
      <c r="O15" s="19"/>
    </row>
    <row r="16" spans="1:16" ht="12" customHeight="1" x14ac:dyDescent="0.2">
      <c r="B16" s="130" t="s">
        <v>18</v>
      </c>
      <c r="C16" s="131"/>
      <c r="D16" s="131"/>
      <c r="E16" s="131"/>
      <c r="F16" s="131"/>
      <c r="G16" s="53"/>
      <c r="H16" s="325"/>
      <c r="I16" s="326"/>
      <c r="J16" s="326"/>
      <c r="K16" s="326"/>
      <c r="L16" s="326"/>
      <c r="M16" s="326"/>
      <c r="N16" s="308">
        <f>N14</f>
        <v>605.44000000000005</v>
      </c>
      <c r="O16" s="25">
        <f>N16/N18</f>
        <v>1</v>
      </c>
    </row>
    <row r="17" spans="1:16" ht="12" customHeight="1" x14ac:dyDescent="0.2">
      <c r="B17" s="130"/>
      <c r="G17" s="52"/>
      <c r="H17" s="324"/>
      <c r="I17" s="313"/>
      <c r="J17" s="313"/>
      <c r="K17" s="313"/>
      <c r="L17" s="313"/>
      <c r="M17" s="313"/>
      <c r="N17" s="308"/>
      <c r="O17" s="25"/>
    </row>
    <row r="18" spans="1:16" s="132" customFormat="1" ht="12" customHeight="1" x14ac:dyDescent="0.2">
      <c r="B18" s="133" t="s">
        <v>20</v>
      </c>
      <c r="C18" s="134"/>
      <c r="D18" s="134"/>
      <c r="E18" s="134"/>
      <c r="F18" s="134"/>
      <c r="G18" s="78"/>
      <c r="H18" s="327"/>
      <c r="I18" s="328"/>
      <c r="J18" s="328"/>
      <c r="K18" s="328"/>
      <c r="L18" s="328"/>
      <c r="M18" s="328"/>
      <c r="N18" s="310">
        <f>N16</f>
        <v>605.44000000000005</v>
      </c>
      <c r="O18" s="77">
        <f>N18/N29</f>
        <v>1.5932683485953041E-2</v>
      </c>
    </row>
    <row r="19" spans="1:16" ht="12" customHeight="1" x14ac:dyDescent="0.2">
      <c r="G19" s="52"/>
      <c r="H19" s="324"/>
      <c r="I19" s="313"/>
      <c r="J19" s="313"/>
      <c r="K19" s="313"/>
      <c r="L19" s="313"/>
      <c r="M19" s="313"/>
      <c r="N19" s="313"/>
      <c r="O19" s="19"/>
    </row>
    <row r="20" spans="1:16" ht="12" customHeight="1" x14ac:dyDescent="0.2">
      <c r="A20" s="98" t="s">
        <v>270</v>
      </c>
      <c r="B20" s="88" t="s">
        <v>29</v>
      </c>
      <c r="G20" s="52"/>
      <c r="H20" s="324"/>
      <c r="I20" s="313"/>
      <c r="J20" s="313"/>
      <c r="K20" s="313"/>
      <c r="L20" s="313"/>
      <c r="M20" s="313"/>
      <c r="N20" s="313"/>
      <c r="O20" s="19"/>
    </row>
    <row r="21" spans="1:16" ht="12" customHeight="1" x14ac:dyDescent="0.2">
      <c r="A21" s="98" t="s">
        <v>275</v>
      </c>
      <c r="B21" s="88" t="s">
        <v>36</v>
      </c>
      <c r="G21" s="52"/>
      <c r="H21" s="324"/>
      <c r="I21" s="313"/>
      <c r="J21" s="313"/>
      <c r="K21" s="313"/>
      <c r="L21" s="313"/>
      <c r="M21" s="313"/>
      <c r="N21" s="313"/>
      <c r="O21" s="19"/>
    </row>
    <row r="22" spans="1:16" ht="12" customHeight="1" x14ac:dyDescent="0.2">
      <c r="A22" s="98" t="s">
        <v>276</v>
      </c>
      <c r="B22" s="88" t="s">
        <v>78</v>
      </c>
      <c r="G22" s="97" t="s">
        <v>17</v>
      </c>
      <c r="H22" s="308">
        <f>'08 - 3'!H92</f>
        <v>993.74000000000012</v>
      </c>
      <c r="I22" s="323">
        <f>VLOOKUP(A22,'[1]TAB OGU JUN18'!$A:$G,6,"falso")</f>
        <v>37.630000000000003</v>
      </c>
      <c r="J22" s="308"/>
      <c r="K22" s="308"/>
      <c r="L22" s="323">
        <f>VLOOKUP(A22,'[1]TAB OGU JUN18'!$A:$G,5,"falso")</f>
        <v>37.630000000000003</v>
      </c>
      <c r="M22" s="308">
        <f>H22*L22</f>
        <v>37394.436200000004</v>
      </c>
      <c r="N22" s="308">
        <f>H22*I22</f>
        <v>37394.436200000004</v>
      </c>
      <c r="O22" s="25">
        <f>N22/$N$25</f>
        <v>1</v>
      </c>
    </row>
    <row r="23" spans="1:16" ht="12" hidden="1" customHeight="1" x14ac:dyDescent="0.2">
      <c r="A23" s="98" t="s">
        <v>277</v>
      </c>
      <c r="B23" s="88" t="s">
        <v>205</v>
      </c>
      <c r="G23" s="97" t="s">
        <v>17</v>
      </c>
      <c r="H23" s="308">
        <f>'08 - 3'!H93</f>
        <v>0</v>
      </c>
      <c r="I23" s="323">
        <f>VLOOKUP(A23,'[1]TAB OGU JUN18'!$A:$G,6,"falso")</f>
        <v>58.74</v>
      </c>
      <c r="J23" s="308"/>
      <c r="K23" s="308"/>
      <c r="L23" s="323">
        <f>VLOOKUP(A23,'[1]TAB OGU JUN18'!$A:$G,5,"falso")</f>
        <v>58.74</v>
      </c>
      <c r="M23" s="308">
        <f>H23*L23</f>
        <v>0</v>
      </c>
      <c r="N23" s="308">
        <f>H23*I23</f>
        <v>0</v>
      </c>
      <c r="O23" s="25">
        <f>N23/$N$25</f>
        <v>0</v>
      </c>
    </row>
    <row r="24" spans="1:16" ht="12" customHeight="1" x14ac:dyDescent="0.2">
      <c r="G24" s="52"/>
      <c r="H24" s="324"/>
      <c r="I24" s="313"/>
      <c r="J24" s="313"/>
      <c r="K24" s="313"/>
      <c r="L24" s="313"/>
      <c r="M24" s="313"/>
      <c r="N24" s="313"/>
      <c r="O24" s="19"/>
    </row>
    <row r="25" spans="1:16" ht="12" customHeight="1" x14ac:dyDescent="0.2">
      <c r="B25" s="130" t="s">
        <v>18</v>
      </c>
      <c r="C25" s="131"/>
      <c r="D25" s="131"/>
      <c r="E25" s="131"/>
      <c r="F25" s="131"/>
      <c r="G25" s="53"/>
      <c r="H25" s="325"/>
      <c r="I25" s="326"/>
      <c r="J25" s="326"/>
      <c r="K25" s="326"/>
      <c r="L25" s="326"/>
      <c r="M25" s="326"/>
      <c r="N25" s="308">
        <f>N22+N23</f>
        <v>37394.436200000004</v>
      </c>
      <c r="O25" s="25">
        <f>N25/N27</f>
        <v>1</v>
      </c>
    </row>
    <row r="26" spans="1:16" ht="12" customHeight="1" x14ac:dyDescent="0.2">
      <c r="G26" s="52"/>
      <c r="H26" s="313"/>
      <c r="I26" s="313"/>
      <c r="J26" s="313"/>
      <c r="K26" s="313"/>
      <c r="L26" s="313"/>
      <c r="M26" s="313"/>
      <c r="N26" s="313"/>
      <c r="O26" s="19"/>
    </row>
    <row r="27" spans="1:16" s="132" customFormat="1" ht="12" customHeight="1" x14ac:dyDescent="0.2">
      <c r="B27" s="133" t="s">
        <v>20</v>
      </c>
      <c r="C27" s="134"/>
      <c r="D27" s="134"/>
      <c r="E27" s="134"/>
      <c r="F27" s="134"/>
      <c r="G27" s="78"/>
      <c r="H27" s="328"/>
      <c r="I27" s="328"/>
      <c r="J27" s="328"/>
      <c r="K27" s="328"/>
      <c r="L27" s="328"/>
      <c r="M27" s="328"/>
      <c r="N27" s="310">
        <f>N25</f>
        <v>37394.436200000004</v>
      </c>
      <c r="O27" s="77">
        <f>N27/N29</f>
        <v>0.98406731651404689</v>
      </c>
    </row>
    <row r="28" spans="1:16" ht="7.5" customHeight="1" x14ac:dyDescent="0.2">
      <c r="G28" s="52"/>
      <c r="H28" s="313"/>
      <c r="I28" s="313"/>
      <c r="J28" s="313"/>
      <c r="K28" s="313"/>
      <c r="L28" s="313"/>
      <c r="M28" s="313"/>
      <c r="N28" s="313"/>
      <c r="O28" s="19"/>
    </row>
    <row r="29" spans="1:16" ht="12" customHeight="1" x14ac:dyDescent="0.2">
      <c r="A29" s="146"/>
      <c r="B29" s="147" t="s">
        <v>30</v>
      </c>
      <c r="C29" s="146"/>
      <c r="D29" s="146"/>
      <c r="E29" s="146"/>
      <c r="F29" s="146"/>
      <c r="G29" s="146"/>
      <c r="H29" s="342"/>
      <c r="I29" s="345"/>
      <c r="J29" s="345"/>
      <c r="K29" s="345"/>
      <c r="L29" s="345"/>
      <c r="M29" s="275">
        <f>SUM(M14:M28)</f>
        <v>37999.876200000006</v>
      </c>
      <c r="N29" s="316">
        <f>N27+N18</f>
        <v>37999.876200000006</v>
      </c>
      <c r="O29" s="322"/>
      <c r="P29" s="149"/>
    </row>
    <row r="30" spans="1:16" ht="7.5" customHeight="1" x14ac:dyDescent="0.2">
      <c r="G30" s="52"/>
      <c r="H30" s="313"/>
      <c r="I30" s="313"/>
      <c r="J30" s="313"/>
      <c r="K30" s="313"/>
      <c r="L30" s="313"/>
      <c r="M30" s="313"/>
      <c r="N30" s="313"/>
      <c r="O30" s="19"/>
    </row>
    <row r="31" spans="1:16" ht="12" customHeight="1" x14ac:dyDescent="0.2">
      <c r="A31" s="146"/>
      <c r="B31" s="147" t="s">
        <v>265</v>
      </c>
      <c r="C31" s="146"/>
      <c r="D31" s="146"/>
      <c r="E31" s="146"/>
      <c r="F31" s="146"/>
      <c r="G31" s="146"/>
      <c r="H31" s="342"/>
      <c r="I31" s="345"/>
      <c r="J31" s="345"/>
      <c r="K31" s="345"/>
      <c r="L31" s="345"/>
      <c r="M31" s="275">
        <f>M29+(M29*O7)</f>
        <v>44733.454262640007</v>
      </c>
      <c r="N31" s="316">
        <f>M31</f>
        <v>44733.454262640007</v>
      </c>
      <c r="O31" s="29">
        <f>N31/RESUMO!H95</f>
        <v>6.1773874257076847E-3</v>
      </c>
      <c r="P31" s="149"/>
    </row>
    <row r="43" spans="1:15" ht="12" customHeight="1" x14ac:dyDescent="0.2">
      <c r="A43" s="150"/>
      <c r="B43" s="150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211"/>
      <c r="O43" s="210"/>
    </row>
    <row r="44" spans="1:15" ht="12" customHeight="1" x14ac:dyDescent="0.2">
      <c r="A44" s="88"/>
      <c r="C44" s="184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184"/>
      <c r="O44" s="437"/>
    </row>
  </sheetData>
  <mergeCells count="3">
    <mergeCell ref="A2:O2"/>
    <mergeCell ref="N4:O4"/>
    <mergeCell ref="A5:B6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rowBreaks count="1" manualBreakCount="1">
    <brk id="20" max="12" man="1"/>
  </rowBreaks>
  <legacyDrawingHF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6" tint="0.39997558519241921"/>
    <pageSetUpPr fitToPage="1"/>
  </sheetPr>
  <dimension ref="A1:U126"/>
  <sheetViews>
    <sheetView view="pageBreakPreview" topLeftCell="A40" zoomScale="85" zoomScaleNormal="90" zoomScaleSheetLayoutView="85" workbookViewId="0">
      <selection activeCell="Q99" sqref="Q99"/>
    </sheetView>
  </sheetViews>
  <sheetFormatPr defaultColWidth="11.42578125" defaultRowHeight="12" customHeight="1" x14ac:dyDescent="0.2"/>
  <cols>
    <col min="1" max="3" width="11.42578125" style="51"/>
    <col min="4" max="4" width="11.42578125" style="51" customWidth="1"/>
    <col min="5" max="5" width="11.42578125" style="51"/>
    <col min="6" max="6" width="28.5703125" style="51" customWidth="1"/>
    <col min="7" max="7" width="11.42578125" style="51"/>
    <col min="8" max="9" width="11.42578125" style="51" customWidth="1"/>
    <col min="10" max="10" width="5.7109375" style="51" hidden="1" customWidth="1"/>
    <col min="11" max="11" width="14.28515625" style="51" customWidth="1"/>
    <col min="12" max="12" width="6.7109375" style="51" hidden="1" customWidth="1"/>
    <col min="13" max="13" width="14.28515625" style="51" customWidth="1"/>
    <col min="14" max="14" width="17.28515625" style="51" customWidth="1"/>
    <col min="15" max="15" width="11.42578125" style="52" customWidth="1"/>
    <col min="16" max="19" width="11.42578125" style="51"/>
    <col min="20" max="20" width="13.42578125" style="51" customWidth="1"/>
    <col min="21" max="16384" width="11.42578125" style="51"/>
  </cols>
  <sheetData>
    <row r="1" spans="1:21" ht="6.75" customHeight="1" x14ac:dyDescent="0.2"/>
    <row r="2" spans="1:21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21" ht="6.7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95"/>
    </row>
    <row r="4" spans="1:21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K4" s="259"/>
      <c r="L4" s="259"/>
      <c r="M4" s="259">
        <f ca="1">RESUMO!G4</f>
        <v>43657</v>
      </c>
      <c r="N4" s="832" t="str">
        <f>RESUMO!H4</f>
        <v>BDI Aplicado</v>
      </c>
      <c r="O4" s="833"/>
      <c r="P4" s="831" t="s">
        <v>995</v>
      </c>
      <c r="Q4" s="831" t="s">
        <v>991</v>
      </c>
      <c r="R4" s="831" t="s">
        <v>992</v>
      </c>
      <c r="S4" s="831" t="s">
        <v>993</v>
      </c>
      <c r="T4" s="831" t="s">
        <v>994</v>
      </c>
      <c r="U4" s="831" t="s">
        <v>996</v>
      </c>
    </row>
    <row r="5" spans="1:21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K5" s="258"/>
      <c r="L5" s="258"/>
      <c r="M5" s="258"/>
      <c r="N5" s="261" t="str">
        <f>RESUMO!H5</f>
        <v>Serviços</v>
      </c>
      <c r="O5" s="234">
        <f>RESUMO!I5</f>
        <v>0.27579999999999999</v>
      </c>
      <c r="P5" s="831"/>
      <c r="Q5" s="831"/>
      <c r="R5" s="831"/>
      <c r="S5" s="831"/>
      <c r="T5" s="831"/>
      <c r="U5" s="831"/>
    </row>
    <row r="6" spans="1:21" ht="12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K6" s="258"/>
      <c r="L6" s="258"/>
      <c r="M6" s="258"/>
      <c r="N6" s="261" t="str">
        <f>RESUMO!H6</f>
        <v>Serv Terc:</v>
      </c>
      <c r="O6" s="234">
        <f>RESUMO!I6</f>
        <v>0.1772</v>
      </c>
      <c r="P6" s="486">
        <v>1873.76</v>
      </c>
      <c r="Q6" s="486">
        <v>2.5799064661429427</v>
      </c>
      <c r="R6" s="486">
        <v>0.68675657501494314</v>
      </c>
      <c r="S6" s="486">
        <v>1933.650216</v>
      </c>
      <c r="T6" s="486">
        <v>428.93899999999991</v>
      </c>
      <c r="U6" s="486">
        <v>30</v>
      </c>
    </row>
    <row r="7" spans="1:21" ht="12" customHeight="1" x14ac:dyDescent="0.2">
      <c r="A7" s="523"/>
      <c r="B7" s="523"/>
      <c r="C7" s="260" t="s">
        <v>6</v>
      </c>
      <c r="D7" s="263" t="str">
        <f>RESUMO!A29</f>
        <v>U.C. : 09</v>
      </c>
      <c r="E7" s="258"/>
      <c r="F7" s="258"/>
      <c r="G7" s="260" t="s">
        <v>9</v>
      </c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  <c r="T7" s="486">
        <v>416.99379199999998</v>
      </c>
    </row>
    <row r="8" spans="1:21" ht="12" customHeight="1" thickBot="1" x14ac:dyDescent="0.25">
      <c r="A8" s="124"/>
      <c r="B8" s="125"/>
      <c r="C8" s="266" t="s">
        <v>8</v>
      </c>
      <c r="D8" s="267" t="str">
        <f>RESUMO!B29</f>
        <v>COLETOR 04</v>
      </c>
      <c r="E8" s="268"/>
      <c r="F8" s="268"/>
      <c r="G8" s="266"/>
      <c r="H8" s="123"/>
      <c r="I8" s="278"/>
      <c r="J8" s="278"/>
      <c r="K8" s="278"/>
      <c r="L8" s="278"/>
      <c r="M8" s="278"/>
      <c r="N8" s="271"/>
      <c r="O8" s="427"/>
      <c r="T8" s="486">
        <v>1691.8655839999997</v>
      </c>
    </row>
    <row r="9" spans="1:21" ht="12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  <c r="T9" s="486">
        <v>802.4321060000002</v>
      </c>
    </row>
    <row r="10" spans="1:21" ht="12.75" x14ac:dyDescent="0.2">
      <c r="O10" s="19"/>
      <c r="T10" s="486">
        <v>386.04509999999993</v>
      </c>
    </row>
    <row r="11" spans="1:21" ht="11.25" customHeight="1" x14ac:dyDescent="0.2">
      <c r="A11" s="93">
        <f>RESUMO!A42</f>
        <v>1</v>
      </c>
      <c r="B11" s="93" t="str">
        <f>RESUMO!B30</f>
        <v>COLETOR 04 - SERVIÇOS</v>
      </c>
      <c r="H11" s="61"/>
      <c r="O11" s="19"/>
      <c r="T11" s="486">
        <v>2792.3943428000002</v>
      </c>
    </row>
    <row r="12" spans="1:21" ht="11.25" customHeight="1" x14ac:dyDescent="0.2">
      <c r="A12" s="129" t="s">
        <v>48</v>
      </c>
      <c r="B12" s="88" t="s">
        <v>16</v>
      </c>
      <c r="H12" s="61"/>
      <c r="O12" s="19"/>
      <c r="T12" s="486">
        <v>161.7910392</v>
      </c>
    </row>
    <row r="13" spans="1:21" ht="11.25" customHeight="1" x14ac:dyDescent="0.2">
      <c r="A13" s="129" t="s">
        <v>79</v>
      </c>
      <c r="B13" s="88" t="s">
        <v>80</v>
      </c>
      <c r="H13" s="61"/>
      <c r="O13" s="19"/>
    </row>
    <row r="14" spans="1:21" ht="11.25" customHeight="1" x14ac:dyDescent="0.2">
      <c r="A14" s="129" t="s">
        <v>209</v>
      </c>
      <c r="B14" s="88" t="s">
        <v>210</v>
      </c>
      <c r="G14" s="97" t="s">
        <v>17</v>
      </c>
      <c r="H14" s="308">
        <f>P6</f>
        <v>1873.76</v>
      </c>
      <c r="I14" s="323">
        <f>VLOOKUP(A14,'[1]TAB OGU JUN18'!$A:$G,6,"falso")</f>
        <v>1.2</v>
      </c>
      <c r="J14" s="323">
        <f>VLOOKUP(A14,'[1]TAB OGU JUN18'!$A:$G,4,"falso")</f>
        <v>0.82</v>
      </c>
      <c r="K14" s="308">
        <f>H14*J14</f>
        <v>1536.4831999999999</v>
      </c>
      <c r="L14" s="323">
        <f>VLOOKUP(A14,'[1]TAB OGU JUN18'!$A:$G,5,"falso")</f>
        <v>0.38</v>
      </c>
      <c r="M14" s="308">
        <f>H14*L14</f>
        <v>712.02880000000005</v>
      </c>
      <c r="N14" s="308">
        <f>H14*I14</f>
        <v>2248.5119999999997</v>
      </c>
      <c r="O14" s="25">
        <f>N14/N17</f>
        <v>1</v>
      </c>
      <c r="Q14" s="311"/>
    </row>
    <row r="15" spans="1:21" ht="11.25" customHeight="1" x14ac:dyDescent="0.2">
      <c r="B15" s="258" t="s">
        <v>211</v>
      </c>
      <c r="G15" s="52"/>
      <c r="H15" s="324"/>
      <c r="I15" s="324"/>
      <c r="J15" s="313"/>
      <c r="K15" s="313"/>
      <c r="L15" s="313"/>
      <c r="M15" s="313"/>
      <c r="N15" s="309"/>
      <c r="O15" s="25"/>
      <c r="Q15" s="311"/>
    </row>
    <row r="16" spans="1:21" ht="11.25" customHeight="1" x14ac:dyDescent="0.2">
      <c r="G16" s="52"/>
      <c r="H16" s="324"/>
      <c r="I16" s="324"/>
      <c r="J16" s="313"/>
      <c r="K16" s="313"/>
      <c r="L16" s="313"/>
      <c r="M16" s="313"/>
      <c r="N16" s="309"/>
      <c r="O16" s="25"/>
      <c r="Q16" s="311"/>
    </row>
    <row r="17" spans="1:17" ht="11.25" customHeight="1" x14ac:dyDescent="0.2">
      <c r="B17" s="130" t="s">
        <v>18</v>
      </c>
      <c r="C17" s="131"/>
      <c r="D17" s="131"/>
      <c r="E17" s="131"/>
      <c r="F17" s="131"/>
      <c r="G17" s="53"/>
      <c r="H17" s="325"/>
      <c r="I17" s="325"/>
      <c r="J17" s="326"/>
      <c r="K17" s="326"/>
      <c r="L17" s="326"/>
      <c r="M17" s="326"/>
      <c r="N17" s="308">
        <f>SUM(N14:N14)</f>
        <v>2248.5119999999997</v>
      </c>
      <c r="O17" s="25">
        <f>N17/N29</f>
        <v>0.64516129032258063</v>
      </c>
      <c r="Q17" s="311"/>
    </row>
    <row r="18" spans="1:17" ht="11.25" customHeight="1" x14ac:dyDescent="0.2">
      <c r="B18" s="130"/>
      <c r="G18" s="52"/>
      <c r="H18" s="324"/>
      <c r="I18" s="324"/>
      <c r="J18" s="313"/>
      <c r="K18" s="313"/>
      <c r="L18" s="313"/>
      <c r="M18" s="313"/>
      <c r="N18" s="308"/>
      <c r="O18" s="25"/>
      <c r="Q18" s="311"/>
    </row>
    <row r="19" spans="1:17" ht="11.25" customHeight="1" x14ac:dyDescent="0.2">
      <c r="A19" s="98" t="s">
        <v>779</v>
      </c>
      <c r="B19" s="88" t="s">
        <v>780</v>
      </c>
      <c r="G19" s="52"/>
      <c r="H19" s="324"/>
      <c r="I19" s="324"/>
      <c r="J19" s="313"/>
      <c r="K19" s="313"/>
      <c r="L19" s="313"/>
      <c r="M19" s="313"/>
      <c r="N19" s="313"/>
      <c r="O19" s="19"/>
      <c r="Q19" s="311"/>
    </row>
    <row r="20" spans="1:17" ht="11.25" customHeight="1" x14ac:dyDescent="0.2">
      <c r="A20" s="98" t="s">
        <v>782</v>
      </c>
      <c r="B20" s="88" t="s">
        <v>781</v>
      </c>
      <c r="G20" s="97" t="s">
        <v>17</v>
      </c>
      <c r="H20" s="308">
        <f>H14</f>
        <v>1873.76</v>
      </c>
      <c r="I20" s="323">
        <f>VLOOKUP(A20,'[1]TAB OGU JUN18'!$A:$G,6,"falso")</f>
        <v>0.4</v>
      </c>
      <c r="J20" s="323">
        <f>VLOOKUP(A20,'[1]TAB OGU JUN18'!$A:$G,4,"falso")</f>
        <v>0.4</v>
      </c>
      <c r="K20" s="308">
        <f>H20*J20</f>
        <v>749.50400000000002</v>
      </c>
      <c r="L20" s="323">
        <f>VLOOKUP(A20,'[1]TAB OGU JUN18'!$A:$G,5,"falso")</f>
        <v>0</v>
      </c>
      <c r="M20" s="308"/>
      <c r="N20" s="308">
        <f>H20*I20</f>
        <v>749.50400000000002</v>
      </c>
      <c r="O20" s="25">
        <f>N20/N22</f>
        <v>1</v>
      </c>
      <c r="Q20" s="311"/>
    </row>
    <row r="21" spans="1:17" ht="11.25" customHeight="1" x14ac:dyDescent="0.2">
      <c r="G21" s="52"/>
      <c r="H21" s="324"/>
      <c r="I21" s="324"/>
      <c r="J21" s="313"/>
      <c r="K21" s="313"/>
      <c r="L21" s="313"/>
      <c r="M21" s="313"/>
      <c r="N21" s="313"/>
      <c r="O21" s="19"/>
      <c r="Q21" s="311"/>
    </row>
    <row r="22" spans="1:17" ht="11.25" customHeight="1" x14ac:dyDescent="0.2">
      <c r="B22" s="130" t="s">
        <v>18</v>
      </c>
      <c r="C22" s="131"/>
      <c r="D22" s="131"/>
      <c r="E22" s="131"/>
      <c r="F22" s="131"/>
      <c r="G22" s="53"/>
      <c r="H22" s="325"/>
      <c r="I22" s="325"/>
      <c r="J22" s="326"/>
      <c r="K22" s="326"/>
      <c r="L22" s="326"/>
      <c r="M22" s="326"/>
      <c r="N22" s="308">
        <f>N20</f>
        <v>749.50400000000002</v>
      </c>
      <c r="O22" s="25">
        <f>N22/N29</f>
        <v>0.21505376344086025</v>
      </c>
      <c r="Q22" s="311"/>
    </row>
    <row r="23" spans="1:17" ht="11.25" customHeight="1" x14ac:dyDescent="0.2">
      <c r="B23" s="130"/>
      <c r="G23" s="52"/>
      <c r="H23" s="324"/>
      <c r="I23" s="324"/>
      <c r="J23" s="313"/>
      <c r="K23" s="313"/>
      <c r="L23" s="313"/>
      <c r="M23" s="313"/>
      <c r="N23" s="308"/>
      <c r="O23" s="25"/>
      <c r="Q23" s="311"/>
    </row>
    <row r="24" spans="1:17" ht="11.25" customHeight="1" x14ac:dyDescent="0.2">
      <c r="A24" s="98" t="s">
        <v>82</v>
      </c>
      <c r="B24" s="88" t="s">
        <v>19</v>
      </c>
      <c r="G24" s="52"/>
      <c r="H24" s="19"/>
      <c r="I24" s="52"/>
      <c r="J24" s="52"/>
      <c r="K24" s="52"/>
      <c r="L24" s="52"/>
      <c r="M24" s="52"/>
      <c r="N24" s="52"/>
      <c r="O24" s="19"/>
    </row>
    <row r="25" spans="1:17" ht="11.25" customHeight="1" x14ac:dyDescent="0.2">
      <c r="A25" s="98" t="s">
        <v>83</v>
      </c>
      <c r="B25" s="88" t="s">
        <v>81</v>
      </c>
      <c r="G25" s="97" t="s">
        <v>17</v>
      </c>
      <c r="H25" s="308">
        <f>H20</f>
        <v>1873.76</v>
      </c>
      <c r="I25" s="323">
        <f>VLOOKUP(A25,'[1]TAB OGU JUN18'!$A:$G,6,"falso")</f>
        <v>0.26</v>
      </c>
      <c r="J25" s="323">
        <f>VLOOKUP(A25,'[1]TAB OGU JUN18'!$A:$G,4,"falso")</f>
        <v>0.26</v>
      </c>
      <c r="K25" s="308">
        <f>H25*J25</f>
        <v>487.17760000000004</v>
      </c>
      <c r="L25" s="323">
        <f>VLOOKUP(A25,'[1]TAB OGU JUN18'!$A:$G,5,"falso")</f>
        <v>0</v>
      </c>
      <c r="M25" s="308"/>
      <c r="N25" s="308">
        <f>H25*I25</f>
        <v>487.17760000000004</v>
      </c>
      <c r="O25" s="25">
        <f>N25/N27</f>
        <v>1</v>
      </c>
    </row>
    <row r="26" spans="1:17" ht="11.25" customHeight="1" x14ac:dyDescent="0.2">
      <c r="G26" s="52"/>
      <c r="H26" s="324"/>
      <c r="I26" s="313"/>
      <c r="J26" s="313"/>
      <c r="K26" s="313"/>
      <c r="L26" s="313"/>
      <c r="M26" s="313"/>
      <c r="N26" s="313"/>
      <c r="O26" s="19"/>
    </row>
    <row r="27" spans="1:17" ht="11.25" customHeight="1" x14ac:dyDescent="0.2">
      <c r="B27" s="130" t="s">
        <v>18</v>
      </c>
      <c r="C27" s="131"/>
      <c r="D27" s="131"/>
      <c r="E27" s="131"/>
      <c r="F27" s="131"/>
      <c r="G27" s="53"/>
      <c r="H27" s="325"/>
      <c r="I27" s="326"/>
      <c r="J27" s="326"/>
      <c r="K27" s="326"/>
      <c r="L27" s="326"/>
      <c r="M27" s="326"/>
      <c r="N27" s="308">
        <f>N25</f>
        <v>487.17760000000004</v>
      </c>
      <c r="O27" s="25">
        <f>N27/N29</f>
        <v>0.13978494623655915</v>
      </c>
    </row>
    <row r="28" spans="1:17" ht="11.25" customHeight="1" x14ac:dyDescent="0.2">
      <c r="B28" s="130"/>
      <c r="G28" s="52"/>
      <c r="H28" s="324"/>
      <c r="I28" s="313"/>
      <c r="J28" s="313"/>
      <c r="K28" s="313"/>
      <c r="L28" s="313"/>
      <c r="M28" s="313"/>
      <c r="N28" s="308"/>
      <c r="O28" s="25"/>
    </row>
    <row r="29" spans="1:17" s="132" customFormat="1" ht="11.25" customHeight="1" x14ac:dyDescent="0.2">
      <c r="B29" s="133" t="s">
        <v>20</v>
      </c>
      <c r="C29" s="134"/>
      <c r="D29" s="134"/>
      <c r="E29" s="134"/>
      <c r="F29" s="134"/>
      <c r="G29" s="78"/>
      <c r="H29" s="327"/>
      <c r="I29" s="328"/>
      <c r="J29" s="328"/>
      <c r="K29" s="328"/>
      <c r="L29" s="328"/>
      <c r="M29" s="328"/>
      <c r="N29" s="310">
        <f>N27+N17+N22</f>
        <v>3485.1935999999996</v>
      </c>
      <c r="O29" s="77">
        <f>N29/N118</f>
        <v>2.0590759596305009E-2</v>
      </c>
    </row>
    <row r="30" spans="1:17" ht="11.25" customHeight="1" x14ac:dyDescent="0.2">
      <c r="G30" s="52"/>
      <c r="H30" s="324"/>
      <c r="I30" s="313"/>
      <c r="J30" s="313"/>
      <c r="K30" s="313"/>
      <c r="L30" s="313"/>
      <c r="M30" s="313"/>
      <c r="N30" s="313"/>
      <c r="O30" s="19"/>
    </row>
    <row r="31" spans="1:17" ht="11.25" customHeight="1" x14ac:dyDescent="0.2">
      <c r="A31" s="129" t="s">
        <v>93</v>
      </c>
      <c r="B31" s="88" t="s">
        <v>96</v>
      </c>
      <c r="H31" s="329"/>
      <c r="I31" s="311"/>
      <c r="J31" s="311"/>
      <c r="K31" s="311"/>
      <c r="L31" s="311"/>
      <c r="M31" s="311"/>
      <c r="N31" s="311"/>
      <c r="O31" s="19"/>
    </row>
    <row r="32" spans="1:17" ht="11.25" customHeight="1" x14ac:dyDescent="0.2">
      <c r="A32" s="129" t="s">
        <v>94</v>
      </c>
      <c r="B32" s="88" t="s">
        <v>97</v>
      </c>
      <c r="H32" s="329"/>
      <c r="I32" s="311"/>
      <c r="J32" s="311"/>
      <c r="K32" s="311"/>
      <c r="L32" s="311"/>
      <c r="M32" s="311"/>
      <c r="N32" s="311"/>
      <c r="O32" s="19"/>
    </row>
    <row r="33" spans="1:15" ht="11.25" customHeight="1" x14ac:dyDescent="0.2">
      <c r="A33" s="129" t="s">
        <v>95</v>
      </c>
      <c r="B33" s="88" t="s">
        <v>228</v>
      </c>
      <c r="G33" s="97" t="s">
        <v>32</v>
      </c>
      <c r="H33" s="308">
        <f>T6</f>
        <v>428.93899999999991</v>
      </c>
      <c r="I33" s="323">
        <f>VLOOKUP(A33,'[1]TAB OGU JUN18'!$A:$G,6,"falso")</f>
        <v>32.9</v>
      </c>
      <c r="J33" s="323">
        <f>VLOOKUP(A33,'[1]TAB OGU JUN18'!$A:$G,4,"falso")</f>
        <v>32.9</v>
      </c>
      <c r="K33" s="308">
        <f>H33*J33</f>
        <v>14112.093099999996</v>
      </c>
      <c r="L33" s="323">
        <f>VLOOKUP(A33,'[1]TAB OGU JUN18'!$A:$G,5,"falso")</f>
        <v>0</v>
      </c>
      <c r="M33" s="308"/>
      <c r="N33" s="308">
        <f>H33*I33</f>
        <v>14112.093099999996</v>
      </c>
      <c r="O33" s="25">
        <f>N33/N36</f>
        <v>0.45139850746788035</v>
      </c>
    </row>
    <row r="34" spans="1:15" ht="11.25" customHeight="1" x14ac:dyDescent="0.2">
      <c r="A34" s="129" t="s">
        <v>261</v>
      </c>
      <c r="B34" s="88" t="s">
        <v>643</v>
      </c>
      <c r="G34" s="97" t="s">
        <v>32</v>
      </c>
      <c r="H34" s="308">
        <f>T7</f>
        <v>416.99379199999998</v>
      </c>
      <c r="I34" s="323">
        <f>VLOOKUP(A34,'[1]TAB OGU JUN18'!$A:$G,6,"falso")</f>
        <v>41.13</v>
      </c>
      <c r="J34" s="323">
        <f>VLOOKUP(A34,'[1]TAB OGU JUN18'!$A:$G,4,"falso")</f>
        <v>41.13</v>
      </c>
      <c r="K34" s="308">
        <f>H34*J34</f>
        <v>17150.954664960002</v>
      </c>
      <c r="L34" s="323">
        <f>VLOOKUP(A34,'[1]TAB OGU JUN18'!$A:$G,5,"falso")</f>
        <v>0</v>
      </c>
      <c r="M34" s="308"/>
      <c r="N34" s="308">
        <f>H34*I34</f>
        <v>17150.954664960002</v>
      </c>
      <c r="O34" s="25">
        <f>N34/N36</f>
        <v>0.54860149253211965</v>
      </c>
    </row>
    <row r="35" spans="1:15" ht="11.25" customHeight="1" x14ac:dyDescent="0.2">
      <c r="G35" s="52"/>
      <c r="H35" s="324"/>
      <c r="I35" s="313"/>
      <c r="J35" s="313"/>
      <c r="K35" s="313"/>
      <c r="L35" s="313"/>
      <c r="M35" s="313"/>
      <c r="N35" s="309"/>
      <c r="O35" s="25"/>
    </row>
    <row r="36" spans="1:15" ht="11.25" customHeight="1" x14ac:dyDescent="0.2">
      <c r="B36" s="130" t="s">
        <v>18</v>
      </c>
      <c r="C36" s="131"/>
      <c r="D36" s="131"/>
      <c r="E36" s="131"/>
      <c r="F36" s="131"/>
      <c r="G36" s="53"/>
      <c r="H36" s="325"/>
      <c r="I36" s="326"/>
      <c r="J36" s="326"/>
      <c r="K36" s="326"/>
      <c r="L36" s="326"/>
      <c r="M36" s="326"/>
      <c r="N36" s="308">
        <f>SUM(N33:N34)</f>
        <v>31263.04776496</v>
      </c>
      <c r="O36" s="25">
        <f>N36/N66</f>
        <v>0.37521038443956184</v>
      </c>
    </row>
    <row r="37" spans="1:15" ht="11.25" customHeight="1" x14ac:dyDescent="0.2">
      <c r="B37" s="130"/>
      <c r="G37" s="52"/>
      <c r="H37" s="324"/>
      <c r="I37" s="313"/>
      <c r="J37" s="313"/>
      <c r="K37" s="313"/>
      <c r="L37" s="313"/>
      <c r="M37" s="313"/>
      <c r="N37" s="308"/>
      <c r="O37" s="25"/>
    </row>
    <row r="38" spans="1:15" ht="11.25" customHeight="1" x14ac:dyDescent="0.2">
      <c r="A38" s="98" t="s">
        <v>98</v>
      </c>
      <c r="B38" s="88" t="s">
        <v>100</v>
      </c>
      <c r="G38" s="52"/>
      <c r="H38" s="324"/>
      <c r="I38" s="313"/>
      <c r="J38" s="313"/>
      <c r="K38" s="313"/>
      <c r="L38" s="313"/>
      <c r="M38" s="313"/>
      <c r="N38" s="313"/>
      <c r="O38" s="19"/>
    </row>
    <row r="39" spans="1:15" ht="11.25" customHeight="1" x14ac:dyDescent="0.2">
      <c r="A39" s="98" t="s">
        <v>99</v>
      </c>
      <c r="B39" s="88" t="s">
        <v>229</v>
      </c>
      <c r="G39" s="97" t="s">
        <v>32</v>
      </c>
      <c r="H39" s="308">
        <f>T8</f>
        <v>1691.8655839999997</v>
      </c>
      <c r="I39" s="323">
        <f>VLOOKUP(A39,'[1]TAB OGU JUN18'!$A:$G,6,"falso")</f>
        <v>9.77</v>
      </c>
      <c r="J39" s="323">
        <f>VLOOKUP(A39,'[1]TAB OGU JUN18'!$A:$G,4,"falso")</f>
        <v>9.77</v>
      </c>
      <c r="K39" s="308">
        <f>H39*J39</f>
        <v>16529.526755679995</v>
      </c>
      <c r="L39" s="323">
        <f>VLOOKUP(A39,'[1]TAB OGU JUN18'!$A:$G,5,"falso")</f>
        <v>0</v>
      </c>
      <c r="M39" s="308"/>
      <c r="N39" s="308">
        <f>H39*I39</f>
        <v>16529.526755679995</v>
      </c>
      <c r="O39" s="25">
        <f>N39/N42</f>
        <v>0.64860668653949161</v>
      </c>
    </row>
    <row r="40" spans="1:15" ht="11.25" customHeight="1" x14ac:dyDescent="0.2">
      <c r="A40" s="98" t="s">
        <v>232</v>
      </c>
      <c r="B40" s="88" t="s">
        <v>558</v>
      </c>
      <c r="G40" s="97" t="s">
        <v>32</v>
      </c>
      <c r="H40" s="308">
        <f>T9</f>
        <v>802.4321060000002</v>
      </c>
      <c r="I40" s="323">
        <f>VLOOKUP(A40,'[1]TAB OGU JUN18'!$A:$G,6,"falso")</f>
        <v>11.16</v>
      </c>
      <c r="J40" s="323">
        <f>VLOOKUP(A40,'[1]TAB OGU JUN18'!$A:$G,4,"falso")</f>
        <v>11.16</v>
      </c>
      <c r="K40" s="308">
        <f>H40*J40</f>
        <v>8955.1423029600028</v>
      </c>
      <c r="L40" s="323">
        <f>VLOOKUP(A40,'[1]TAB OGU JUN18'!$A:$G,5,"falso")</f>
        <v>0</v>
      </c>
      <c r="M40" s="308"/>
      <c r="N40" s="308">
        <f>H40*I40</f>
        <v>8955.1423029600028</v>
      </c>
      <c r="O40" s="25">
        <f>N40/N42</f>
        <v>0.35139331346050834</v>
      </c>
    </row>
    <row r="41" spans="1:15" ht="11.25" customHeight="1" x14ac:dyDescent="0.2">
      <c r="G41" s="52"/>
      <c r="H41" s="324"/>
      <c r="I41" s="313"/>
      <c r="J41" s="313"/>
      <c r="K41" s="313"/>
      <c r="L41" s="313"/>
      <c r="M41" s="313"/>
      <c r="N41" s="313"/>
      <c r="O41" s="19"/>
    </row>
    <row r="42" spans="1:15" ht="11.25" customHeight="1" x14ac:dyDescent="0.2">
      <c r="B42" s="130" t="s">
        <v>18</v>
      </c>
      <c r="C42" s="131"/>
      <c r="D42" s="131"/>
      <c r="E42" s="131"/>
      <c r="F42" s="131"/>
      <c r="G42" s="53"/>
      <c r="H42" s="325"/>
      <c r="I42" s="326"/>
      <c r="J42" s="326"/>
      <c r="K42" s="326"/>
      <c r="L42" s="326"/>
      <c r="M42" s="326"/>
      <c r="N42" s="308">
        <f>N39+N40</f>
        <v>25484.66905864</v>
      </c>
      <c r="O42" s="25">
        <f>N42/N66</f>
        <v>0.30585989397760033</v>
      </c>
    </row>
    <row r="43" spans="1:15" ht="11.25" customHeight="1" x14ac:dyDescent="0.2">
      <c r="B43" s="130"/>
      <c r="G43" s="52"/>
      <c r="H43" s="324"/>
      <c r="I43" s="313"/>
      <c r="J43" s="313"/>
      <c r="K43" s="313"/>
      <c r="L43" s="313"/>
      <c r="M43" s="313"/>
      <c r="N43" s="308"/>
      <c r="O43" s="25"/>
    </row>
    <row r="44" spans="1:15" ht="11.25" customHeight="1" x14ac:dyDescent="0.2">
      <c r="A44" s="98" t="s">
        <v>101</v>
      </c>
      <c r="B44" s="88" t="s">
        <v>21</v>
      </c>
      <c r="G44" s="97"/>
      <c r="H44" s="308"/>
      <c r="I44" s="308"/>
      <c r="J44" s="308"/>
      <c r="K44" s="308"/>
      <c r="L44" s="308"/>
      <c r="M44" s="308"/>
      <c r="N44" s="308"/>
      <c r="O44" s="25"/>
    </row>
    <row r="45" spans="1:15" ht="11.25" customHeight="1" x14ac:dyDescent="0.2">
      <c r="A45" s="98" t="s">
        <v>102</v>
      </c>
      <c r="B45" s="88" t="s">
        <v>104</v>
      </c>
      <c r="G45" s="97" t="s">
        <v>32</v>
      </c>
      <c r="H45" s="308">
        <f>T10</f>
        <v>386.04509999999993</v>
      </c>
      <c r="I45" s="323">
        <f>VLOOKUP(A45,'[1]TAB OGU JUN18'!$A:$G,6,"falso")</f>
        <v>7.4</v>
      </c>
      <c r="J45" s="323">
        <f>VLOOKUP(A45,'[1]TAB OGU JUN18'!$A:$G,4,"falso")</f>
        <v>7.4</v>
      </c>
      <c r="K45" s="308">
        <f>H45*J45</f>
        <v>2856.7337399999997</v>
      </c>
      <c r="L45" s="323">
        <f>VLOOKUP(A45,'[1]TAB OGU JUN18'!$A:$G,5,"falso")</f>
        <v>0</v>
      </c>
      <c r="M45" s="308"/>
      <c r="N45" s="308">
        <f>H45*I45</f>
        <v>2856.7337399999997</v>
      </c>
      <c r="O45" s="25">
        <f>N45/N48</f>
        <v>0.43662956284065713</v>
      </c>
    </row>
    <row r="46" spans="1:15" ht="11.25" customHeight="1" x14ac:dyDescent="0.2">
      <c r="A46" s="98" t="s">
        <v>103</v>
      </c>
      <c r="B46" s="88" t="s">
        <v>105</v>
      </c>
      <c r="G46" s="97" t="s">
        <v>32</v>
      </c>
      <c r="H46" s="308">
        <f>T11</f>
        <v>2792.3943428000002</v>
      </c>
      <c r="I46" s="323">
        <f>VLOOKUP(A46,'[1]TAB OGU JUN18'!$A:$G,6,"falso")</f>
        <v>1.32</v>
      </c>
      <c r="J46" s="323">
        <f>VLOOKUP(A46,'[1]TAB OGU JUN18'!$A:$G,4,"falso")</f>
        <v>1.32</v>
      </c>
      <c r="K46" s="308">
        <f>H46*J46</f>
        <v>3685.9605324960003</v>
      </c>
      <c r="L46" s="323">
        <f>VLOOKUP(A46,'[1]TAB OGU JUN18'!$A:$G,5,"falso")</f>
        <v>0</v>
      </c>
      <c r="M46" s="308"/>
      <c r="N46" s="308">
        <f>H46*I46</f>
        <v>3685.9605324960003</v>
      </c>
      <c r="O46" s="25">
        <f>N46/N48</f>
        <v>0.56337043715934287</v>
      </c>
    </row>
    <row r="47" spans="1:15" ht="11.25" customHeight="1" x14ac:dyDescent="0.2">
      <c r="B47" s="130"/>
      <c r="G47" s="52"/>
      <c r="H47" s="324"/>
      <c r="I47" s="313"/>
      <c r="J47" s="313"/>
      <c r="K47" s="313"/>
      <c r="L47" s="313"/>
      <c r="M47" s="313"/>
      <c r="N47" s="308"/>
      <c r="O47" s="25"/>
    </row>
    <row r="48" spans="1:15" ht="11.25" customHeight="1" x14ac:dyDescent="0.2">
      <c r="B48" s="130" t="s">
        <v>18</v>
      </c>
      <c r="C48" s="131"/>
      <c r="D48" s="131"/>
      <c r="E48" s="131"/>
      <c r="F48" s="131"/>
      <c r="G48" s="53"/>
      <c r="H48" s="325"/>
      <c r="I48" s="326"/>
      <c r="J48" s="326"/>
      <c r="K48" s="326"/>
      <c r="L48" s="326"/>
      <c r="M48" s="326"/>
      <c r="N48" s="308">
        <f>N46+N45</f>
        <v>6542.6942724959999</v>
      </c>
      <c r="O48" s="25">
        <f>N48/N66</f>
        <v>7.8523592827862754E-2</v>
      </c>
    </row>
    <row r="49" spans="1:15" ht="11.25" customHeight="1" x14ac:dyDescent="0.2">
      <c r="B49" s="130"/>
      <c r="G49" s="52"/>
      <c r="H49" s="324"/>
      <c r="I49" s="313"/>
      <c r="J49" s="313"/>
      <c r="K49" s="313"/>
      <c r="L49" s="313"/>
      <c r="M49" s="313"/>
      <c r="N49" s="308"/>
      <c r="O49" s="25"/>
    </row>
    <row r="50" spans="1:15" ht="11.25" customHeight="1" x14ac:dyDescent="0.2">
      <c r="A50" s="98" t="s">
        <v>106</v>
      </c>
      <c r="B50" s="88" t="s">
        <v>109</v>
      </c>
      <c r="G50" s="97"/>
      <c r="H50" s="308"/>
      <c r="I50" s="308"/>
      <c r="J50" s="308"/>
      <c r="K50" s="308"/>
      <c r="L50" s="308"/>
      <c r="M50" s="308"/>
      <c r="N50" s="308"/>
      <c r="O50" s="25"/>
    </row>
    <row r="51" spans="1:15" ht="11.25" customHeight="1" x14ac:dyDescent="0.2">
      <c r="A51" s="98" t="s">
        <v>107</v>
      </c>
      <c r="B51" s="88" t="s">
        <v>104</v>
      </c>
      <c r="G51" s="97" t="s">
        <v>32</v>
      </c>
      <c r="H51" s="308">
        <f>H45</f>
        <v>386.04509999999993</v>
      </c>
      <c r="I51" s="323">
        <f>VLOOKUP(A51,'[1]TAB OGU JUN18'!$A:$G,6,"falso")</f>
        <v>20.56</v>
      </c>
      <c r="J51" s="323">
        <f>VLOOKUP(A51,'[1]TAB OGU JUN18'!$A:$G,4,"falso")</f>
        <v>20.56</v>
      </c>
      <c r="K51" s="308">
        <f>H51*J51</f>
        <v>7937.087255999998</v>
      </c>
      <c r="L51" s="323">
        <f>VLOOKUP(A51,'[1]TAB OGU JUN18'!$A:$G,5,"falso")</f>
        <v>0</v>
      </c>
      <c r="M51" s="308"/>
      <c r="N51" s="308">
        <f>H51*I51</f>
        <v>7937.087255999998</v>
      </c>
      <c r="O51" s="25">
        <f>N51/N54</f>
        <v>0.41239582217510773</v>
      </c>
    </row>
    <row r="52" spans="1:15" ht="11.25" customHeight="1" x14ac:dyDescent="0.2">
      <c r="A52" s="98" t="s">
        <v>108</v>
      </c>
      <c r="B52" s="88" t="s">
        <v>105</v>
      </c>
      <c r="G52" s="97" t="s">
        <v>32</v>
      </c>
      <c r="H52" s="308">
        <f>H46</f>
        <v>2792.3943428000002</v>
      </c>
      <c r="I52" s="323">
        <f>VLOOKUP(A52,'[1]TAB OGU JUN18'!$A:$G,6,"falso")</f>
        <v>4.05</v>
      </c>
      <c r="J52" s="323">
        <f>VLOOKUP(A52,'[1]TAB OGU JUN18'!$A:$G,4,"falso")</f>
        <v>4.05</v>
      </c>
      <c r="K52" s="308">
        <f>H52*J52</f>
        <v>11309.197088340001</v>
      </c>
      <c r="L52" s="323">
        <f>VLOOKUP(A52,'[1]TAB OGU JUN18'!$A:$G,5,"falso")</f>
        <v>0</v>
      </c>
      <c r="M52" s="308"/>
      <c r="N52" s="308">
        <f>H52*I52</f>
        <v>11309.197088340001</v>
      </c>
      <c r="O52" s="25">
        <f>N52/N54</f>
        <v>0.58760417782489227</v>
      </c>
    </row>
    <row r="53" spans="1:15" ht="11.25" customHeight="1" x14ac:dyDescent="0.2">
      <c r="B53" s="130"/>
      <c r="G53" s="52"/>
      <c r="H53" s="324"/>
      <c r="I53" s="313"/>
      <c r="J53" s="313"/>
      <c r="K53" s="313"/>
      <c r="L53" s="313"/>
      <c r="M53" s="313"/>
      <c r="N53" s="308"/>
      <c r="O53" s="25"/>
    </row>
    <row r="54" spans="1:15" ht="11.25" customHeight="1" x14ac:dyDescent="0.2">
      <c r="B54" s="130" t="s">
        <v>18</v>
      </c>
      <c r="C54" s="131"/>
      <c r="D54" s="131"/>
      <c r="E54" s="131"/>
      <c r="F54" s="131"/>
      <c r="G54" s="53"/>
      <c r="H54" s="325"/>
      <c r="I54" s="326"/>
      <c r="J54" s="326"/>
      <c r="K54" s="326"/>
      <c r="L54" s="326"/>
      <c r="M54" s="326"/>
      <c r="N54" s="308">
        <f>N52+N51</f>
        <v>19246.284344339998</v>
      </c>
      <c r="O54" s="25">
        <f>N54/N66</f>
        <v>0.23098853963837684</v>
      </c>
    </row>
    <row r="55" spans="1:15" ht="11.25" customHeight="1" x14ac:dyDescent="0.2">
      <c r="B55" s="130"/>
      <c r="G55" s="52"/>
      <c r="H55" s="324"/>
      <c r="I55" s="313"/>
      <c r="J55" s="313"/>
      <c r="K55" s="313"/>
      <c r="L55" s="313"/>
      <c r="M55" s="313"/>
      <c r="N55" s="308"/>
      <c r="O55" s="25"/>
    </row>
    <row r="56" spans="1:15" ht="11.25" customHeight="1" x14ac:dyDescent="0.2">
      <c r="A56" s="98" t="s">
        <v>110</v>
      </c>
      <c r="B56" s="88" t="s">
        <v>112</v>
      </c>
      <c r="G56" s="52"/>
      <c r="H56" s="324"/>
      <c r="I56" s="313"/>
      <c r="J56" s="313"/>
      <c r="K56" s="313"/>
      <c r="L56" s="313"/>
      <c r="M56" s="313"/>
      <c r="N56" s="313"/>
      <c r="O56" s="19"/>
    </row>
    <row r="57" spans="1:15" ht="11.25" customHeight="1" x14ac:dyDescent="0.2">
      <c r="A57" s="98" t="s">
        <v>111</v>
      </c>
      <c r="B57" s="88" t="s">
        <v>113</v>
      </c>
      <c r="G57" s="97" t="s">
        <v>32</v>
      </c>
      <c r="H57" s="308">
        <f>T12</f>
        <v>161.7910392</v>
      </c>
      <c r="I57" s="323">
        <f>VLOOKUP(A57,'[1]TAB OGU JUN18'!$A:$G,6,"falso")</f>
        <v>1.85</v>
      </c>
      <c r="J57" s="323">
        <f>VLOOKUP(A57,'[1]TAB OGU JUN18'!$A:$G,4,"falso")</f>
        <v>1.85</v>
      </c>
      <c r="K57" s="308">
        <f>H57*J57</f>
        <v>299.31342252000002</v>
      </c>
      <c r="L57" s="323">
        <f>VLOOKUP(A57,'[1]TAB OGU JUN18'!$A:$G,5,"falso")</f>
        <v>0</v>
      </c>
      <c r="M57" s="308"/>
      <c r="N57" s="308">
        <f>H57*I57</f>
        <v>299.31342252000002</v>
      </c>
      <c r="O57" s="25">
        <f>N57/N59</f>
        <v>1</v>
      </c>
    </row>
    <row r="58" spans="1:15" ht="11.25" customHeight="1" x14ac:dyDescent="0.2">
      <c r="G58" s="52"/>
      <c r="H58" s="324"/>
      <c r="I58" s="313"/>
      <c r="J58" s="313"/>
      <c r="K58" s="313"/>
      <c r="L58" s="313"/>
      <c r="M58" s="313"/>
      <c r="N58" s="313"/>
      <c r="O58" s="19"/>
    </row>
    <row r="59" spans="1:15" ht="11.25" customHeight="1" x14ac:dyDescent="0.2">
      <c r="B59" s="130" t="s">
        <v>18</v>
      </c>
      <c r="C59" s="131"/>
      <c r="D59" s="131"/>
      <c r="E59" s="131"/>
      <c r="F59" s="131"/>
      <c r="G59" s="53"/>
      <c r="H59" s="325"/>
      <c r="I59" s="326"/>
      <c r="J59" s="326"/>
      <c r="K59" s="326"/>
      <c r="L59" s="326"/>
      <c r="M59" s="326"/>
      <c r="N59" s="308">
        <f>N57</f>
        <v>299.31342252000002</v>
      </c>
      <c r="O59" s="25">
        <f>N59/N66</f>
        <v>3.5922762609704221E-3</v>
      </c>
    </row>
    <row r="60" spans="1:15" ht="11.25" customHeight="1" x14ac:dyDescent="0.2">
      <c r="B60" s="130"/>
      <c r="G60" s="52"/>
      <c r="H60" s="324"/>
      <c r="I60" s="313"/>
      <c r="J60" s="313"/>
      <c r="K60" s="313"/>
      <c r="L60" s="313"/>
      <c r="M60" s="313"/>
      <c r="N60" s="308"/>
      <c r="O60" s="25"/>
    </row>
    <row r="61" spans="1:15" ht="11.25" customHeight="1" x14ac:dyDescent="0.2">
      <c r="A61" s="98" t="s">
        <v>114</v>
      </c>
      <c r="B61" s="88" t="s">
        <v>737</v>
      </c>
      <c r="G61" s="52"/>
      <c r="H61" s="324"/>
      <c r="I61" s="313"/>
      <c r="J61" s="313"/>
      <c r="K61" s="313"/>
      <c r="L61" s="313"/>
      <c r="M61" s="313"/>
      <c r="N61" s="313"/>
      <c r="O61" s="19"/>
    </row>
    <row r="62" spans="1:15" ht="11.25" customHeight="1" x14ac:dyDescent="0.2">
      <c r="A62" s="98" t="s">
        <v>115</v>
      </c>
      <c r="B62" s="88" t="s">
        <v>116</v>
      </c>
      <c r="G62" s="97" t="s">
        <v>180</v>
      </c>
      <c r="H62" s="308">
        <f>H57*3</f>
        <v>485.3731176</v>
      </c>
      <c r="I62" s="323">
        <f>VLOOKUP(A62,'[1]TAB OGU JUN18'!$A:$G,6,"falso")</f>
        <v>1</v>
      </c>
      <c r="J62" s="323">
        <f>VLOOKUP(A62,'[1]TAB OGU JUN18'!$A:$G,4,"falso")</f>
        <v>1</v>
      </c>
      <c r="K62" s="308">
        <f>H62*J62</f>
        <v>485.3731176</v>
      </c>
      <c r="L62" s="323">
        <f>VLOOKUP(A62,'[1]TAB OGU JUN18'!$A:$G,5,"falso")</f>
        <v>0</v>
      </c>
      <c r="M62" s="308"/>
      <c r="N62" s="308">
        <f>H62*I62</f>
        <v>485.3731176</v>
      </c>
      <c r="O62" s="25">
        <f>N62/N64</f>
        <v>1</v>
      </c>
    </row>
    <row r="63" spans="1:15" ht="11.25" customHeight="1" x14ac:dyDescent="0.2">
      <c r="G63" s="52"/>
      <c r="H63" s="324"/>
      <c r="I63" s="313"/>
      <c r="J63" s="313"/>
      <c r="K63" s="313"/>
      <c r="L63" s="313"/>
      <c r="M63" s="313"/>
      <c r="N63" s="313"/>
      <c r="O63" s="19"/>
    </row>
    <row r="64" spans="1:15" ht="11.25" customHeight="1" x14ac:dyDescent="0.2">
      <c r="B64" s="130" t="s">
        <v>18</v>
      </c>
      <c r="C64" s="131"/>
      <c r="D64" s="131"/>
      <c r="E64" s="131"/>
      <c r="F64" s="131"/>
      <c r="G64" s="53"/>
      <c r="H64" s="325"/>
      <c r="I64" s="326"/>
      <c r="J64" s="326"/>
      <c r="K64" s="326"/>
      <c r="L64" s="326"/>
      <c r="M64" s="326"/>
      <c r="N64" s="308">
        <f>N62</f>
        <v>485.3731176</v>
      </c>
      <c r="O64" s="25">
        <f>N64/N66</f>
        <v>5.8253128556277111E-3</v>
      </c>
    </row>
    <row r="65" spans="1:17" ht="11.25" customHeight="1" x14ac:dyDescent="0.2">
      <c r="B65" s="130"/>
      <c r="G65" s="52"/>
      <c r="H65" s="324"/>
      <c r="I65" s="313"/>
      <c r="J65" s="313"/>
      <c r="K65" s="313"/>
      <c r="L65" s="313"/>
      <c r="M65" s="313"/>
      <c r="N65" s="308"/>
      <c r="O65" s="25"/>
    </row>
    <row r="66" spans="1:17" s="132" customFormat="1" ht="11.25" customHeight="1" x14ac:dyDescent="0.2">
      <c r="B66" s="133" t="s">
        <v>20</v>
      </c>
      <c r="C66" s="134"/>
      <c r="D66" s="134"/>
      <c r="E66" s="134"/>
      <c r="F66" s="134"/>
      <c r="G66" s="78"/>
      <c r="H66" s="327"/>
      <c r="I66" s="328"/>
      <c r="J66" s="328"/>
      <c r="K66" s="328"/>
      <c r="L66" s="328"/>
      <c r="M66" s="328"/>
      <c r="N66" s="310">
        <f>N64+N59+N54+N48+N42+N36</f>
        <v>83321.381980556005</v>
      </c>
      <c r="O66" s="77">
        <f>N66/N118</f>
        <v>0.49226836224923892</v>
      </c>
    </row>
    <row r="67" spans="1:17" ht="11.25" customHeight="1" x14ac:dyDescent="0.2">
      <c r="B67" s="130"/>
      <c r="G67" s="52"/>
      <c r="H67" s="324"/>
      <c r="I67" s="313"/>
      <c r="J67" s="313"/>
      <c r="K67" s="313"/>
      <c r="L67" s="313"/>
      <c r="M67" s="313"/>
      <c r="N67" s="308"/>
      <c r="O67" s="25"/>
    </row>
    <row r="68" spans="1:17" ht="11.25" customHeight="1" x14ac:dyDescent="0.2">
      <c r="A68" s="129" t="s">
        <v>117</v>
      </c>
      <c r="B68" s="88" t="s">
        <v>22</v>
      </c>
      <c r="H68" s="329"/>
      <c r="I68" s="311"/>
      <c r="J68" s="311"/>
      <c r="K68" s="311"/>
      <c r="L68" s="311"/>
      <c r="M68" s="311"/>
      <c r="N68" s="311"/>
      <c r="O68" s="19"/>
    </row>
    <row r="69" spans="1:17" ht="11.25" customHeight="1" x14ac:dyDescent="0.2">
      <c r="A69" s="129" t="s">
        <v>118</v>
      </c>
      <c r="B69" s="88" t="s">
        <v>23</v>
      </c>
      <c r="H69" s="329"/>
      <c r="I69" s="311"/>
      <c r="J69" s="311"/>
      <c r="K69" s="311"/>
      <c r="L69" s="311"/>
      <c r="M69" s="311"/>
      <c r="N69" s="311"/>
      <c r="O69" s="19"/>
    </row>
    <row r="70" spans="1:17" ht="11.25" customHeight="1" x14ac:dyDescent="0.2">
      <c r="A70" s="129" t="s">
        <v>119</v>
      </c>
      <c r="B70" s="88" t="s">
        <v>120</v>
      </c>
      <c r="G70" s="97" t="s">
        <v>31</v>
      </c>
      <c r="H70" s="308">
        <f>0.95*S6</f>
        <v>1836.9677052</v>
      </c>
      <c r="I70" s="323">
        <f>VLOOKUP(A70,'[1]TAB OGU JUN18'!$A:$G,6,"falso")</f>
        <v>14.81</v>
      </c>
      <c r="J70" s="323">
        <f>VLOOKUP(A70,'[1]TAB OGU JUN18'!$A:$G,4,"falso")</f>
        <v>13.63</v>
      </c>
      <c r="K70" s="308">
        <f>H70*J70</f>
        <v>25037.869821876</v>
      </c>
      <c r="L70" s="323">
        <f>VLOOKUP(A70,'[1]TAB OGU JUN18'!$A:$G,5,"falso")</f>
        <v>1.18</v>
      </c>
      <c r="M70" s="308">
        <f>H70*L70</f>
        <v>2167.621892136</v>
      </c>
      <c r="N70" s="308">
        <f>H70*I70</f>
        <v>27205.491714012001</v>
      </c>
      <c r="O70" s="25">
        <f>N70/N73</f>
        <v>0.92425685662670387</v>
      </c>
    </row>
    <row r="71" spans="1:17" ht="11.25" customHeight="1" x14ac:dyDescent="0.2">
      <c r="A71" s="129" t="s">
        <v>224</v>
      </c>
      <c r="B71" s="88" t="s">
        <v>225</v>
      </c>
      <c r="G71" s="97" t="s">
        <v>31</v>
      </c>
      <c r="H71" s="308">
        <f>0.05*S6</f>
        <v>96.682510800000003</v>
      </c>
      <c r="I71" s="323">
        <f>VLOOKUP(A71,'[1]TAB OGU JUN18'!$A:$G,6,"falso")</f>
        <v>23.06</v>
      </c>
      <c r="J71" s="323">
        <f>VLOOKUP(A71,'[1]TAB OGU JUN18'!$A:$G,4,"falso")</f>
        <v>22.37</v>
      </c>
      <c r="K71" s="308">
        <f>H71*J71</f>
        <v>2162.787766596</v>
      </c>
      <c r="L71" s="323">
        <f>VLOOKUP(A71,'[1]TAB OGU JUN18'!$A:$G,5,"falso")-0.01</f>
        <v>0.67999999999999994</v>
      </c>
      <c r="M71" s="308">
        <f>H71*L71</f>
        <v>65.744107344</v>
      </c>
      <c r="N71" s="308">
        <f>H71*I71</f>
        <v>2229.4986990480002</v>
      </c>
      <c r="O71" s="25">
        <f>N71/N73</f>
        <v>7.5743143373296115E-2</v>
      </c>
    </row>
    <row r="72" spans="1:17" ht="11.25" customHeight="1" x14ac:dyDescent="0.2">
      <c r="B72" s="130"/>
      <c r="G72" s="52"/>
      <c r="H72" s="324"/>
      <c r="I72" s="313"/>
      <c r="J72" s="313"/>
      <c r="K72" s="313"/>
      <c r="L72" s="313"/>
      <c r="M72" s="313"/>
      <c r="N72" s="308"/>
      <c r="O72" s="25"/>
    </row>
    <row r="73" spans="1:17" ht="11.25" customHeight="1" x14ac:dyDescent="0.2">
      <c r="B73" s="130" t="s">
        <v>18</v>
      </c>
      <c r="C73" s="131"/>
      <c r="D73" s="131"/>
      <c r="E73" s="131"/>
      <c r="F73" s="131"/>
      <c r="G73" s="53"/>
      <c r="H73" s="325"/>
      <c r="I73" s="326"/>
      <c r="J73" s="326"/>
      <c r="K73" s="326"/>
      <c r="L73" s="326"/>
      <c r="M73" s="326"/>
      <c r="N73" s="308">
        <f>N70+N71</f>
        <v>29434.990413060001</v>
      </c>
      <c r="O73" s="25">
        <f>N73/N80</f>
        <v>1</v>
      </c>
    </row>
    <row r="74" spans="1:17" ht="12.75" hidden="1" x14ac:dyDescent="0.2">
      <c r="B74" s="130"/>
      <c r="G74" s="52"/>
      <c r="H74" s="324"/>
      <c r="I74" s="324"/>
      <c r="J74" s="313"/>
      <c r="K74" s="313"/>
      <c r="L74" s="313"/>
      <c r="M74" s="313"/>
      <c r="N74" s="308"/>
      <c r="O74" s="25"/>
      <c r="Q74" s="311"/>
    </row>
    <row r="75" spans="1:17" ht="12.75" hidden="1" x14ac:dyDescent="0.2">
      <c r="A75" s="129" t="s">
        <v>304</v>
      </c>
      <c r="B75" s="88" t="s">
        <v>305</v>
      </c>
      <c r="H75" s="329"/>
      <c r="I75" s="329"/>
      <c r="J75" s="311"/>
      <c r="K75" s="311"/>
      <c r="L75" s="311"/>
      <c r="M75" s="311"/>
      <c r="N75" s="311"/>
      <c r="O75" s="19"/>
      <c r="Q75" s="311"/>
    </row>
    <row r="76" spans="1:17" ht="12.75" hidden="1" x14ac:dyDescent="0.2">
      <c r="A76" s="129" t="s">
        <v>306</v>
      </c>
      <c r="B76" s="88" t="s">
        <v>307</v>
      </c>
      <c r="G76" s="97" t="s">
        <v>31</v>
      </c>
      <c r="H76" s="308"/>
      <c r="I76" s="323">
        <f>VLOOKUP(A76,'[1]TAB OGU JUN18'!$A:$G,6,"falso")</f>
        <v>144.25</v>
      </c>
      <c r="J76" s="323">
        <f>VLOOKUP(A76,'[1]TAB OGU JUN18'!$A:$G,4,"falso")</f>
        <v>134.15</v>
      </c>
      <c r="K76" s="308">
        <f>H76*J76</f>
        <v>0</v>
      </c>
      <c r="L76" s="323">
        <f>VLOOKUP(A76,'[1]TAB OGU JUN18'!$A:$G,5,"falso")</f>
        <v>10.1</v>
      </c>
      <c r="M76" s="308">
        <f>H76*L76</f>
        <v>0</v>
      </c>
      <c r="N76" s="308">
        <f>H76*I76</f>
        <v>0</v>
      </c>
      <c r="O76" s="25" t="e">
        <f>N76/N78</f>
        <v>#DIV/0!</v>
      </c>
      <c r="Q76" s="311"/>
    </row>
    <row r="77" spans="1:17" ht="12.75" hidden="1" x14ac:dyDescent="0.2">
      <c r="B77" s="130"/>
      <c r="G77" s="52"/>
      <c r="H77" s="324"/>
      <c r="I77" s="324"/>
      <c r="J77" s="313"/>
      <c r="K77" s="313"/>
      <c r="L77" s="313"/>
      <c r="M77" s="313"/>
      <c r="N77" s="308"/>
      <c r="O77" s="25"/>
      <c r="Q77" s="311"/>
    </row>
    <row r="78" spans="1:17" ht="12.75" hidden="1" x14ac:dyDescent="0.2">
      <c r="B78" s="130" t="s">
        <v>18</v>
      </c>
      <c r="C78" s="131"/>
      <c r="D78" s="131"/>
      <c r="E78" s="131"/>
      <c r="F78" s="131"/>
      <c r="G78" s="53"/>
      <c r="H78" s="325"/>
      <c r="I78" s="325"/>
      <c r="J78" s="326"/>
      <c r="K78" s="326"/>
      <c r="L78" s="326"/>
      <c r="M78" s="326"/>
      <c r="N78" s="308">
        <f>N76</f>
        <v>0</v>
      </c>
      <c r="O78" s="25">
        <f>N78/N80</f>
        <v>0</v>
      </c>
      <c r="Q78" s="311"/>
    </row>
    <row r="79" spans="1:17" ht="11.25" customHeight="1" x14ac:dyDescent="0.2">
      <c r="B79" s="130"/>
      <c r="G79" s="52"/>
      <c r="H79" s="324"/>
      <c r="I79" s="313"/>
      <c r="J79" s="313"/>
      <c r="K79" s="313"/>
      <c r="L79" s="313"/>
      <c r="M79" s="313"/>
      <c r="N79" s="308"/>
      <c r="O79" s="25"/>
    </row>
    <row r="80" spans="1:17" s="132" customFormat="1" ht="11.25" customHeight="1" x14ac:dyDescent="0.2">
      <c r="B80" s="133" t="s">
        <v>20</v>
      </c>
      <c r="C80" s="134"/>
      <c r="D80" s="134"/>
      <c r="E80" s="134"/>
      <c r="F80" s="134"/>
      <c r="G80" s="78"/>
      <c r="H80" s="327"/>
      <c r="I80" s="328"/>
      <c r="J80" s="328"/>
      <c r="K80" s="328"/>
      <c r="L80" s="328"/>
      <c r="M80" s="328"/>
      <c r="N80" s="310">
        <f>N73+N78</f>
        <v>29434.990413060001</v>
      </c>
      <c r="O80" s="77">
        <f>N80/N118</f>
        <v>0.17390391492594881</v>
      </c>
    </row>
    <row r="81" spans="1:17" ht="11.25" customHeight="1" x14ac:dyDescent="0.2">
      <c r="B81" s="130"/>
      <c r="G81" s="52"/>
      <c r="H81" s="324"/>
      <c r="I81" s="313"/>
      <c r="J81" s="313"/>
      <c r="K81" s="313"/>
      <c r="L81" s="313"/>
      <c r="M81" s="313"/>
      <c r="N81" s="308"/>
      <c r="O81" s="25"/>
    </row>
    <row r="82" spans="1:17" ht="11.25" customHeight="1" x14ac:dyDescent="0.2">
      <c r="A82" s="129" t="s">
        <v>124</v>
      </c>
      <c r="B82" s="88" t="s">
        <v>121</v>
      </c>
      <c r="H82" s="329"/>
      <c r="I82" s="311"/>
      <c r="J82" s="311"/>
      <c r="K82" s="311"/>
      <c r="L82" s="311"/>
      <c r="M82" s="311"/>
      <c r="N82" s="311"/>
      <c r="O82" s="19"/>
    </row>
    <row r="83" spans="1:17" ht="11.25" customHeight="1" x14ac:dyDescent="0.2">
      <c r="A83" s="129" t="s">
        <v>125</v>
      </c>
      <c r="B83" s="88" t="s">
        <v>122</v>
      </c>
      <c r="H83" s="329"/>
      <c r="I83" s="311"/>
      <c r="J83" s="311"/>
      <c r="K83" s="311"/>
      <c r="L83" s="311"/>
      <c r="M83" s="311"/>
      <c r="N83" s="311"/>
      <c r="O83" s="19"/>
    </row>
    <row r="84" spans="1:17" ht="11.25" customHeight="1" x14ac:dyDescent="0.2">
      <c r="A84" s="129" t="s">
        <v>126</v>
      </c>
      <c r="B84" s="88" t="s">
        <v>189</v>
      </c>
      <c r="G84" s="97" t="s">
        <v>123</v>
      </c>
      <c r="H84" s="308">
        <f>((H14*R6*Q6)*0.06*1000)/20000</f>
        <v>9.9596024971279871</v>
      </c>
      <c r="I84" s="323">
        <f>VLOOKUP(A84,'[1]TAB OGU JUN18'!$A:$G,6,"falso")</f>
        <v>5.52</v>
      </c>
      <c r="J84" s="323">
        <f>VLOOKUP(A84,'[1]TAB OGU JUN18'!$A:$G,4,"falso")</f>
        <v>5.52</v>
      </c>
      <c r="K84" s="308">
        <f>H84*J84</f>
        <v>54.977005784146485</v>
      </c>
      <c r="L84" s="323">
        <f>VLOOKUP(A84,'[1]TAB OGU JUN18'!$A:$G,5,"falso")</f>
        <v>0</v>
      </c>
      <c r="M84" s="308"/>
      <c r="N84" s="308">
        <f>H84*I84</f>
        <v>54.977005784146485</v>
      </c>
      <c r="O84" s="25">
        <f>N84/N86</f>
        <v>1</v>
      </c>
    </row>
    <row r="85" spans="1:17" ht="11.25" customHeight="1" x14ac:dyDescent="0.2">
      <c r="B85" s="130"/>
      <c r="G85" s="52"/>
      <c r="H85" s="324"/>
      <c r="I85" s="313"/>
      <c r="J85" s="313"/>
      <c r="K85" s="313"/>
      <c r="L85" s="313"/>
      <c r="M85" s="313"/>
      <c r="N85" s="308"/>
      <c r="O85" s="25"/>
    </row>
    <row r="86" spans="1:17" ht="11.25" customHeight="1" x14ac:dyDescent="0.2">
      <c r="B86" s="130" t="s">
        <v>18</v>
      </c>
      <c r="C86" s="131"/>
      <c r="D86" s="131"/>
      <c r="E86" s="131"/>
      <c r="F86" s="131"/>
      <c r="G86" s="53"/>
      <c r="H86" s="325"/>
      <c r="I86" s="326"/>
      <c r="J86" s="326"/>
      <c r="K86" s="326"/>
      <c r="L86" s="326"/>
      <c r="M86" s="326"/>
      <c r="N86" s="308">
        <f>N84</f>
        <v>54.977005784146485</v>
      </c>
      <c r="O86" s="25">
        <f>N86/N88</f>
        <v>1</v>
      </c>
    </row>
    <row r="87" spans="1:17" ht="11.25" customHeight="1" x14ac:dyDescent="0.2">
      <c r="B87" s="130"/>
      <c r="G87" s="52"/>
      <c r="H87" s="324"/>
      <c r="I87" s="313"/>
      <c r="J87" s="313"/>
      <c r="K87" s="313"/>
      <c r="L87" s="313"/>
      <c r="M87" s="313"/>
      <c r="N87" s="308"/>
      <c r="O87" s="25"/>
    </row>
    <row r="88" spans="1:17" s="132" customFormat="1" ht="11.25" customHeight="1" x14ac:dyDescent="0.2">
      <c r="B88" s="133" t="s">
        <v>20</v>
      </c>
      <c r="C88" s="134"/>
      <c r="D88" s="134"/>
      <c r="E88" s="134"/>
      <c r="F88" s="134"/>
      <c r="G88" s="78"/>
      <c r="H88" s="327"/>
      <c r="I88" s="328"/>
      <c r="J88" s="328"/>
      <c r="K88" s="328"/>
      <c r="L88" s="328"/>
      <c r="M88" s="328"/>
      <c r="N88" s="310">
        <f>N86</f>
        <v>54.977005784146485</v>
      </c>
      <c r="O88" s="77">
        <f>N88/N118</f>
        <v>3.2480786990600187E-4</v>
      </c>
    </row>
    <row r="89" spans="1:17" ht="11.25" customHeight="1" x14ac:dyDescent="0.2">
      <c r="B89" s="130"/>
      <c r="G89" s="52"/>
      <c r="H89" s="324"/>
      <c r="I89" s="313"/>
      <c r="J89" s="313"/>
      <c r="K89" s="313"/>
      <c r="L89" s="313"/>
      <c r="M89" s="313"/>
      <c r="N89" s="308"/>
      <c r="O89" s="25"/>
    </row>
    <row r="90" spans="1:17" ht="11.25" customHeight="1" x14ac:dyDescent="0.2">
      <c r="A90" s="129" t="s">
        <v>127</v>
      </c>
      <c r="B90" s="88" t="s">
        <v>130</v>
      </c>
      <c r="H90" s="329"/>
      <c r="I90" s="311"/>
      <c r="J90" s="311"/>
      <c r="K90" s="311"/>
      <c r="L90" s="311"/>
      <c r="M90" s="311"/>
      <c r="N90" s="311"/>
      <c r="O90" s="19"/>
    </row>
    <row r="91" spans="1:17" ht="11.25" customHeight="1" x14ac:dyDescent="0.2">
      <c r="A91" s="129" t="s">
        <v>128</v>
      </c>
      <c r="B91" s="88" t="s">
        <v>131</v>
      </c>
      <c r="H91" s="329"/>
      <c r="I91" s="311"/>
      <c r="J91" s="311"/>
      <c r="K91" s="311"/>
      <c r="L91" s="311"/>
      <c r="M91" s="311"/>
      <c r="N91" s="311"/>
      <c r="O91" s="19"/>
    </row>
    <row r="92" spans="1:17" ht="11.25" customHeight="1" x14ac:dyDescent="0.2">
      <c r="A92" s="129" t="s">
        <v>129</v>
      </c>
      <c r="B92" s="88" t="s">
        <v>132</v>
      </c>
      <c r="G92" s="97" t="s">
        <v>17</v>
      </c>
      <c r="H92" s="308">
        <f>H14-H93</f>
        <v>1873.76</v>
      </c>
      <c r="I92" s="323">
        <f>VLOOKUP(A92,'[1]TAB OGU JUN18'!$A:$G,6,"falso")</f>
        <v>2.64</v>
      </c>
      <c r="J92" s="323">
        <f>VLOOKUP(A92,'[1]TAB OGU JUN18'!$A:$G,4,"falso")</f>
        <v>2.56</v>
      </c>
      <c r="K92" s="308">
        <f>H92*J92</f>
        <v>4796.8256000000001</v>
      </c>
      <c r="L92" s="323">
        <f>VLOOKUP(A92,'[1]TAB OGU JUN18'!$A:$G,5,"falso")</f>
        <v>0.08</v>
      </c>
      <c r="M92" s="308">
        <f>H92*L92</f>
        <v>149.9008</v>
      </c>
      <c r="N92" s="308">
        <f>H92*I92</f>
        <v>4946.7264000000005</v>
      </c>
      <c r="O92" s="25">
        <f>N92/$N$95</f>
        <v>1</v>
      </c>
    </row>
    <row r="93" spans="1:17" ht="12.75" hidden="1" x14ac:dyDescent="0.2">
      <c r="A93" s="129" t="s">
        <v>207</v>
      </c>
      <c r="B93" s="88" t="s">
        <v>206</v>
      </c>
      <c r="G93" s="97" t="s">
        <v>17</v>
      </c>
      <c r="H93" s="308">
        <v>0</v>
      </c>
      <c r="I93" s="323">
        <f>VLOOKUP(A93,'[1]TAB OGU JUN18'!$A:$G,6,"falso")</f>
        <v>3.14</v>
      </c>
      <c r="J93" s="323">
        <f>VLOOKUP(A93,'[1]TAB OGU JUN18'!$A:$G,4,"falso")</f>
        <v>3.01</v>
      </c>
      <c r="K93" s="308">
        <f>H93*J93</f>
        <v>0</v>
      </c>
      <c r="L93" s="323">
        <f>VLOOKUP(A93,'[1]TAB OGU JUN18'!$A:$G,5,"falso")</f>
        <v>0.13</v>
      </c>
      <c r="M93" s="308">
        <f>H93*L93</f>
        <v>0</v>
      </c>
      <c r="N93" s="308">
        <f>H93*I93</f>
        <v>0</v>
      </c>
      <c r="O93" s="25">
        <f>N93/$N$95</f>
        <v>0</v>
      </c>
      <c r="Q93" s="311"/>
    </row>
    <row r="94" spans="1:17" ht="11.25" customHeight="1" x14ac:dyDescent="0.2">
      <c r="B94" s="130"/>
      <c r="G94" s="52"/>
      <c r="H94" s="324"/>
      <c r="I94" s="313"/>
      <c r="J94" s="313"/>
      <c r="K94" s="313"/>
      <c r="L94" s="313"/>
      <c r="M94" s="313"/>
      <c r="N94" s="308"/>
      <c r="O94" s="25"/>
    </row>
    <row r="95" spans="1:17" ht="11.25" customHeight="1" x14ac:dyDescent="0.2">
      <c r="B95" s="130" t="s">
        <v>18</v>
      </c>
      <c r="C95" s="131"/>
      <c r="D95" s="131"/>
      <c r="E95" s="131"/>
      <c r="F95" s="131"/>
      <c r="G95" s="53"/>
      <c r="H95" s="325"/>
      <c r="I95" s="326"/>
      <c r="J95" s="326"/>
      <c r="K95" s="326"/>
      <c r="L95" s="326"/>
      <c r="M95" s="326"/>
      <c r="N95" s="308">
        <f>SUM(N92:N93)</f>
        <v>4946.7264000000005</v>
      </c>
      <c r="O95" s="25">
        <f>N95/N108</f>
        <v>9.7937697357912773E-2</v>
      </c>
    </row>
    <row r="96" spans="1:17" ht="11.25" customHeight="1" x14ac:dyDescent="0.2">
      <c r="B96" s="130"/>
      <c r="G96" s="52"/>
      <c r="H96" s="324"/>
      <c r="I96" s="313"/>
      <c r="J96" s="313"/>
      <c r="K96" s="313"/>
      <c r="L96" s="313"/>
      <c r="M96" s="313"/>
      <c r="N96" s="308"/>
      <c r="O96" s="25"/>
    </row>
    <row r="97" spans="1:15" ht="11.25" customHeight="1" x14ac:dyDescent="0.2">
      <c r="A97" s="98" t="s">
        <v>139</v>
      </c>
      <c r="B97" s="88" t="s">
        <v>142</v>
      </c>
      <c r="G97" s="97"/>
      <c r="H97" s="308"/>
      <c r="I97" s="308"/>
      <c r="J97" s="308"/>
      <c r="K97" s="308"/>
      <c r="L97" s="308"/>
      <c r="M97" s="308"/>
      <c r="N97" s="308"/>
      <c r="O97" s="25"/>
    </row>
    <row r="98" spans="1:15" ht="11.25" customHeight="1" x14ac:dyDescent="0.2">
      <c r="A98" s="98" t="s">
        <v>140</v>
      </c>
      <c r="B98" s="88" t="s">
        <v>143</v>
      </c>
      <c r="G98" s="97" t="s">
        <v>24</v>
      </c>
      <c r="H98" s="308">
        <f>U6</f>
        <v>30</v>
      </c>
      <c r="I98" s="323">
        <f>VLOOKUP(A98,'[1]TAB OGU JUN18'!$A:$G,6,"falso")</f>
        <v>466.82</v>
      </c>
      <c r="J98" s="323">
        <f>VLOOKUP(A98,'[1]TAB OGU JUN18'!$A:$G,4,"falso")</f>
        <v>143.97</v>
      </c>
      <c r="K98" s="308">
        <f>H98*J98</f>
        <v>4319.1000000000004</v>
      </c>
      <c r="L98" s="323">
        <f>VLOOKUP(A98,'[1]TAB OGU JUN18'!$A:$G,5,"falso")</f>
        <v>322.85000000000002</v>
      </c>
      <c r="M98" s="308">
        <f>H98*L98</f>
        <v>9685.5</v>
      </c>
      <c r="N98" s="308">
        <f>H98*I98</f>
        <v>14004.6</v>
      </c>
      <c r="O98" s="25">
        <f>N98/N101</f>
        <v>0.55503851731795584</v>
      </c>
    </row>
    <row r="99" spans="1:15" ht="11.25" customHeight="1" x14ac:dyDescent="0.2">
      <c r="A99" s="98" t="s">
        <v>141</v>
      </c>
      <c r="B99" s="88" t="s">
        <v>144</v>
      </c>
      <c r="G99" s="97" t="s">
        <v>17</v>
      </c>
      <c r="H99" s="308">
        <f>(Q6-1.1)*H98</f>
        <v>44.397193984288279</v>
      </c>
      <c r="I99" s="323">
        <f>VLOOKUP(A99,'[1]TAB OGU JUN18'!$A:$G,6,"falso")</f>
        <v>252.88</v>
      </c>
      <c r="J99" s="323">
        <f>VLOOKUP(A99,'[1]TAB OGU JUN18'!$A:$G,4,"falso")</f>
        <v>47.83</v>
      </c>
      <c r="K99" s="308">
        <f>H99*J99</f>
        <v>2123.5177882685084</v>
      </c>
      <c r="L99" s="323">
        <f>VLOOKUP(A99,'[1]TAB OGU JUN18'!$A:$G,5,"falso")</f>
        <v>205.05</v>
      </c>
      <c r="M99" s="308">
        <f>H99*L99</f>
        <v>9103.6446264783117</v>
      </c>
      <c r="N99" s="308">
        <f>H99*I99</f>
        <v>11227.162414746819</v>
      </c>
      <c r="O99" s="25">
        <f>N99/N101</f>
        <v>0.44496148268204416</v>
      </c>
    </row>
    <row r="100" spans="1:15" ht="11.25" customHeight="1" x14ac:dyDescent="0.2">
      <c r="B100" s="130"/>
      <c r="G100" s="52"/>
      <c r="H100" s="324"/>
      <c r="I100" s="313"/>
      <c r="J100" s="313"/>
      <c r="K100" s="313"/>
      <c r="L100" s="313"/>
      <c r="M100" s="313"/>
      <c r="N100" s="308"/>
      <c r="O100" s="25"/>
    </row>
    <row r="101" spans="1:15" ht="11.25" customHeight="1" x14ac:dyDescent="0.2">
      <c r="B101" s="130" t="s">
        <v>18</v>
      </c>
      <c r="C101" s="131"/>
      <c r="D101" s="131"/>
      <c r="E101" s="131"/>
      <c r="F101" s="131"/>
      <c r="G101" s="53"/>
      <c r="H101" s="325"/>
      <c r="I101" s="326"/>
      <c r="J101" s="326"/>
      <c r="K101" s="326"/>
      <c r="L101" s="326"/>
      <c r="M101" s="326"/>
      <c r="N101" s="308">
        <f>N99+N98</f>
        <v>25231.76241474682</v>
      </c>
      <c r="O101" s="25">
        <f>N101/N108</f>
        <v>0.49955071523305433</v>
      </c>
    </row>
    <row r="102" spans="1:15" ht="11.25" customHeight="1" x14ac:dyDescent="0.2">
      <c r="B102" s="130"/>
      <c r="G102" s="52"/>
      <c r="H102" s="324"/>
      <c r="I102" s="313"/>
      <c r="J102" s="313"/>
      <c r="K102" s="313"/>
      <c r="L102" s="313"/>
      <c r="M102" s="313"/>
      <c r="N102" s="308"/>
      <c r="O102" s="25"/>
    </row>
    <row r="103" spans="1:15" ht="11.25" customHeight="1" x14ac:dyDescent="0.2">
      <c r="A103" s="129" t="s">
        <v>145</v>
      </c>
      <c r="B103" s="88" t="s">
        <v>26</v>
      </c>
      <c r="H103" s="329"/>
      <c r="I103" s="311"/>
      <c r="J103" s="311"/>
      <c r="K103" s="311"/>
      <c r="L103" s="311"/>
      <c r="M103" s="311"/>
      <c r="N103" s="311"/>
      <c r="O103" s="19"/>
    </row>
    <row r="104" spans="1:15" ht="11.25" customHeight="1" x14ac:dyDescent="0.2">
      <c r="A104" s="129" t="s">
        <v>146</v>
      </c>
      <c r="B104" s="88" t="s">
        <v>147</v>
      </c>
      <c r="G104" s="97" t="s">
        <v>32</v>
      </c>
      <c r="H104" s="308">
        <f>H14*R6*0.1</f>
        <v>128.68169999999998</v>
      </c>
      <c r="I104" s="323">
        <f>VLOOKUP(A104,'[1]TAB OGU JUN18'!$A:$G,6,"falso")</f>
        <v>157.99</v>
      </c>
      <c r="J104" s="323">
        <f>VLOOKUP(A104,'[1]TAB OGU JUN18'!$A:$G,4,"falso")</f>
        <v>39.5</v>
      </c>
      <c r="K104" s="308">
        <f>H104*J104</f>
        <v>5082.9271499999995</v>
      </c>
      <c r="L104" s="323">
        <f>VLOOKUP(A104,'[1]TAB OGU JUN18'!$A:$G,5,"falso")</f>
        <v>118.49</v>
      </c>
      <c r="M104" s="308">
        <f>H104*L104</f>
        <v>15247.494632999997</v>
      </c>
      <c r="N104" s="308">
        <f>H104*I104</f>
        <v>20330.421782999998</v>
      </c>
      <c r="O104" s="25">
        <f>N104/N106</f>
        <v>1</v>
      </c>
    </row>
    <row r="105" spans="1:15" ht="11.25" customHeight="1" x14ac:dyDescent="0.2">
      <c r="B105" s="130"/>
      <c r="G105" s="52"/>
      <c r="H105" s="324"/>
      <c r="I105" s="313"/>
      <c r="J105" s="313"/>
      <c r="K105" s="313"/>
      <c r="L105" s="313"/>
      <c r="M105" s="313"/>
      <c r="N105" s="308"/>
      <c r="O105" s="25"/>
    </row>
    <row r="106" spans="1:15" ht="11.25" customHeight="1" x14ac:dyDescent="0.2">
      <c r="B106" s="130" t="s">
        <v>18</v>
      </c>
      <c r="C106" s="131"/>
      <c r="D106" s="131"/>
      <c r="E106" s="131"/>
      <c r="F106" s="131"/>
      <c r="G106" s="53"/>
      <c r="H106" s="325"/>
      <c r="I106" s="326"/>
      <c r="J106" s="326"/>
      <c r="K106" s="326"/>
      <c r="L106" s="326"/>
      <c r="M106" s="326"/>
      <c r="N106" s="308">
        <f>N104</f>
        <v>20330.421782999998</v>
      </c>
      <c r="O106" s="25">
        <f>N106/N108</f>
        <v>0.40251158740903298</v>
      </c>
    </row>
    <row r="107" spans="1:15" ht="11.25" customHeight="1" x14ac:dyDescent="0.2">
      <c r="B107" s="130"/>
      <c r="G107" s="52"/>
      <c r="H107" s="324"/>
      <c r="I107" s="313"/>
      <c r="J107" s="313"/>
      <c r="K107" s="313"/>
      <c r="L107" s="313"/>
      <c r="M107" s="313"/>
      <c r="N107" s="308"/>
      <c r="O107" s="25"/>
    </row>
    <row r="108" spans="1:15" s="132" customFormat="1" ht="11.25" customHeight="1" x14ac:dyDescent="0.2">
      <c r="B108" s="133" t="s">
        <v>20</v>
      </c>
      <c r="C108" s="134"/>
      <c r="D108" s="134"/>
      <c r="E108" s="134"/>
      <c r="F108" s="134"/>
      <c r="G108" s="78"/>
      <c r="H108" s="327"/>
      <c r="I108" s="328"/>
      <c r="J108" s="328"/>
      <c r="K108" s="328"/>
      <c r="L108" s="328"/>
      <c r="M108" s="328"/>
      <c r="N108" s="310">
        <f>N106+N101+N95</f>
        <v>50508.910597746813</v>
      </c>
      <c r="O108" s="77">
        <f>N108/N118</f>
        <v>0.29841006123432201</v>
      </c>
    </row>
    <row r="109" spans="1:15" ht="11.25" customHeight="1" x14ac:dyDescent="0.2">
      <c r="B109" s="130"/>
      <c r="G109" s="52"/>
      <c r="H109" s="324"/>
      <c r="I109" s="313"/>
      <c r="J109" s="313"/>
      <c r="K109" s="313"/>
      <c r="L109" s="313"/>
      <c r="M109" s="313"/>
      <c r="N109" s="308"/>
      <c r="O109" s="25"/>
    </row>
    <row r="110" spans="1:15" ht="11.25" customHeight="1" x14ac:dyDescent="0.2">
      <c r="A110" s="98" t="s">
        <v>169</v>
      </c>
      <c r="B110" s="88" t="s">
        <v>172</v>
      </c>
      <c r="G110" s="97"/>
      <c r="H110" s="308"/>
      <c r="I110" s="308"/>
      <c r="J110" s="308"/>
      <c r="K110" s="308"/>
      <c r="L110" s="308"/>
      <c r="M110" s="308"/>
      <c r="N110" s="308"/>
      <c r="O110" s="25"/>
    </row>
    <row r="111" spans="1:15" ht="11.25" customHeight="1" x14ac:dyDescent="0.2">
      <c r="A111" s="98" t="s">
        <v>170</v>
      </c>
      <c r="B111" s="88" t="s">
        <v>173</v>
      </c>
      <c r="G111" s="97"/>
      <c r="H111" s="308"/>
      <c r="I111" s="308"/>
      <c r="J111" s="308"/>
      <c r="K111" s="308"/>
      <c r="L111" s="308"/>
      <c r="M111" s="308"/>
      <c r="N111" s="308"/>
      <c r="O111" s="25"/>
    </row>
    <row r="112" spans="1:15" ht="11.25" customHeight="1" x14ac:dyDescent="0.2">
      <c r="A112" s="98" t="s">
        <v>171</v>
      </c>
      <c r="B112" s="88" t="s">
        <v>174</v>
      </c>
      <c r="G112" s="97" t="s">
        <v>17</v>
      </c>
      <c r="H112" s="308">
        <f>H14</f>
        <v>1873.76</v>
      </c>
      <c r="I112" s="323">
        <f>VLOOKUP(A112,'[1]TAB OGU JUN18'!$A:$G,6,"falso")</f>
        <v>1.31</v>
      </c>
      <c r="J112" s="323">
        <f>VLOOKUP(A112,'[1]TAB OGU JUN18'!$A:$G,4,"falso")</f>
        <v>1.1399999999999999</v>
      </c>
      <c r="K112" s="308">
        <f>H112*J112</f>
        <v>2136.0863999999997</v>
      </c>
      <c r="L112" s="323">
        <f>VLOOKUP(A112,'[1]TAB OGU JUN18'!$A:$G,5,"falso")</f>
        <v>0.17</v>
      </c>
      <c r="M112" s="308">
        <f>H112*L112</f>
        <v>318.53919999999999</v>
      </c>
      <c r="N112" s="308">
        <f>H112*I112</f>
        <v>2454.6256000000003</v>
      </c>
      <c r="O112" s="25">
        <f>N112/N114</f>
        <v>1</v>
      </c>
    </row>
    <row r="113" spans="1:16" ht="11.25" customHeight="1" x14ac:dyDescent="0.2">
      <c r="B113" s="130"/>
      <c r="G113" s="52"/>
      <c r="H113" s="324"/>
      <c r="I113" s="313"/>
      <c r="J113" s="313"/>
      <c r="K113" s="313"/>
      <c r="L113" s="313"/>
      <c r="M113" s="313"/>
      <c r="N113" s="308"/>
      <c r="O113" s="25"/>
    </row>
    <row r="114" spans="1:16" ht="11.25" customHeight="1" x14ac:dyDescent="0.2">
      <c r="B114" s="130" t="s">
        <v>18</v>
      </c>
      <c r="C114" s="131"/>
      <c r="D114" s="131"/>
      <c r="E114" s="131"/>
      <c r="F114" s="131"/>
      <c r="G114" s="53"/>
      <c r="H114" s="325"/>
      <c r="I114" s="326"/>
      <c r="J114" s="326"/>
      <c r="K114" s="326"/>
      <c r="L114" s="326"/>
      <c r="M114" s="326"/>
      <c r="N114" s="308">
        <f>N112</f>
        <v>2454.6256000000003</v>
      </c>
      <c r="O114" s="25">
        <f>N114/N116</f>
        <v>1</v>
      </c>
    </row>
    <row r="115" spans="1:16" ht="11.25" customHeight="1" x14ac:dyDescent="0.2">
      <c r="A115" s="98"/>
      <c r="B115" s="88"/>
      <c r="G115" s="97"/>
      <c r="H115" s="308"/>
      <c r="I115" s="308"/>
      <c r="J115" s="308"/>
      <c r="K115" s="308"/>
      <c r="L115" s="308"/>
      <c r="M115" s="308"/>
      <c r="N115" s="308"/>
      <c r="O115" s="25"/>
    </row>
    <row r="116" spans="1:16" s="132" customFormat="1" ht="11.25" customHeight="1" x14ac:dyDescent="0.2">
      <c r="A116" s="145"/>
      <c r="B116" s="133" t="s">
        <v>20</v>
      </c>
      <c r="C116" s="134"/>
      <c r="D116" s="134"/>
      <c r="E116" s="134"/>
      <c r="F116" s="134"/>
      <c r="G116" s="78"/>
      <c r="H116" s="327"/>
      <c r="I116" s="328"/>
      <c r="J116" s="328"/>
      <c r="K116" s="328"/>
      <c r="L116" s="328"/>
      <c r="M116" s="328"/>
      <c r="N116" s="310">
        <f>N114</f>
        <v>2454.6256000000003</v>
      </c>
      <c r="O116" s="77">
        <f>N116/N118</f>
        <v>1.4502094124279339E-2</v>
      </c>
    </row>
    <row r="117" spans="1:16" ht="6.75" customHeight="1" x14ac:dyDescent="0.2">
      <c r="A117" s="98"/>
      <c r="B117" s="88"/>
      <c r="G117" s="97"/>
      <c r="H117" s="308"/>
      <c r="I117" s="308"/>
      <c r="J117" s="308"/>
      <c r="K117" s="308"/>
      <c r="L117" s="308"/>
      <c r="M117" s="308"/>
      <c r="N117" s="308"/>
      <c r="O117" s="25"/>
    </row>
    <row r="118" spans="1:16" ht="12" customHeight="1" x14ac:dyDescent="0.2">
      <c r="A118" s="146"/>
      <c r="B118" s="147" t="s">
        <v>30</v>
      </c>
      <c r="C118" s="146"/>
      <c r="D118" s="146"/>
      <c r="E118" s="146"/>
      <c r="F118" s="146"/>
      <c r="G118" s="146"/>
      <c r="H118" s="342"/>
      <c r="I118" s="345"/>
      <c r="J118" s="345"/>
      <c r="K118" s="275">
        <f>SUM(K12:K117)</f>
        <v>131808.63831308065</v>
      </c>
      <c r="L118" s="275"/>
      <c r="M118" s="275">
        <f>SUM(M12:M117)</f>
        <v>37450.474058958309</v>
      </c>
      <c r="N118" s="343">
        <f>N116+N108+N88+N80+N66+N29</f>
        <v>169260.07919714696</v>
      </c>
      <c r="O118" s="322"/>
      <c r="P118" s="149"/>
    </row>
    <row r="119" spans="1:16" ht="4.5" customHeight="1" x14ac:dyDescent="0.2">
      <c r="A119" s="98"/>
      <c r="B119" s="88"/>
      <c r="G119" s="97"/>
      <c r="H119" s="308"/>
      <c r="I119" s="308"/>
      <c r="J119" s="308"/>
      <c r="K119" s="308"/>
      <c r="L119" s="308"/>
      <c r="M119" s="308"/>
      <c r="N119" s="308"/>
      <c r="O119" s="25"/>
    </row>
    <row r="120" spans="1:16" ht="12" customHeight="1" x14ac:dyDescent="0.2">
      <c r="A120" s="146"/>
      <c r="B120" s="147" t="s">
        <v>265</v>
      </c>
      <c r="C120" s="146"/>
      <c r="D120" s="146"/>
      <c r="E120" s="146"/>
      <c r="F120" s="146"/>
      <c r="G120" s="146"/>
      <c r="H120" s="342"/>
      <c r="I120" s="342"/>
      <c r="J120" s="342"/>
      <c r="K120" s="274">
        <f>K118+(K118*O5)</f>
        <v>168161.46075982827</v>
      </c>
      <c r="L120" s="274"/>
      <c r="M120" s="275">
        <f>M118+(M118*O7)</f>
        <v>44086.698062205724</v>
      </c>
      <c r="N120" s="343">
        <f>K120+M120</f>
        <v>212248.15882203399</v>
      </c>
      <c r="O120" s="29">
        <f>N120/RESUMO!H95</f>
        <v>2.9310034940267581E-2</v>
      </c>
      <c r="P120" s="149"/>
    </row>
    <row r="122" spans="1:16" ht="12" customHeight="1" x14ac:dyDescent="0.2">
      <c r="M122" s="311"/>
    </row>
    <row r="125" spans="1:16" s="150" customFormat="1" ht="12" customHeight="1" x14ac:dyDescent="0.2">
      <c r="A125" s="51"/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2"/>
    </row>
    <row r="126" spans="1:16" s="150" customFormat="1" ht="12" customHeight="1" x14ac:dyDescent="0.2">
      <c r="A126" s="51"/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2"/>
    </row>
  </sheetData>
  <mergeCells count="9">
    <mergeCell ref="T4:T5"/>
    <mergeCell ref="U4:U5"/>
    <mergeCell ref="A5:B6"/>
    <mergeCell ref="A2:O2"/>
    <mergeCell ref="N4:O4"/>
    <mergeCell ref="P4:P5"/>
    <mergeCell ref="Q4:Q5"/>
    <mergeCell ref="R4:R5"/>
    <mergeCell ref="S4:S5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rowBreaks count="1" manualBreakCount="1">
    <brk id="30" max="12" man="1"/>
  </rowBreaks>
  <legacyDrawingHF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6" tint="0.39997558519241921"/>
    <pageSetUpPr fitToPage="1"/>
  </sheetPr>
  <dimension ref="A1:P44"/>
  <sheetViews>
    <sheetView view="pageBreakPreview" zoomScale="90" zoomScaleNormal="90" zoomScaleSheetLayoutView="90" workbookViewId="0">
      <selection activeCell="Q51" sqref="Q51"/>
    </sheetView>
  </sheetViews>
  <sheetFormatPr defaultColWidth="11.42578125" defaultRowHeight="12" customHeight="1" x14ac:dyDescent="0.2"/>
  <cols>
    <col min="1" max="5" width="11.42578125" style="51" customWidth="1"/>
    <col min="6" max="6" width="28.5703125" style="51" customWidth="1"/>
    <col min="7" max="9" width="11.42578125" style="51" customWidth="1"/>
    <col min="10" max="10" width="11.42578125" style="51" hidden="1" customWidth="1"/>
    <col min="11" max="11" width="14.28515625" style="51" customWidth="1"/>
    <col min="12" max="12" width="6" style="51" hidden="1" customWidth="1"/>
    <col min="13" max="13" width="14.28515625" style="51" customWidth="1"/>
    <col min="14" max="14" width="17.140625" style="51" customWidth="1"/>
    <col min="15" max="15" width="11.42578125" style="52" customWidth="1"/>
    <col min="16" max="16" width="6" style="51" bestFit="1" customWidth="1"/>
    <col min="17" max="16384" width="11.42578125" style="51"/>
  </cols>
  <sheetData>
    <row r="1" spans="1:16" ht="7.5" customHeight="1" x14ac:dyDescent="0.2"/>
    <row r="2" spans="1:16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6" ht="7.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95"/>
    </row>
    <row r="4" spans="1:16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6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6" ht="12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6" ht="12" customHeight="1" x14ac:dyDescent="0.2">
      <c r="A7" s="523"/>
      <c r="B7" s="523"/>
      <c r="C7" s="260" t="s">
        <v>6</v>
      </c>
      <c r="D7" s="263" t="str">
        <f>RESUMO!A29</f>
        <v>U.C. : 09</v>
      </c>
      <c r="E7" s="258"/>
      <c r="F7" s="258"/>
      <c r="G7" s="260" t="s">
        <v>9</v>
      </c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6" ht="12" customHeight="1" thickBot="1" x14ac:dyDescent="0.25">
      <c r="A8" s="124"/>
      <c r="B8" s="125"/>
      <c r="C8" s="266" t="s">
        <v>8</v>
      </c>
      <c r="D8" s="267" t="str">
        <f>RESUMO!B29</f>
        <v>COLETOR 04</v>
      </c>
      <c r="E8" s="268"/>
      <c r="F8" s="268"/>
      <c r="G8" s="266"/>
      <c r="H8" s="123"/>
      <c r="I8" s="278"/>
      <c r="J8" s="278"/>
      <c r="K8" s="278"/>
      <c r="L8" s="278"/>
      <c r="M8" s="278"/>
      <c r="N8" s="271"/>
      <c r="O8" s="427"/>
    </row>
    <row r="9" spans="1:16" ht="12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6" ht="7.5" customHeight="1" x14ac:dyDescent="0.2">
      <c r="O10" s="19"/>
    </row>
    <row r="11" spans="1:16" ht="12" customHeight="1" x14ac:dyDescent="0.2">
      <c r="A11" s="93">
        <f>RESUMO!A43</f>
        <v>2</v>
      </c>
      <c r="B11" s="93" t="str">
        <f>RESUMO!B31</f>
        <v>COLETOR 04 - MATERIAIS</v>
      </c>
      <c r="O11" s="19"/>
    </row>
    <row r="12" spans="1:16" ht="12" customHeight="1" x14ac:dyDescent="0.2">
      <c r="A12" s="98" t="s">
        <v>266</v>
      </c>
      <c r="B12" s="88" t="s">
        <v>71</v>
      </c>
      <c r="G12" s="52"/>
      <c r="H12" s="19"/>
      <c r="I12" s="52"/>
      <c r="J12" s="52"/>
      <c r="K12" s="52"/>
      <c r="L12" s="52"/>
      <c r="M12" s="52"/>
      <c r="N12" s="52"/>
      <c r="O12" s="19"/>
    </row>
    <row r="13" spans="1:16" ht="12" customHeight="1" x14ac:dyDescent="0.2">
      <c r="A13" s="98" t="s">
        <v>279</v>
      </c>
      <c r="B13" s="88" t="s">
        <v>280</v>
      </c>
      <c r="G13" s="52"/>
      <c r="H13" s="19"/>
      <c r="I13" s="52"/>
      <c r="J13" s="52"/>
      <c r="K13" s="52"/>
      <c r="L13" s="52"/>
      <c r="M13" s="52"/>
      <c r="N13" s="52"/>
      <c r="O13" s="19"/>
    </row>
    <row r="14" spans="1:16" ht="12" customHeight="1" x14ac:dyDescent="0.2">
      <c r="A14" s="98" t="s">
        <v>282</v>
      </c>
      <c r="B14" s="88" t="s">
        <v>260</v>
      </c>
      <c r="G14" s="97" t="s">
        <v>24</v>
      </c>
      <c r="H14" s="308">
        <f>'08 - 4'!H98</f>
        <v>30</v>
      </c>
      <c r="I14" s="308">
        <v>37.840000000000003</v>
      </c>
      <c r="J14" s="308"/>
      <c r="K14" s="308"/>
      <c r="L14" s="323">
        <v>37.840000000000003</v>
      </c>
      <c r="M14" s="308">
        <f>H14*L14</f>
        <v>1135.2</v>
      </c>
      <c r="N14" s="308">
        <f>H14*I14</f>
        <v>1135.2</v>
      </c>
      <c r="O14" s="25">
        <f>N14/N16</f>
        <v>1</v>
      </c>
      <c r="P14" s="51">
        <v>13255</v>
      </c>
    </row>
    <row r="15" spans="1:16" ht="12" customHeight="1" x14ac:dyDescent="0.2">
      <c r="G15" s="52"/>
      <c r="H15" s="324"/>
      <c r="I15" s="313"/>
      <c r="J15" s="313"/>
      <c r="K15" s="313"/>
      <c r="L15" s="313"/>
      <c r="M15" s="313"/>
      <c r="N15" s="313"/>
      <c r="O15" s="19"/>
    </row>
    <row r="16" spans="1:16" ht="12" customHeight="1" x14ac:dyDescent="0.2">
      <c r="B16" s="130" t="s">
        <v>18</v>
      </c>
      <c r="C16" s="131"/>
      <c r="D16" s="131"/>
      <c r="E16" s="131"/>
      <c r="F16" s="131"/>
      <c r="G16" s="53"/>
      <c r="H16" s="325"/>
      <c r="I16" s="326"/>
      <c r="J16" s="326"/>
      <c r="K16" s="326"/>
      <c r="L16" s="326"/>
      <c r="M16" s="326"/>
      <c r="N16" s="308">
        <f>N14</f>
        <v>1135.2</v>
      </c>
      <c r="O16" s="25">
        <f>N16/N18</f>
        <v>1</v>
      </c>
    </row>
    <row r="17" spans="1:16" ht="12" customHeight="1" x14ac:dyDescent="0.2">
      <c r="B17" s="130"/>
      <c r="G17" s="52"/>
      <c r="H17" s="324"/>
      <c r="I17" s="313"/>
      <c r="J17" s="313"/>
      <c r="K17" s="313"/>
      <c r="L17" s="313"/>
      <c r="M17" s="313"/>
      <c r="N17" s="308"/>
      <c r="O17" s="25"/>
    </row>
    <row r="18" spans="1:16" s="132" customFormat="1" ht="12" customHeight="1" x14ac:dyDescent="0.2">
      <c r="B18" s="133" t="s">
        <v>20</v>
      </c>
      <c r="C18" s="134"/>
      <c r="D18" s="134"/>
      <c r="E18" s="134"/>
      <c r="F18" s="134"/>
      <c r="G18" s="78"/>
      <c r="H18" s="327"/>
      <c r="I18" s="328"/>
      <c r="J18" s="328"/>
      <c r="K18" s="328"/>
      <c r="L18" s="328"/>
      <c r="M18" s="328"/>
      <c r="N18" s="310">
        <f>N16</f>
        <v>1135.2</v>
      </c>
      <c r="O18" s="77">
        <f>N18/N29</f>
        <v>1.5844836993922442E-2</v>
      </c>
    </row>
    <row r="19" spans="1:16" ht="12" customHeight="1" x14ac:dyDescent="0.2">
      <c r="G19" s="52"/>
      <c r="H19" s="324"/>
      <c r="I19" s="313"/>
      <c r="J19" s="313"/>
      <c r="K19" s="313"/>
      <c r="L19" s="313"/>
      <c r="M19" s="313"/>
      <c r="N19" s="313"/>
      <c r="O19" s="19"/>
    </row>
    <row r="20" spans="1:16" ht="12" customHeight="1" x14ac:dyDescent="0.2">
      <c r="A20" s="98" t="s">
        <v>270</v>
      </c>
      <c r="B20" s="88" t="s">
        <v>29</v>
      </c>
      <c r="G20" s="52"/>
      <c r="H20" s="324"/>
      <c r="I20" s="313"/>
      <c r="J20" s="313"/>
      <c r="K20" s="313"/>
      <c r="L20" s="313"/>
      <c r="M20" s="313"/>
      <c r="N20" s="313"/>
      <c r="O20" s="19"/>
    </row>
    <row r="21" spans="1:16" ht="12" customHeight="1" x14ac:dyDescent="0.2">
      <c r="A21" s="98" t="s">
        <v>275</v>
      </c>
      <c r="B21" s="88" t="s">
        <v>36</v>
      </c>
      <c r="G21" s="52"/>
      <c r="H21" s="324"/>
      <c r="I21" s="313"/>
      <c r="J21" s="313"/>
      <c r="K21" s="313"/>
      <c r="L21" s="313"/>
      <c r="M21" s="313"/>
      <c r="N21" s="313"/>
      <c r="O21" s="19"/>
    </row>
    <row r="22" spans="1:16" ht="12" customHeight="1" x14ac:dyDescent="0.2">
      <c r="A22" s="98" t="s">
        <v>276</v>
      </c>
      <c r="B22" s="88" t="s">
        <v>78</v>
      </c>
      <c r="G22" s="97" t="s">
        <v>17</v>
      </c>
      <c r="H22" s="308">
        <f>'08 - 4'!H92</f>
        <v>1873.76</v>
      </c>
      <c r="I22" s="323">
        <f>VLOOKUP(A22,'[1]TAB OGU JUN18'!$A:$G,6,"falso")</f>
        <v>37.630000000000003</v>
      </c>
      <c r="J22" s="308"/>
      <c r="K22" s="308"/>
      <c r="L22" s="323">
        <f>VLOOKUP(A22,'[1]TAB OGU JUN18'!$A:$G,5,"falso")</f>
        <v>37.630000000000003</v>
      </c>
      <c r="M22" s="308">
        <f>H22*L22</f>
        <v>70509.588799999998</v>
      </c>
      <c r="N22" s="308">
        <f>H22*I22</f>
        <v>70509.588799999998</v>
      </c>
      <c r="O22" s="25">
        <f>N22/$N$25</f>
        <v>1</v>
      </c>
    </row>
    <row r="23" spans="1:16" ht="12" hidden="1" customHeight="1" x14ac:dyDescent="0.2">
      <c r="A23" s="98" t="s">
        <v>277</v>
      </c>
      <c r="B23" s="88" t="s">
        <v>205</v>
      </c>
      <c r="G23" s="97" t="s">
        <v>17</v>
      </c>
      <c r="H23" s="308">
        <f>'08 - 4'!H93</f>
        <v>0</v>
      </c>
      <c r="I23" s="323">
        <f>VLOOKUP(A23,'[1]TAB OGU JUN18'!$A:$G,6,"falso")</f>
        <v>58.74</v>
      </c>
      <c r="J23" s="308"/>
      <c r="K23" s="308"/>
      <c r="L23" s="323">
        <f>VLOOKUP(A23,'[1]TAB OGU JUN18'!$A:$G,5,"falso")</f>
        <v>58.74</v>
      </c>
      <c r="M23" s="308">
        <f>H23*L23</f>
        <v>0</v>
      </c>
      <c r="N23" s="308">
        <f>H23*I23</f>
        <v>0</v>
      </c>
      <c r="O23" s="25">
        <f>N23/$N$25</f>
        <v>0</v>
      </c>
    </row>
    <row r="24" spans="1:16" ht="12" customHeight="1" x14ac:dyDescent="0.2">
      <c r="G24" s="52"/>
      <c r="H24" s="324"/>
      <c r="I24" s="313"/>
      <c r="J24" s="313"/>
      <c r="K24" s="313"/>
      <c r="L24" s="313"/>
      <c r="M24" s="313"/>
      <c r="N24" s="313"/>
      <c r="O24" s="19"/>
    </row>
    <row r="25" spans="1:16" ht="12" customHeight="1" x14ac:dyDescent="0.2">
      <c r="B25" s="130" t="s">
        <v>18</v>
      </c>
      <c r="C25" s="131"/>
      <c r="D25" s="131"/>
      <c r="E25" s="131"/>
      <c r="F25" s="131"/>
      <c r="G25" s="53"/>
      <c r="H25" s="325"/>
      <c r="I25" s="326"/>
      <c r="J25" s="326"/>
      <c r="K25" s="326"/>
      <c r="L25" s="326"/>
      <c r="M25" s="326"/>
      <c r="N25" s="308">
        <f>N22+N23</f>
        <v>70509.588799999998</v>
      </c>
      <c r="O25" s="25">
        <f>N25/N27</f>
        <v>1</v>
      </c>
    </row>
    <row r="26" spans="1:16" ht="12" customHeight="1" x14ac:dyDescent="0.2">
      <c r="G26" s="52"/>
      <c r="H26" s="313"/>
      <c r="I26" s="313"/>
      <c r="J26" s="313"/>
      <c r="K26" s="313"/>
      <c r="L26" s="313"/>
      <c r="M26" s="313"/>
      <c r="N26" s="313"/>
      <c r="O26" s="19"/>
    </row>
    <row r="27" spans="1:16" s="132" customFormat="1" ht="12" customHeight="1" x14ac:dyDescent="0.2">
      <c r="B27" s="133" t="s">
        <v>20</v>
      </c>
      <c r="C27" s="134"/>
      <c r="D27" s="134"/>
      <c r="E27" s="134"/>
      <c r="F27" s="134"/>
      <c r="G27" s="78"/>
      <c r="H27" s="328"/>
      <c r="I27" s="328"/>
      <c r="J27" s="328"/>
      <c r="K27" s="328"/>
      <c r="L27" s="328"/>
      <c r="M27" s="328"/>
      <c r="N27" s="310">
        <f>N25</f>
        <v>70509.588799999998</v>
      </c>
      <c r="O27" s="77">
        <f>N27/N29</f>
        <v>0.98415516300607764</v>
      </c>
    </row>
    <row r="28" spans="1:16" ht="7.5" customHeight="1" x14ac:dyDescent="0.2">
      <c r="G28" s="52"/>
      <c r="H28" s="313"/>
      <c r="I28" s="313"/>
      <c r="J28" s="313"/>
      <c r="K28" s="313"/>
      <c r="L28" s="313"/>
      <c r="M28" s="313"/>
      <c r="N28" s="313"/>
      <c r="O28" s="19"/>
    </row>
    <row r="29" spans="1:16" ht="12" customHeight="1" x14ac:dyDescent="0.2">
      <c r="A29" s="146"/>
      <c r="B29" s="147" t="s">
        <v>30</v>
      </c>
      <c r="C29" s="146"/>
      <c r="D29" s="146"/>
      <c r="E29" s="146"/>
      <c r="F29" s="146"/>
      <c r="G29" s="146"/>
      <c r="H29" s="342"/>
      <c r="I29" s="345"/>
      <c r="J29" s="345"/>
      <c r="K29" s="345"/>
      <c r="L29" s="345"/>
      <c r="M29" s="275">
        <f>SUM(M14:M28)</f>
        <v>71644.788799999995</v>
      </c>
      <c r="N29" s="316">
        <f>N27+N18</f>
        <v>71644.788799999995</v>
      </c>
      <c r="O29" s="322"/>
      <c r="P29" s="149"/>
    </row>
    <row r="30" spans="1:16" ht="7.5" customHeight="1" x14ac:dyDescent="0.2">
      <c r="G30" s="52"/>
      <c r="H30" s="313"/>
      <c r="I30" s="313"/>
      <c r="J30" s="313"/>
      <c r="K30" s="313"/>
      <c r="L30" s="313"/>
      <c r="M30" s="313"/>
      <c r="N30" s="313"/>
      <c r="O30" s="19"/>
    </row>
    <row r="31" spans="1:16" ht="12" customHeight="1" x14ac:dyDescent="0.2">
      <c r="A31" s="146"/>
      <c r="B31" s="147" t="s">
        <v>265</v>
      </c>
      <c r="C31" s="146"/>
      <c r="D31" s="146"/>
      <c r="E31" s="146"/>
      <c r="F31" s="146"/>
      <c r="G31" s="146"/>
      <c r="H31" s="342"/>
      <c r="I31" s="345"/>
      <c r="J31" s="345"/>
      <c r="K31" s="345"/>
      <c r="L31" s="345"/>
      <c r="M31" s="275">
        <f>M29+(M29*O7)</f>
        <v>84340.245375359998</v>
      </c>
      <c r="N31" s="316">
        <f>M31</f>
        <v>84340.245375359998</v>
      </c>
      <c r="O31" s="29">
        <f>N31/RESUMO!H95</f>
        <v>1.1646817350699754E-2</v>
      </c>
      <c r="P31" s="149"/>
    </row>
    <row r="43" spans="1:15" ht="12" customHeight="1" x14ac:dyDescent="0.2">
      <c r="A43" s="150"/>
      <c r="B43" s="150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211"/>
      <c r="O43" s="210"/>
    </row>
    <row r="44" spans="1:15" ht="12" customHeight="1" x14ac:dyDescent="0.2">
      <c r="A44" s="88"/>
      <c r="C44" s="184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184"/>
      <c r="O44" s="437"/>
    </row>
  </sheetData>
  <mergeCells count="3">
    <mergeCell ref="A2:O2"/>
    <mergeCell ref="N4:O4"/>
    <mergeCell ref="A5:B6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rowBreaks count="1" manualBreakCount="1">
    <brk id="20" max="12" man="1"/>
  </rowBreaks>
  <legacyDrawingHF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6" tint="0.39997558519241921"/>
    <pageSetUpPr fitToPage="1"/>
  </sheetPr>
  <dimension ref="A1:U126"/>
  <sheetViews>
    <sheetView view="pageBreakPreview" topLeftCell="A19" zoomScale="85" zoomScaleNormal="90" zoomScaleSheetLayoutView="85" workbookViewId="0">
      <selection activeCell="G90" sqref="G90"/>
    </sheetView>
  </sheetViews>
  <sheetFormatPr defaultColWidth="11.42578125" defaultRowHeight="12" customHeight="1" x14ac:dyDescent="0.2"/>
  <cols>
    <col min="1" max="3" width="11.42578125" style="51"/>
    <col min="4" max="4" width="11.42578125" style="51" customWidth="1"/>
    <col min="5" max="5" width="11.42578125" style="51"/>
    <col min="6" max="6" width="28.5703125" style="51" customWidth="1"/>
    <col min="7" max="7" width="11.42578125" style="51"/>
    <col min="8" max="9" width="11.42578125" style="51" customWidth="1"/>
    <col min="10" max="10" width="5.7109375" style="51" hidden="1" customWidth="1"/>
    <col min="11" max="11" width="14.28515625" style="51" customWidth="1"/>
    <col min="12" max="12" width="6.7109375" style="51" hidden="1" customWidth="1"/>
    <col min="13" max="13" width="14.28515625" style="51" customWidth="1"/>
    <col min="14" max="14" width="17.28515625" style="51" customWidth="1"/>
    <col min="15" max="15" width="11.42578125" style="52" customWidth="1"/>
    <col min="16" max="19" width="11.42578125" style="51"/>
    <col min="20" max="20" width="13.42578125" style="51" customWidth="1"/>
    <col min="21" max="16384" width="11.42578125" style="51"/>
  </cols>
  <sheetData>
    <row r="1" spans="1:21" ht="6.75" customHeight="1" x14ac:dyDescent="0.2"/>
    <row r="2" spans="1:21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21" ht="6.7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95"/>
    </row>
    <row r="4" spans="1:21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K4" s="259"/>
      <c r="L4" s="259"/>
      <c r="M4" s="259">
        <f ca="1">RESUMO!G4</f>
        <v>43657</v>
      </c>
      <c r="N4" s="832" t="str">
        <f>RESUMO!H4</f>
        <v>BDI Aplicado</v>
      </c>
      <c r="O4" s="833"/>
      <c r="P4" s="831" t="s">
        <v>995</v>
      </c>
      <c r="Q4" s="831" t="s">
        <v>991</v>
      </c>
      <c r="R4" s="831" t="s">
        <v>992</v>
      </c>
      <c r="S4" s="831" t="s">
        <v>993</v>
      </c>
      <c r="T4" s="831" t="s">
        <v>994</v>
      </c>
      <c r="U4" s="831" t="s">
        <v>996</v>
      </c>
    </row>
    <row r="5" spans="1:21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K5" s="258"/>
      <c r="L5" s="258"/>
      <c r="M5" s="258"/>
      <c r="N5" s="261" t="str">
        <f>RESUMO!H5</f>
        <v>Serviços</v>
      </c>
      <c r="O5" s="234">
        <f>RESUMO!I5</f>
        <v>0.27579999999999999</v>
      </c>
      <c r="P5" s="831"/>
      <c r="Q5" s="831"/>
      <c r="R5" s="831"/>
      <c r="S5" s="831"/>
      <c r="T5" s="831"/>
      <c r="U5" s="831"/>
    </row>
    <row r="6" spans="1:21" ht="12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K6" s="258"/>
      <c r="L6" s="258"/>
      <c r="M6" s="258"/>
      <c r="N6" s="261" t="str">
        <f>RESUMO!H6</f>
        <v>Serv Terc:</v>
      </c>
      <c r="O6" s="234">
        <f>RESUMO!I6</f>
        <v>0.1772</v>
      </c>
      <c r="P6" s="486">
        <v>199.01</v>
      </c>
      <c r="Q6" s="486">
        <v>1.6372852620471334</v>
      </c>
      <c r="R6" s="486">
        <v>0.60000000000000009</v>
      </c>
      <c r="S6" s="486">
        <v>130.33445599999999</v>
      </c>
      <c r="T6" s="486">
        <v>39.802</v>
      </c>
      <c r="U6" s="486">
        <v>4</v>
      </c>
    </row>
    <row r="7" spans="1:21" ht="12" customHeight="1" x14ac:dyDescent="0.2">
      <c r="A7" s="700"/>
      <c r="B7" s="700"/>
      <c r="C7" s="260" t="s">
        <v>6</v>
      </c>
      <c r="D7" s="263" t="str">
        <f>RESUMO!A32</f>
        <v>U.C. : 10</v>
      </c>
      <c r="E7" s="258"/>
      <c r="F7" s="258"/>
      <c r="G7" s="260" t="s">
        <v>9</v>
      </c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  <c r="T7" s="486">
        <v>25.365228000000002</v>
      </c>
    </row>
    <row r="8" spans="1:21" ht="12" customHeight="1" thickBot="1" x14ac:dyDescent="0.25">
      <c r="A8" s="124"/>
      <c r="B8" s="125"/>
      <c r="C8" s="266" t="s">
        <v>8</v>
      </c>
      <c r="D8" s="267" t="str">
        <f>RESUMO!B32</f>
        <v>COLETOR 05</v>
      </c>
      <c r="E8" s="268"/>
      <c r="F8" s="268"/>
      <c r="G8" s="266"/>
      <c r="H8" s="123"/>
      <c r="I8" s="278"/>
      <c r="J8" s="278"/>
      <c r="K8" s="278"/>
      <c r="L8" s="278"/>
      <c r="M8" s="278"/>
      <c r="N8" s="271"/>
      <c r="O8" s="427"/>
      <c r="T8" s="486">
        <v>130.33445599999999</v>
      </c>
    </row>
    <row r="9" spans="1:21" ht="12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  <c r="T9" s="486">
        <v>0</v>
      </c>
    </row>
    <row r="10" spans="1:21" ht="12.75" x14ac:dyDescent="0.2">
      <c r="O10" s="19"/>
      <c r="T10" s="486">
        <v>35.821800000000003</v>
      </c>
    </row>
    <row r="11" spans="1:21" ht="11.25" customHeight="1" x14ac:dyDescent="0.2">
      <c r="A11" s="93">
        <f>RESUMO!A42</f>
        <v>1</v>
      </c>
      <c r="B11" s="93" t="str">
        <f>RESUMO!B33</f>
        <v>COLETOR 05 - SERVIÇOS</v>
      </c>
      <c r="H11" s="61"/>
      <c r="O11" s="19"/>
      <c r="T11" s="486">
        <v>144.22277729999999</v>
      </c>
    </row>
    <row r="12" spans="1:21" ht="11.25" customHeight="1" x14ac:dyDescent="0.2">
      <c r="A12" s="129" t="s">
        <v>48</v>
      </c>
      <c r="B12" s="88" t="s">
        <v>16</v>
      </c>
      <c r="H12" s="61"/>
      <c r="O12" s="19"/>
      <c r="T12" s="486">
        <v>15.457106700000002</v>
      </c>
    </row>
    <row r="13" spans="1:21" ht="11.25" customHeight="1" x14ac:dyDescent="0.2">
      <c r="A13" s="129" t="s">
        <v>79</v>
      </c>
      <c r="B13" s="88" t="s">
        <v>80</v>
      </c>
      <c r="H13" s="61"/>
      <c r="O13" s="19"/>
    </row>
    <row r="14" spans="1:21" ht="11.25" customHeight="1" x14ac:dyDescent="0.2">
      <c r="A14" s="129" t="s">
        <v>209</v>
      </c>
      <c r="B14" s="88" t="s">
        <v>210</v>
      </c>
      <c r="G14" s="97" t="s">
        <v>17</v>
      </c>
      <c r="H14" s="308">
        <f>P6</f>
        <v>199.01</v>
      </c>
      <c r="I14" s="323">
        <f>VLOOKUP(A14,'[1]TAB OGU JUN18'!$A:$G,6,"falso")</f>
        <v>1.2</v>
      </c>
      <c r="J14" s="323">
        <f>VLOOKUP(A14,'[1]TAB OGU JUN18'!$A:$G,4,"falso")</f>
        <v>0.82</v>
      </c>
      <c r="K14" s="308">
        <f>H14*J14</f>
        <v>163.18819999999999</v>
      </c>
      <c r="L14" s="323">
        <f>VLOOKUP(A14,'[1]TAB OGU JUN18'!$A:$G,5,"falso")</f>
        <v>0.38</v>
      </c>
      <c r="M14" s="308">
        <f>H14*L14</f>
        <v>75.623800000000003</v>
      </c>
      <c r="N14" s="308">
        <f>H14*I14</f>
        <v>238.81199999999998</v>
      </c>
      <c r="O14" s="25">
        <f>N14/N17</f>
        <v>1</v>
      </c>
      <c r="Q14" s="311"/>
    </row>
    <row r="15" spans="1:21" ht="11.25" customHeight="1" x14ac:dyDescent="0.2">
      <c r="B15" s="258" t="s">
        <v>211</v>
      </c>
      <c r="G15" s="52"/>
      <c r="H15" s="324"/>
      <c r="I15" s="324"/>
      <c r="J15" s="313"/>
      <c r="K15" s="313"/>
      <c r="L15" s="313"/>
      <c r="M15" s="313"/>
      <c r="N15" s="309"/>
      <c r="O15" s="25"/>
      <c r="Q15" s="311"/>
    </row>
    <row r="16" spans="1:21" ht="11.25" customHeight="1" x14ac:dyDescent="0.2">
      <c r="G16" s="52"/>
      <c r="H16" s="324"/>
      <c r="I16" s="324"/>
      <c r="J16" s="313"/>
      <c r="K16" s="313"/>
      <c r="L16" s="313"/>
      <c r="M16" s="313"/>
      <c r="N16" s="309"/>
      <c r="O16" s="25"/>
      <c r="Q16" s="311"/>
    </row>
    <row r="17" spans="1:17" ht="11.25" customHeight="1" x14ac:dyDescent="0.2">
      <c r="B17" s="130" t="s">
        <v>18</v>
      </c>
      <c r="C17" s="131"/>
      <c r="D17" s="131"/>
      <c r="E17" s="131"/>
      <c r="F17" s="131"/>
      <c r="G17" s="53"/>
      <c r="H17" s="325"/>
      <c r="I17" s="325"/>
      <c r="J17" s="326"/>
      <c r="K17" s="326"/>
      <c r="L17" s="326"/>
      <c r="M17" s="326"/>
      <c r="N17" s="308">
        <f>SUM(N14:N14)</f>
        <v>238.81199999999998</v>
      </c>
      <c r="O17" s="25">
        <f>N17/N29</f>
        <v>0.64516129032258063</v>
      </c>
      <c r="Q17" s="311"/>
    </row>
    <row r="18" spans="1:17" ht="11.25" customHeight="1" x14ac:dyDescent="0.2">
      <c r="B18" s="130"/>
      <c r="G18" s="52"/>
      <c r="H18" s="324"/>
      <c r="I18" s="324"/>
      <c r="J18" s="313"/>
      <c r="K18" s="313"/>
      <c r="L18" s="313"/>
      <c r="M18" s="313"/>
      <c r="N18" s="308"/>
      <c r="O18" s="25"/>
      <c r="Q18" s="311"/>
    </row>
    <row r="19" spans="1:17" ht="11.25" customHeight="1" x14ac:dyDescent="0.2">
      <c r="A19" s="98" t="s">
        <v>779</v>
      </c>
      <c r="B19" s="88" t="s">
        <v>780</v>
      </c>
      <c r="G19" s="52"/>
      <c r="H19" s="324"/>
      <c r="I19" s="324"/>
      <c r="J19" s="313"/>
      <c r="K19" s="313"/>
      <c r="L19" s="313"/>
      <c r="M19" s="313"/>
      <c r="N19" s="313"/>
      <c r="O19" s="19"/>
      <c r="Q19" s="311"/>
    </row>
    <row r="20" spans="1:17" ht="11.25" customHeight="1" x14ac:dyDescent="0.2">
      <c r="A20" s="98" t="s">
        <v>782</v>
      </c>
      <c r="B20" s="88" t="s">
        <v>781</v>
      </c>
      <c r="G20" s="97" t="s">
        <v>17</v>
      </c>
      <c r="H20" s="308">
        <f>H14</f>
        <v>199.01</v>
      </c>
      <c r="I20" s="323">
        <f>VLOOKUP(A20,'[1]TAB OGU JUN18'!$A:$G,6,"falso")</f>
        <v>0.4</v>
      </c>
      <c r="J20" s="323">
        <f>VLOOKUP(A20,'[1]TAB OGU JUN18'!$A:$G,4,"falso")</f>
        <v>0.4</v>
      </c>
      <c r="K20" s="308">
        <f>H20*J20</f>
        <v>79.603999999999999</v>
      </c>
      <c r="L20" s="323">
        <f>VLOOKUP(A20,'[1]TAB OGU JUN18'!$A:$G,5,"falso")</f>
        <v>0</v>
      </c>
      <c r="M20" s="308"/>
      <c r="N20" s="308">
        <f>H20*I20</f>
        <v>79.603999999999999</v>
      </c>
      <c r="O20" s="25">
        <f>N20/N22</f>
        <v>1</v>
      </c>
      <c r="Q20" s="311"/>
    </row>
    <row r="21" spans="1:17" ht="11.25" customHeight="1" x14ac:dyDescent="0.2">
      <c r="G21" s="52"/>
      <c r="H21" s="324"/>
      <c r="I21" s="324"/>
      <c r="J21" s="313"/>
      <c r="K21" s="313"/>
      <c r="L21" s="313"/>
      <c r="M21" s="313"/>
      <c r="N21" s="313"/>
      <c r="O21" s="19"/>
      <c r="Q21" s="311"/>
    </row>
    <row r="22" spans="1:17" ht="11.25" customHeight="1" x14ac:dyDescent="0.2">
      <c r="B22" s="130" t="s">
        <v>18</v>
      </c>
      <c r="C22" s="131"/>
      <c r="D22" s="131"/>
      <c r="E22" s="131"/>
      <c r="F22" s="131"/>
      <c r="G22" s="53"/>
      <c r="H22" s="325"/>
      <c r="I22" s="325"/>
      <c r="J22" s="326"/>
      <c r="K22" s="326"/>
      <c r="L22" s="326"/>
      <c r="M22" s="326"/>
      <c r="N22" s="308">
        <f>N20</f>
        <v>79.603999999999999</v>
      </c>
      <c r="O22" s="25">
        <f>N22/N29</f>
        <v>0.21505376344086022</v>
      </c>
      <c r="Q22" s="311"/>
    </row>
    <row r="23" spans="1:17" ht="11.25" customHeight="1" x14ac:dyDescent="0.2">
      <c r="B23" s="130"/>
      <c r="G23" s="52"/>
      <c r="H23" s="324"/>
      <c r="I23" s="324"/>
      <c r="J23" s="313"/>
      <c r="K23" s="313"/>
      <c r="L23" s="313"/>
      <c r="M23" s="313"/>
      <c r="N23" s="308"/>
      <c r="O23" s="25"/>
      <c r="Q23" s="311"/>
    </row>
    <row r="24" spans="1:17" ht="11.25" customHeight="1" x14ac:dyDescent="0.2">
      <c r="A24" s="98" t="s">
        <v>82</v>
      </c>
      <c r="B24" s="88" t="s">
        <v>19</v>
      </c>
      <c r="G24" s="52"/>
      <c r="H24" s="19"/>
      <c r="I24" s="52"/>
      <c r="J24" s="52"/>
      <c r="K24" s="52"/>
      <c r="L24" s="52"/>
      <c r="M24" s="52"/>
      <c r="N24" s="52"/>
      <c r="O24" s="19"/>
    </row>
    <row r="25" spans="1:17" ht="11.25" customHeight="1" x14ac:dyDescent="0.2">
      <c r="A25" s="98" t="s">
        <v>83</v>
      </c>
      <c r="B25" s="88" t="s">
        <v>81</v>
      </c>
      <c r="G25" s="97" t="s">
        <v>17</v>
      </c>
      <c r="H25" s="308">
        <f>H20</f>
        <v>199.01</v>
      </c>
      <c r="I25" s="323">
        <f>VLOOKUP(A25,'[1]TAB OGU JUN18'!$A:$G,6,"falso")</f>
        <v>0.26</v>
      </c>
      <c r="J25" s="323">
        <f>VLOOKUP(A25,'[1]TAB OGU JUN18'!$A:$G,4,"falso")</f>
        <v>0.26</v>
      </c>
      <c r="K25" s="308">
        <f>H25*J25</f>
        <v>51.742599999999996</v>
      </c>
      <c r="L25" s="323">
        <f>VLOOKUP(A25,'[1]TAB OGU JUN18'!$A:$G,5,"falso")</f>
        <v>0</v>
      </c>
      <c r="M25" s="308"/>
      <c r="N25" s="308">
        <f>H25*I25</f>
        <v>51.742599999999996</v>
      </c>
      <c r="O25" s="25">
        <f>N25/N27</f>
        <v>1</v>
      </c>
    </row>
    <row r="26" spans="1:17" ht="11.25" customHeight="1" x14ac:dyDescent="0.2">
      <c r="G26" s="52"/>
      <c r="H26" s="324"/>
      <c r="I26" s="313"/>
      <c r="J26" s="313"/>
      <c r="K26" s="313"/>
      <c r="L26" s="313"/>
      <c r="M26" s="313"/>
      <c r="N26" s="313"/>
      <c r="O26" s="19"/>
    </row>
    <row r="27" spans="1:17" ht="11.25" customHeight="1" x14ac:dyDescent="0.2">
      <c r="B27" s="130" t="s">
        <v>18</v>
      </c>
      <c r="C27" s="131"/>
      <c r="D27" s="131"/>
      <c r="E27" s="131"/>
      <c r="F27" s="131"/>
      <c r="G27" s="53"/>
      <c r="H27" s="325"/>
      <c r="I27" s="326"/>
      <c r="J27" s="326"/>
      <c r="K27" s="326"/>
      <c r="L27" s="326"/>
      <c r="M27" s="326"/>
      <c r="N27" s="308">
        <f>N25</f>
        <v>51.742599999999996</v>
      </c>
      <c r="O27" s="25">
        <f>N27/N29</f>
        <v>0.13978494623655913</v>
      </c>
    </row>
    <row r="28" spans="1:17" ht="11.25" customHeight="1" x14ac:dyDescent="0.2">
      <c r="B28" s="130"/>
      <c r="G28" s="52"/>
      <c r="H28" s="324"/>
      <c r="I28" s="313"/>
      <c r="J28" s="313"/>
      <c r="K28" s="313"/>
      <c r="L28" s="313"/>
      <c r="M28" s="313"/>
      <c r="N28" s="308"/>
      <c r="O28" s="25"/>
    </row>
    <row r="29" spans="1:17" s="132" customFormat="1" ht="11.25" customHeight="1" x14ac:dyDescent="0.2">
      <c r="B29" s="133" t="s">
        <v>20</v>
      </c>
      <c r="C29" s="134"/>
      <c r="D29" s="134"/>
      <c r="E29" s="134"/>
      <c r="F29" s="134"/>
      <c r="G29" s="78"/>
      <c r="H29" s="327"/>
      <c r="I29" s="328"/>
      <c r="J29" s="328"/>
      <c r="K29" s="328"/>
      <c r="L29" s="328"/>
      <c r="M29" s="328"/>
      <c r="N29" s="310">
        <f>N27+N17+N22</f>
        <v>370.15859999999998</v>
      </c>
      <c r="O29" s="77">
        <f>N29/N118</f>
        <v>2.8654708110482003E-2</v>
      </c>
    </row>
    <row r="30" spans="1:17" ht="11.25" customHeight="1" x14ac:dyDescent="0.2">
      <c r="G30" s="52"/>
      <c r="H30" s="324"/>
      <c r="I30" s="313"/>
      <c r="J30" s="313"/>
      <c r="K30" s="313"/>
      <c r="L30" s="313"/>
      <c r="M30" s="313"/>
      <c r="N30" s="313"/>
      <c r="O30" s="19"/>
    </row>
    <row r="31" spans="1:17" ht="11.25" customHeight="1" x14ac:dyDescent="0.2">
      <c r="A31" s="129" t="s">
        <v>93</v>
      </c>
      <c r="B31" s="88" t="s">
        <v>96</v>
      </c>
      <c r="H31" s="329"/>
      <c r="I31" s="311"/>
      <c r="J31" s="311"/>
      <c r="K31" s="311"/>
      <c r="L31" s="311"/>
      <c r="M31" s="311"/>
      <c r="N31" s="311"/>
      <c r="O31" s="19"/>
    </row>
    <row r="32" spans="1:17" ht="11.25" customHeight="1" x14ac:dyDescent="0.2">
      <c r="A32" s="129" t="s">
        <v>94</v>
      </c>
      <c r="B32" s="88" t="s">
        <v>97</v>
      </c>
      <c r="H32" s="329"/>
      <c r="I32" s="311"/>
      <c r="J32" s="311"/>
      <c r="K32" s="311"/>
      <c r="L32" s="311"/>
      <c r="M32" s="311"/>
      <c r="N32" s="311"/>
      <c r="O32" s="19"/>
    </row>
    <row r="33" spans="1:15" ht="11.25" customHeight="1" x14ac:dyDescent="0.2">
      <c r="A33" s="129" t="s">
        <v>95</v>
      </c>
      <c r="B33" s="88" t="s">
        <v>228</v>
      </c>
      <c r="G33" s="97" t="s">
        <v>32</v>
      </c>
      <c r="H33" s="308">
        <f>T6</f>
        <v>39.802</v>
      </c>
      <c r="I33" s="323">
        <f>VLOOKUP(A33,'[1]TAB OGU JUN18'!$A:$G,6,"falso")</f>
        <v>32.9</v>
      </c>
      <c r="J33" s="323">
        <f>VLOOKUP(A33,'[1]TAB OGU JUN18'!$A:$G,4,"falso")</f>
        <v>32.9</v>
      </c>
      <c r="K33" s="308">
        <f>H33*J33</f>
        <v>1309.4857999999999</v>
      </c>
      <c r="L33" s="323">
        <f>VLOOKUP(A33,'[1]TAB OGU JUN18'!$A:$G,5,"falso")</f>
        <v>0</v>
      </c>
      <c r="M33" s="308"/>
      <c r="N33" s="308">
        <f>H33*I33</f>
        <v>1309.4857999999999</v>
      </c>
      <c r="O33" s="25">
        <f>N33/N36</f>
        <v>0.55657488243424236</v>
      </c>
    </row>
    <row r="34" spans="1:15" ht="11.25" customHeight="1" x14ac:dyDescent="0.2">
      <c r="A34" s="129" t="s">
        <v>261</v>
      </c>
      <c r="B34" s="88" t="s">
        <v>643</v>
      </c>
      <c r="G34" s="97" t="s">
        <v>32</v>
      </c>
      <c r="H34" s="308">
        <f>T7</f>
        <v>25.365228000000002</v>
      </c>
      <c r="I34" s="323">
        <f>VLOOKUP(A34,'[1]TAB OGU JUN18'!$A:$G,6,"falso")</f>
        <v>41.13</v>
      </c>
      <c r="J34" s="323">
        <f>VLOOKUP(A34,'[1]TAB OGU JUN18'!$A:$G,4,"falso")</f>
        <v>41.13</v>
      </c>
      <c r="K34" s="308">
        <f>H34*J34</f>
        <v>1043.2718276400001</v>
      </c>
      <c r="L34" s="323">
        <f>VLOOKUP(A34,'[1]TAB OGU JUN18'!$A:$G,5,"falso")</f>
        <v>0</v>
      </c>
      <c r="M34" s="308"/>
      <c r="N34" s="308">
        <f>H34*I34</f>
        <v>1043.2718276400001</v>
      </c>
      <c r="O34" s="25">
        <f>N34/N36</f>
        <v>0.44342511756575764</v>
      </c>
    </row>
    <row r="35" spans="1:15" ht="11.25" customHeight="1" x14ac:dyDescent="0.2">
      <c r="G35" s="52"/>
      <c r="H35" s="324"/>
      <c r="I35" s="313"/>
      <c r="J35" s="313"/>
      <c r="K35" s="313"/>
      <c r="L35" s="313"/>
      <c r="M35" s="313"/>
      <c r="N35" s="309"/>
      <c r="O35" s="25"/>
    </row>
    <row r="36" spans="1:15" ht="11.25" customHeight="1" x14ac:dyDescent="0.2">
      <c r="B36" s="130" t="s">
        <v>18</v>
      </c>
      <c r="C36" s="131"/>
      <c r="D36" s="131"/>
      <c r="E36" s="131"/>
      <c r="F36" s="131"/>
      <c r="G36" s="53"/>
      <c r="H36" s="325"/>
      <c r="I36" s="326"/>
      <c r="J36" s="326"/>
      <c r="K36" s="326"/>
      <c r="L36" s="326"/>
      <c r="M36" s="326"/>
      <c r="N36" s="308">
        <f>SUM(N33:N34)</f>
        <v>2352.75762764</v>
      </c>
      <c r="O36" s="25">
        <f>N36/N66</f>
        <v>0.42955904344321405</v>
      </c>
    </row>
    <row r="37" spans="1:15" ht="11.25" customHeight="1" x14ac:dyDescent="0.2">
      <c r="B37" s="130"/>
      <c r="G37" s="52"/>
      <c r="H37" s="324"/>
      <c r="I37" s="313"/>
      <c r="J37" s="313"/>
      <c r="K37" s="313"/>
      <c r="L37" s="313"/>
      <c r="M37" s="313"/>
      <c r="N37" s="308"/>
      <c r="O37" s="25"/>
    </row>
    <row r="38" spans="1:15" ht="11.25" customHeight="1" x14ac:dyDescent="0.2">
      <c r="A38" s="98" t="s">
        <v>98</v>
      </c>
      <c r="B38" s="88" t="s">
        <v>100</v>
      </c>
      <c r="G38" s="52"/>
      <c r="H38" s="324"/>
      <c r="I38" s="313"/>
      <c r="J38" s="313"/>
      <c r="K38" s="313"/>
      <c r="L38" s="313"/>
      <c r="M38" s="313"/>
      <c r="N38" s="313"/>
      <c r="O38" s="19"/>
    </row>
    <row r="39" spans="1:15" ht="11.25" customHeight="1" x14ac:dyDescent="0.2">
      <c r="A39" s="98" t="s">
        <v>99</v>
      </c>
      <c r="B39" s="88" t="s">
        <v>229</v>
      </c>
      <c r="G39" s="97" t="s">
        <v>32</v>
      </c>
      <c r="H39" s="308">
        <f>T8</f>
        <v>130.33445599999999</v>
      </c>
      <c r="I39" s="323">
        <f>VLOOKUP(A39,'[1]TAB OGU JUN18'!$A:$G,6,"falso")</f>
        <v>9.77</v>
      </c>
      <c r="J39" s="323">
        <f>VLOOKUP(A39,'[1]TAB OGU JUN18'!$A:$G,4,"falso")</f>
        <v>9.77</v>
      </c>
      <c r="K39" s="308">
        <f>H39*J39</f>
        <v>1273.3676351199999</v>
      </c>
      <c r="L39" s="323">
        <f>VLOOKUP(A39,'[1]TAB OGU JUN18'!$A:$G,5,"falso")</f>
        <v>0</v>
      </c>
      <c r="M39" s="308"/>
      <c r="N39" s="308">
        <f>H39*I39</f>
        <v>1273.3676351199999</v>
      </c>
      <c r="O39" s="25">
        <f>N39/N42</f>
        <v>1</v>
      </c>
    </row>
    <row r="40" spans="1:15" ht="11.25" customHeight="1" x14ac:dyDescent="0.2">
      <c r="A40" s="98" t="s">
        <v>232</v>
      </c>
      <c r="B40" s="88" t="s">
        <v>558</v>
      </c>
      <c r="G40" s="97" t="s">
        <v>32</v>
      </c>
      <c r="H40" s="308">
        <f>T9</f>
        <v>0</v>
      </c>
      <c r="I40" s="323">
        <f>VLOOKUP(A40,'[1]TAB OGU JUN18'!$A:$G,6,"falso")</f>
        <v>11.16</v>
      </c>
      <c r="J40" s="323">
        <f>VLOOKUP(A40,'[1]TAB OGU JUN18'!$A:$G,4,"falso")</f>
        <v>11.16</v>
      </c>
      <c r="K40" s="308">
        <f>H40*J40</f>
        <v>0</v>
      </c>
      <c r="L40" s="323">
        <f>VLOOKUP(A40,'[1]TAB OGU JUN18'!$A:$G,5,"falso")</f>
        <v>0</v>
      </c>
      <c r="M40" s="308"/>
      <c r="N40" s="308">
        <f>H40*I40</f>
        <v>0</v>
      </c>
      <c r="O40" s="25">
        <f>N40/N42</f>
        <v>0</v>
      </c>
    </row>
    <row r="41" spans="1:15" ht="11.25" customHeight="1" x14ac:dyDescent="0.2">
      <c r="G41" s="52"/>
      <c r="H41" s="324"/>
      <c r="I41" s="313"/>
      <c r="J41" s="313"/>
      <c r="K41" s="313"/>
      <c r="L41" s="313"/>
      <c r="M41" s="313"/>
      <c r="N41" s="313"/>
      <c r="O41" s="19"/>
    </row>
    <row r="42" spans="1:15" ht="11.25" customHeight="1" x14ac:dyDescent="0.2">
      <c r="B42" s="130" t="s">
        <v>18</v>
      </c>
      <c r="C42" s="131"/>
      <c r="D42" s="131"/>
      <c r="E42" s="131"/>
      <c r="F42" s="131"/>
      <c r="G42" s="53"/>
      <c r="H42" s="325"/>
      <c r="I42" s="326"/>
      <c r="J42" s="326"/>
      <c r="K42" s="326"/>
      <c r="L42" s="326"/>
      <c r="M42" s="326"/>
      <c r="N42" s="308">
        <f>N39+N40</f>
        <v>1273.3676351199999</v>
      </c>
      <c r="O42" s="25">
        <f>N42/N66</f>
        <v>0.23248743383837847</v>
      </c>
    </row>
    <row r="43" spans="1:15" ht="11.25" customHeight="1" x14ac:dyDescent="0.2">
      <c r="B43" s="130"/>
      <c r="G43" s="52"/>
      <c r="H43" s="324"/>
      <c r="I43" s="313"/>
      <c r="J43" s="313"/>
      <c r="K43" s="313"/>
      <c r="L43" s="313"/>
      <c r="M43" s="313"/>
      <c r="N43" s="308"/>
      <c r="O43" s="25"/>
    </row>
    <row r="44" spans="1:15" ht="11.25" customHeight="1" x14ac:dyDescent="0.2">
      <c r="A44" s="98" t="s">
        <v>101</v>
      </c>
      <c r="B44" s="88" t="s">
        <v>21</v>
      </c>
      <c r="G44" s="97"/>
      <c r="H44" s="308"/>
      <c r="I44" s="308"/>
      <c r="J44" s="308"/>
      <c r="K44" s="308"/>
      <c r="L44" s="308"/>
      <c r="M44" s="308"/>
      <c r="N44" s="308"/>
      <c r="O44" s="25"/>
    </row>
    <row r="45" spans="1:15" ht="11.25" customHeight="1" x14ac:dyDescent="0.2">
      <c r="A45" s="98" t="s">
        <v>102</v>
      </c>
      <c r="B45" s="88" t="s">
        <v>104</v>
      </c>
      <c r="G45" s="97" t="s">
        <v>32</v>
      </c>
      <c r="H45" s="308">
        <f>T10</f>
        <v>35.821800000000003</v>
      </c>
      <c r="I45" s="323">
        <f>VLOOKUP(A45,'[1]TAB OGU JUN18'!$A:$G,6,"falso")</f>
        <v>7.4</v>
      </c>
      <c r="J45" s="323">
        <f>VLOOKUP(A45,'[1]TAB OGU JUN18'!$A:$G,4,"falso")</f>
        <v>7.4</v>
      </c>
      <c r="K45" s="308">
        <f>H45*J45</f>
        <v>265.08132000000006</v>
      </c>
      <c r="L45" s="323">
        <f>VLOOKUP(A45,'[1]TAB OGU JUN18'!$A:$G,5,"falso")</f>
        <v>0</v>
      </c>
      <c r="M45" s="308"/>
      <c r="N45" s="308">
        <f>H45*I45</f>
        <v>265.08132000000006</v>
      </c>
      <c r="O45" s="25">
        <f>N45/N48</f>
        <v>0.58201380009379788</v>
      </c>
    </row>
    <row r="46" spans="1:15" ht="11.25" customHeight="1" x14ac:dyDescent="0.2">
      <c r="A46" s="98" t="s">
        <v>103</v>
      </c>
      <c r="B46" s="88" t="s">
        <v>105</v>
      </c>
      <c r="G46" s="97" t="s">
        <v>32</v>
      </c>
      <c r="H46" s="308">
        <f>T11</f>
        <v>144.22277729999999</v>
      </c>
      <c r="I46" s="323">
        <f>VLOOKUP(A46,'[1]TAB OGU JUN18'!$A:$G,6,"falso")</f>
        <v>1.32</v>
      </c>
      <c r="J46" s="323">
        <f>VLOOKUP(A46,'[1]TAB OGU JUN18'!$A:$G,4,"falso")</f>
        <v>1.32</v>
      </c>
      <c r="K46" s="308">
        <f>H46*J46</f>
        <v>190.37406603599999</v>
      </c>
      <c r="L46" s="323">
        <f>VLOOKUP(A46,'[1]TAB OGU JUN18'!$A:$G,5,"falso")</f>
        <v>0</v>
      </c>
      <c r="M46" s="308"/>
      <c r="N46" s="308">
        <f>H46*I46</f>
        <v>190.37406603599999</v>
      </c>
      <c r="O46" s="25">
        <f>N46/N48</f>
        <v>0.41798619990620217</v>
      </c>
    </row>
    <row r="47" spans="1:15" ht="11.25" customHeight="1" x14ac:dyDescent="0.2">
      <c r="B47" s="130"/>
      <c r="G47" s="52"/>
      <c r="H47" s="324"/>
      <c r="I47" s="313"/>
      <c r="J47" s="313"/>
      <c r="K47" s="313"/>
      <c r="L47" s="313"/>
      <c r="M47" s="313"/>
      <c r="N47" s="308"/>
      <c r="O47" s="25"/>
    </row>
    <row r="48" spans="1:15" ht="11.25" customHeight="1" x14ac:dyDescent="0.2">
      <c r="B48" s="130" t="s">
        <v>18</v>
      </c>
      <c r="C48" s="131"/>
      <c r="D48" s="131"/>
      <c r="E48" s="131"/>
      <c r="F48" s="131"/>
      <c r="G48" s="53"/>
      <c r="H48" s="325"/>
      <c r="I48" s="326"/>
      <c r="J48" s="326"/>
      <c r="K48" s="326"/>
      <c r="L48" s="326"/>
      <c r="M48" s="326"/>
      <c r="N48" s="308">
        <f>N46+N45</f>
        <v>455.45538603600005</v>
      </c>
      <c r="O48" s="25">
        <f>N48/N66</f>
        <v>8.3155603304931672E-2</v>
      </c>
    </row>
    <row r="49" spans="1:15" ht="11.25" customHeight="1" x14ac:dyDescent="0.2">
      <c r="B49" s="130"/>
      <c r="G49" s="52"/>
      <c r="H49" s="324"/>
      <c r="I49" s="313"/>
      <c r="J49" s="313"/>
      <c r="K49" s="313"/>
      <c r="L49" s="313"/>
      <c r="M49" s="313"/>
      <c r="N49" s="308"/>
      <c r="O49" s="25"/>
    </row>
    <row r="50" spans="1:15" ht="11.25" customHeight="1" x14ac:dyDescent="0.2">
      <c r="A50" s="98" t="s">
        <v>106</v>
      </c>
      <c r="B50" s="88" t="s">
        <v>109</v>
      </c>
      <c r="G50" s="97"/>
      <c r="H50" s="308"/>
      <c r="I50" s="308"/>
      <c r="J50" s="308"/>
      <c r="K50" s="308"/>
      <c r="L50" s="308"/>
      <c r="M50" s="308"/>
      <c r="N50" s="308"/>
      <c r="O50" s="25"/>
    </row>
    <row r="51" spans="1:15" ht="11.25" customHeight="1" x14ac:dyDescent="0.2">
      <c r="A51" s="98" t="s">
        <v>107</v>
      </c>
      <c r="B51" s="88" t="s">
        <v>104</v>
      </c>
      <c r="G51" s="97" t="s">
        <v>32</v>
      </c>
      <c r="H51" s="308">
        <f>H45</f>
        <v>35.821800000000003</v>
      </c>
      <c r="I51" s="323">
        <f>VLOOKUP(A51,'[1]TAB OGU JUN18'!$A:$G,6,"falso")</f>
        <v>20.56</v>
      </c>
      <c r="J51" s="323">
        <f>VLOOKUP(A51,'[1]TAB OGU JUN18'!$A:$G,4,"falso")</f>
        <v>20.56</v>
      </c>
      <c r="K51" s="308">
        <f>H51*J51</f>
        <v>736.49620800000002</v>
      </c>
      <c r="L51" s="323">
        <f>VLOOKUP(A51,'[1]TAB OGU JUN18'!$A:$G,5,"falso")</f>
        <v>0</v>
      </c>
      <c r="M51" s="308"/>
      <c r="N51" s="308">
        <f>H51*I51</f>
        <v>736.49620800000002</v>
      </c>
      <c r="O51" s="25">
        <f>N51/N54</f>
        <v>0.55769882557226735</v>
      </c>
    </row>
    <row r="52" spans="1:15" ht="11.25" customHeight="1" x14ac:dyDescent="0.2">
      <c r="A52" s="98" t="s">
        <v>108</v>
      </c>
      <c r="B52" s="88" t="s">
        <v>105</v>
      </c>
      <c r="G52" s="97" t="s">
        <v>32</v>
      </c>
      <c r="H52" s="308">
        <f>H46</f>
        <v>144.22277729999999</v>
      </c>
      <c r="I52" s="323">
        <f>VLOOKUP(A52,'[1]TAB OGU JUN18'!$A:$G,6,"falso")</f>
        <v>4.05</v>
      </c>
      <c r="J52" s="323">
        <f>VLOOKUP(A52,'[1]TAB OGU JUN18'!$A:$G,4,"falso")</f>
        <v>4.05</v>
      </c>
      <c r="K52" s="308">
        <f>H52*J52</f>
        <v>584.10224806499991</v>
      </c>
      <c r="L52" s="323">
        <f>VLOOKUP(A52,'[1]TAB OGU JUN18'!$A:$G,5,"falso")</f>
        <v>0</v>
      </c>
      <c r="M52" s="308"/>
      <c r="N52" s="308">
        <f>H52*I52</f>
        <v>584.10224806499991</v>
      </c>
      <c r="O52" s="25">
        <f>N52/N54</f>
        <v>0.44230117442773259</v>
      </c>
    </row>
    <row r="53" spans="1:15" ht="11.25" customHeight="1" x14ac:dyDescent="0.2">
      <c r="B53" s="130"/>
      <c r="G53" s="52"/>
      <c r="H53" s="324"/>
      <c r="I53" s="313"/>
      <c r="J53" s="313"/>
      <c r="K53" s="313"/>
      <c r="L53" s="313"/>
      <c r="M53" s="313"/>
      <c r="N53" s="308"/>
      <c r="O53" s="25"/>
    </row>
    <row r="54" spans="1:15" ht="11.25" customHeight="1" x14ac:dyDescent="0.2">
      <c r="B54" s="130" t="s">
        <v>18</v>
      </c>
      <c r="C54" s="131"/>
      <c r="D54" s="131"/>
      <c r="E54" s="131"/>
      <c r="F54" s="131"/>
      <c r="G54" s="53"/>
      <c r="H54" s="325"/>
      <c r="I54" s="326"/>
      <c r="J54" s="326"/>
      <c r="K54" s="326"/>
      <c r="L54" s="326"/>
      <c r="M54" s="326"/>
      <c r="N54" s="308">
        <f>N52+N51</f>
        <v>1320.5984560649999</v>
      </c>
      <c r="O54" s="25">
        <f>N54/N66</f>
        <v>0.2411106876864694</v>
      </c>
    </row>
    <row r="55" spans="1:15" ht="11.25" customHeight="1" x14ac:dyDescent="0.2">
      <c r="B55" s="130"/>
      <c r="G55" s="52"/>
      <c r="H55" s="324"/>
      <c r="I55" s="313"/>
      <c r="J55" s="313"/>
      <c r="K55" s="313"/>
      <c r="L55" s="313"/>
      <c r="M55" s="313"/>
      <c r="N55" s="308"/>
      <c r="O55" s="25"/>
    </row>
    <row r="56" spans="1:15" ht="11.25" customHeight="1" x14ac:dyDescent="0.2">
      <c r="A56" s="98" t="s">
        <v>110</v>
      </c>
      <c r="B56" s="88" t="s">
        <v>112</v>
      </c>
      <c r="G56" s="52"/>
      <c r="H56" s="324"/>
      <c r="I56" s="313"/>
      <c r="J56" s="313"/>
      <c r="K56" s="313"/>
      <c r="L56" s="313"/>
      <c r="M56" s="313"/>
      <c r="N56" s="313"/>
      <c r="O56" s="19"/>
    </row>
    <row r="57" spans="1:15" ht="11.25" customHeight="1" x14ac:dyDescent="0.2">
      <c r="A57" s="98" t="s">
        <v>111</v>
      </c>
      <c r="B57" s="88" t="s">
        <v>113</v>
      </c>
      <c r="G57" s="97" t="s">
        <v>32</v>
      </c>
      <c r="H57" s="308">
        <f>T12</f>
        <v>15.457106700000002</v>
      </c>
      <c r="I57" s="323">
        <f>VLOOKUP(A57,'[1]TAB OGU JUN18'!$A:$G,6,"falso")</f>
        <v>1.85</v>
      </c>
      <c r="J57" s="323">
        <f>VLOOKUP(A57,'[1]TAB OGU JUN18'!$A:$G,4,"falso")</f>
        <v>1.85</v>
      </c>
      <c r="K57" s="308">
        <f>H57*J57</f>
        <v>28.595647395000007</v>
      </c>
      <c r="L57" s="323">
        <f>VLOOKUP(A57,'[1]TAB OGU JUN18'!$A:$G,5,"falso")</f>
        <v>0</v>
      </c>
      <c r="M57" s="308"/>
      <c r="N57" s="308">
        <f>H57*I57</f>
        <v>28.595647395000007</v>
      </c>
      <c r="O57" s="25">
        <f>N57/N59</f>
        <v>1</v>
      </c>
    </row>
    <row r="58" spans="1:15" ht="11.25" customHeight="1" x14ac:dyDescent="0.2">
      <c r="G58" s="52"/>
      <c r="H58" s="324"/>
      <c r="I58" s="313"/>
      <c r="J58" s="313"/>
      <c r="K58" s="313"/>
      <c r="L58" s="313"/>
      <c r="M58" s="313"/>
      <c r="N58" s="313"/>
      <c r="O58" s="19"/>
    </row>
    <row r="59" spans="1:15" ht="11.25" customHeight="1" x14ac:dyDescent="0.2">
      <c r="B59" s="130" t="s">
        <v>18</v>
      </c>
      <c r="C59" s="131"/>
      <c r="D59" s="131"/>
      <c r="E59" s="131"/>
      <c r="F59" s="131"/>
      <c r="G59" s="53"/>
      <c r="H59" s="325"/>
      <c r="I59" s="326"/>
      <c r="J59" s="326"/>
      <c r="K59" s="326"/>
      <c r="L59" s="326"/>
      <c r="M59" s="326"/>
      <c r="N59" s="308">
        <f>N57</f>
        <v>28.595647395000007</v>
      </c>
      <c r="O59" s="25">
        <f>N59/N66</f>
        <v>5.2209028237035068E-3</v>
      </c>
    </row>
    <row r="60" spans="1:15" ht="11.25" customHeight="1" x14ac:dyDescent="0.2">
      <c r="B60" s="130"/>
      <c r="G60" s="52"/>
      <c r="H60" s="324"/>
      <c r="I60" s="313"/>
      <c r="J60" s="313"/>
      <c r="K60" s="313"/>
      <c r="L60" s="313"/>
      <c r="M60" s="313"/>
      <c r="N60" s="308"/>
      <c r="O60" s="25"/>
    </row>
    <row r="61" spans="1:15" ht="11.25" customHeight="1" x14ac:dyDescent="0.2">
      <c r="A61" s="98" t="s">
        <v>114</v>
      </c>
      <c r="B61" s="88" t="s">
        <v>737</v>
      </c>
      <c r="G61" s="52"/>
      <c r="H61" s="324"/>
      <c r="I61" s="313"/>
      <c r="J61" s="313"/>
      <c r="K61" s="313"/>
      <c r="L61" s="313"/>
      <c r="M61" s="313"/>
      <c r="N61" s="313"/>
      <c r="O61" s="19"/>
    </row>
    <row r="62" spans="1:15" ht="11.25" customHeight="1" x14ac:dyDescent="0.2">
      <c r="A62" s="98" t="s">
        <v>115</v>
      </c>
      <c r="B62" s="88" t="s">
        <v>116</v>
      </c>
      <c r="G62" s="97" t="s">
        <v>180</v>
      </c>
      <c r="H62" s="308">
        <f>H57*3</f>
        <v>46.371320100000005</v>
      </c>
      <c r="I62" s="323">
        <f>VLOOKUP(A62,'[1]TAB OGU JUN18'!$A:$G,6,"falso")</f>
        <v>1</v>
      </c>
      <c r="J62" s="323">
        <f>VLOOKUP(A62,'[1]TAB OGU JUN18'!$A:$G,4,"falso")</f>
        <v>1</v>
      </c>
      <c r="K62" s="308">
        <f>H62*J62</f>
        <v>46.371320100000005</v>
      </c>
      <c r="L62" s="323">
        <f>VLOOKUP(A62,'[1]TAB OGU JUN18'!$A:$G,5,"falso")</f>
        <v>0</v>
      </c>
      <c r="M62" s="308"/>
      <c r="N62" s="308">
        <f>H62*I62</f>
        <v>46.371320100000005</v>
      </c>
      <c r="O62" s="25">
        <f>N62/N64</f>
        <v>1</v>
      </c>
    </row>
    <row r="63" spans="1:15" ht="11.25" customHeight="1" x14ac:dyDescent="0.2">
      <c r="G63" s="52"/>
      <c r="H63" s="324"/>
      <c r="I63" s="313"/>
      <c r="J63" s="313"/>
      <c r="K63" s="313"/>
      <c r="L63" s="313"/>
      <c r="M63" s="313"/>
      <c r="N63" s="313"/>
      <c r="O63" s="19"/>
    </row>
    <row r="64" spans="1:15" ht="11.25" customHeight="1" x14ac:dyDescent="0.2">
      <c r="B64" s="130" t="s">
        <v>18</v>
      </c>
      <c r="C64" s="131"/>
      <c r="D64" s="131"/>
      <c r="E64" s="131"/>
      <c r="F64" s="131"/>
      <c r="G64" s="53"/>
      <c r="H64" s="325"/>
      <c r="I64" s="326"/>
      <c r="J64" s="326"/>
      <c r="K64" s="326"/>
      <c r="L64" s="326"/>
      <c r="M64" s="326"/>
      <c r="N64" s="308">
        <f>N62</f>
        <v>46.371320100000005</v>
      </c>
      <c r="O64" s="25">
        <f>N64/N66</f>
        <v>8.4663289033029832E-3</v>
      </c>
    </row>
    <row r="65" spans="1:17" ht="11.25" customHeight="1" x14ac:dyDescent="0.2">
      <c r="B65" s="130"/>
      <c r="G65" s="52"/>
      <c r="H65" s="324"/>
      <c r="I65" s="313"/>
      <c r="J65" s="313"/>
      <c r="K65" s="313"/>
      <c r="L65" s="313"/>
      <c r="M65" s="313"/>
      <c r="N65" s="308"/>
      <c r="O65" s="25"/>
    </row>
    <row r="66" spans="1:17" s="132" customFormat="1" ht="11.25" customHeight="1" x14ac:dyDescent="0.2">
      <c r="B66" s="133" t="s">
        <v>20</v>
      </c>
      <c r="C66" s="134"/>
      <c r="D66" s="134"/>
      <c r="E66" s="134"/>
      <c r="F66" s="134"/>
      <c r="G66" s="78"/>
      <c r="H66" s="327"/>
      <c r="I66" s="328"/>
      <c r="J66" s="328"/>
      <c r="K66" s="328"/>
      <c r="L66" s="328"/>
      <c r="M66" s="328"/>
      <c r="N66" s="310">
        <f>N64+N59+N54+N48+N42+N36</f>
        <v>5477.1460723559994</v>
      </c>
      <c r="O66" s="77">
        <f>N66/N118</f>
        <v>0.42399669217960656</v>
      </c>
    </row>
    <row r="67" spans="1:17" ht="11.25" customHeight="1" x14ac:dyDescent="0.2">
      <c r="B67" s="130"/>
      <c r="G67" s="52"/>
      <c r="H67" s="324"/>
      <c r="I67" s="313"/>
      <c r="J67" s="313"/>
      <c r="K67" s="313"/>
      <c r="L67" s="313"/>
      <c r="M67" s="313"/>
      <c r="N67" s="308"/>
      <c r="O67" s="25"/>
    </row>
    <row r="68" spans="1:17" ht="11.25" customHeight="1" x14ac:dyDescent="0.2">
      <c r="A68" s="129" t="s">
        <v>117</v>
      </c>
      <c r="B68" s="88" t="s">
        <v>22</v>
      </c>
      <c r="H68" s="329"/>
      <c r="I68" s="311"/>
      <c r="J68" s="311"/>
      <c r="K68" s="311"/>
      <c r="L68" s="311"/>
      <c r="M68" s="311"/>
      <c r="N68" s="311"/>
      <c r="O68" s="19"/>
    </row>
    <row r="69" spans="1:17" ht="11.25" customHeight="1" x14ac:dyDescent="0.2">
      <c r="A69" s="129" t="s">
        <v>118</v>
      </c>
      <c r="B69" s="88" t="s">
        <v>23</v>
      </c>
      <c r="H69" s="329"/>
      <c r="I69" s="311"/>
      <c r="J69" s="311"/>
      <c r="K69" s="311"/>
      <c r="L69" s="311"/>
      <c r="M69" s="311"/>
      <c r="N69" s="311"/>
      <c r="O69" s="19"/>
    </row>
    <row r="70" spans="1:17" ht="11.25" customHeight="1" x14ac:dyDescent="0.2">
      <c r="A70" s="129" t="s">
        <v>119</v>
      </c>
      <c r="B70" s="88" t="s">
        <v>120</v>
      </c>
      <c r="G70" s="97" t="s">
        <v>31</v>
      </c>
      <c r="H70" s="308">
        <f>0.95*S6</f>
        <v>123.81773319999998</v>
      </c>
      <c r="I70" s="323">
        <f>VLOOKUP(A70,'[1]TAB OGU JUN18'!$A:$G,6,"falso")</f>
        <v>14.81</v>
      </c>
      <c r="J70" s="323">
        <f>VLOOKUP(A70,'[1]TAB OGU JUN18'!$A:$G,4,"falso")</f>
        <v>13.63</v>
      </c>
      <c r="K70" s="308">
        <f>H70*J70</f>
        <v>1687.6357035159997</v>
      </c>
      <c r="L70" s="323">
        <f>VLOOKUP(A70,'[1]TAB OGU JUN18'!$A:$G,5,"falso")</f>
        <v>1.18</v>
      </c>
      <c r="M70" s="308">
        <f>H70*L70</f>
        <v>146.10492517599997</v>
      </c>
      <c r="N70" s="308">
        <f>H70*I70</f>
        <v>1833.7406286919997</v>
      </c>
      <c r="O70" s="25">
        <f>N70/N73</f>
        <v>0.92425685662670387</v>
      </c>
    </row>
    <row r="71" spans="1:17" ht="11.25" customHeight="1" x14ac:dyDescent="0.2">
      <c r="A71" s="129" t="s">
        <v>224</v>
      </c>
      <c r="B71" s="88" t="s">
        <v>225</v>
      </c>
      <c r="G71" s="97" t="s">
        <v>31</v>
      </c>
      <c r="H71" s="308">
        <f>0.05*S6</f>
        <v>6.5167228000000001</v>
      </c>
      <c r="I71" s="323">
        <f>VLOOKUP(A71,'[1]TAB OGU JUN18'!$A:$G,6,"falso")</f>
        <v>23.06</v>
      </c>
      <c r="J71" s="323">
        <f>VLOOKUP(A71,'[1]TAB OGU JUN18'!$A:$G,4,"falso")</f>
        <v>22.37</v>
      </c>
      <c r="K71" s="308">
        <f>H71*J71</f>
        <v>145.77908903600002</v>
      </c>
      <c r="L71" s="323">
        <f>VLOOKUP(A71,'[1]TAB OGU JUN18'!$A:$G,5,"falso")-0.01</f>
        <v>0.67999999999999994</v>
      </c>
      <c r="M71" s="308">
        <f>H71*L71</f>
        <v>4.4313715039999995</v>
      </c>
      <c r="N71" s="308">
        <f>H71*I71</f>
        <v>150.27562776799999</v>
      </c>
      <c r="O71" s="25">
        <f>N71/N73</f>
        <v>7.5743143373296115E-2</v>
      </c>
    </row>
    <row r="72" spans="1:17" ht="11.25" customHeight="1" x14ac:dyDescent="0.2">
      <c r="B72" s="130"/>
      <c r="G72" s="52"/>
      <c r="H72" s="324"/>
      <c r="I72" s="313"/>
      <c r="J72" s="313"/>
      <c r="K72" s="313"/>
      <c r="L72" s="313"/>
      <c r="M72" s="313"/>
      <c r="N72" s="308"/>
      <c r="O72" s="25"/>
    </row>
    <row r="73" spans="1:17" ht="11.25" customHeight="1" x14ac:dyDescent="0.2">
      <c r="B73" s="130" t="s">
        <v>18</v>
      </c>
      <c r="C73" s="131"/>
      <c r="D73" s="131"/>
      <c r="E73" s="131"/>
      <c r="F73" s="131"/>
      <c r="G73" s="53"/>
      <c r="H73" s="325"/>
      <c r="I73" s="326"/>
      <c r="J73" s="326"/>
      <c r="K73" s="326"/>
      <c r="L73" s="326"/>
      <c r="M73" s="326"/>
      <c r="N73" s="308">
        <f>N70+N71</f>
        <v>1984.0162564599998</v>
      </c>
      <c r="O73" s="25">
        <f>N73/N80</f>
        <v>1</v>
      </c>
    </row>
    <row r="74" spans="1:17" ht="12.75" hidden="1" x14ac:dyDescent="0.2">
      <c r="B74" s="130"/>
      <c r="G74" s="52"/>
      <c r="H74" s="324"/>
      <c r="I74" s="324"/>
      <c r="J74" s="313"/>
      <c r="K74" s="313"/>
      <c r="L74" s="313"/>
      <c r="M74" s="313"/>
      <c r="N74" s="308"/>
      <c r="O74" s="25"/>
      <c r="Q74" s="311"/>
    </row>
    <row r="75" spans="1:17" ht="12.75" hidden="1" x14ac:dyDescent="0.2">
      <c r="A75" s="129" t="s">
        <v>304</v>
      </c>
      <c r="B75" s="88" t="s">
        <v>305</v>
      </c>
      <c r="H75" s="329"/>
      <c r="I75" s="329"/>
      <c r="J75" s="311"/>
      <c r="K75" s="311"/>
      <c r="L75" s="311"/>
      <c r="M75" s="311"/>
      <c r="N75" s="311"/>
      <c r="O75" s="19"/>
      <c r="Q75" s="311"/>
    </row>
    <row r="76" spans="1:17" ht="12.75" hidden="1" x14ac:dyDescent="0.2">
      <c r="A76" s="129" t="s">
        <v>306</v>
      </c>
      <c r="B76" s="88" t="s">
        <v>307</v>
      </c>
      <c r="G76" s="97" t="s">
        <v>31</v>
      </c>
      <c r="H76" s="308"/>
      <c r="I76" s="323">
        <f>VLOOKUP(A76,'[1]TAB OGU JUN18'!$A:$G,6,"falso")</f>
        <v>144.25</v>
      </c>
      <c r="J76" s="323">
        <f>VLOOKUP(A76,'[1]TAB OGU JUN18'!$A:$G,4,"falso")</f>
        <v>134.15</v>
      </c>
      <c r="K76" s="308">
        <f>H76*J76</f>
        <v>0</v>
      </c>
      <c r="L76" s="323">
        <f>VLOOKUP(A76,'[1]TAB OGU JUN18'!$A:$G,5,"falso")</f>
        <v>10.1</v>
      </c>
      <c r="M76" s="308">
        <f>H76*L76</f>
        <v>0</v>
      </c>
      <c r="N76" s="308">
        <f>H76*I76</f>
        <v>0</v>
      </c>
      <c r="O76" s="25" t="e">
        <f>N76/N78</f>
        <v>#DIV/0!</v>
      </c>
      <c r="Q76" s="311"/>
    </row>
    <row r="77" spans="1:17" ht="12.75" hidden="1" x14ac:dyDescent="0.2">
      <c r="B77" s="130"/>
      <c r="G77" s="52"/>
      <c r="H77" s="324"/>
      <c r="I77" s="324"/>
      <c r="J77" s="313"/>
      <c r="K77" s="313"/>
      <c r="L77" s="313"/>
      <c r="M77" s="313"/>
      <c r="N77" s="308"/>
      <c r="O77" s="25"/>
      <c r="Q77" s="311"/>
    </row>
    <row r="78" spans="1:17" ht="12.75" hidden="1" x14ac:dyDescent="0.2">
      <c r="B78" s="130" t="s">
        <v>18</v>
      </c>
      <c r="C78" s="131"/>
      <c r="D78" s="131"/>
      <c r="E78" s="131"/>
      <c r="F78" s="131"/>
      <c r="G78" s="53"/>
      <c r="H78" s="325"/>
      <c r="I78" s="325"/>
      <c r="J78" s="326"/>
      <c r="K78" s="326"/>
      <c r="L78" s="326"/>
      <c r="M78" s="326"/>
      <c r="N78" s="308">
        <f>N76</f>
        <v>0</v>
      </c>
      <c r="O78" s="25">
        <f>N78/N80</f>
        <v>0</v>
      </c>
      <c r="Q78" s="311"/>
    </row>
    <row r="79" spans="1:17" ht="11.25" customHeight="1" x14ac:dyDescent="0.2">
      <c r="B79" s="130"/>
      <c r="G79" s="52"/>
      <c r="H79" s="324"/>
      <c r="I79" s="313"/>
      <c r="J79" s="313"/>
      <c r="K79" s="313"/>
      <c r="L79" s="313"/>
      <c r="M79" s="313"/>
      <c r="N79" s="308"/>
      <c r="O79" s="25"/>
    </row>
    <row r="80" spans="1:17" s="132" customFormat="1" ht="11.25" customHeight="1" x14ac:dyDescent="0.2">
      <c r="B80" s="133" t="s">
        <v>20</v>
      </c>
      <c r="C80" s="134"/>
      <c r="D80" s="134"/>
      <c r="E80" s="134"/>
      <c r="F80" s="134"/>
      <c r="G80" s="78"/>
      <c r="H80" s="327"/>
      <c r="I80" s="328"/>
      <c r="J80" s="328"/>
      <c r="K80" s="328"/>
      <c r="L80" s="328"/>
      <c r="M80" s="328"/>
      <c r="N80" s="310">
        <f>N73+N78</f>
        <v>1984.0162564599998</v>
      </c>
      <c r="O80" s="77">
        <f>N80/N118</f>
        <v>0.15358661588657538</v>
      </c>
    </row>
    <row r="81" spans="1:17" ht="11.25" customHeight="1" x14ac:dyDescent="0.2">
      <c r="B81" s="130"/>
      <c r="G81" s="52"/>
      <c r="H81" s="324"/>
      <c r="I81" s="313"/>
      <c r="J81" s="313"/>
      <c r="K81" s="313"/>
      <c r="L81" s="313"/>
      <c r="M81" s="313"/>
      <c r="N81" s="308"/>
      <c r="O81" s="25"/>
    </row>
    <row r="82" spans="1:17" ht="11.25" customHeight="1" x14ac:dyDescent="0.2">
      <c r="A82" s="129" t="s">
        <v>124</v>
      </c>
      <c r="B82" s="88" t="s">
        <v>121</v>
      </c>
      <c r="H82" s="329"/>
      <c r="I82" s="311"/>
      <c r="J82" s="311"/>
      <c r="K82" s="311"/>
      <c r="L82" s="311"/>
      <c r="M82" s="311"/>
      <c r="N82" s="311"/>
      <c r="O82" s="19"/>
    </row>
    <row r="83" spans="1:17" ht="11.25" customHeight="1" x14ac:dyDescent="0.2">
      <c r="A83" s="129" t="s">
        <v>125</v>
      </c>
      <c r="B83" s="88" t="s">
        <v>122</v>
      </c>
      <c r="H83" s="329"/>
      <c r="I83" s="311"/>
      <c r="J83" s="311"/>
      <c r="K83" s="311"/>
      <c r="L83" s="311"/>
      <c r="M83" s="311"/>
      <c r="N83" s="311"/>
      <c r="O83" s="19"/>
    </row>
    <row r="84" spans="1:17" ht="11.25" customHeight="1" x14ac:dyDescent="0.2">
      <c r="A84" s="129" t="s">
        <v>126</v>
      </c>
      <c r="B84" s="88" t="s">
        <v>189</v>
      </c>
      <c r="G84" s="97" t="s">
        <v>123</v>
      </c>
      <c r="H84" s="308">
        <f>((H14*R6*Q6)*0.06*1000)/20000</f>
        <v>0.58650505200000003</v>
      </c>
      <c r="I84" s="323">
        <f>VLOOKUP(A84,'[1]TAB OGU JUN18'!$A:$G,6,"falso")</f>
        <v>5.52</v>
      </c>
      <c r="J84" s="323">
        <f>VLOOKUP(A84,'[1]TAB OGU JUN18'!$A:$G,4,"falso")</f>
        <v>5.52</v>
      </c>
      <c r="K84" s="308">
        <f>H84*J84</f>
        <v>3.23750788704</v>
      </c>
      <c r="L84" s="323">
        <f>VLOOKUP(A84,'[1]TAB OGU JUN18'!$A:$G,5,"falso")</f>
        <v>0</v>
      </c>
      <c r="M84" s="308"/>
      <c r="N84" s="308">
        <f>H84*I84</f>
        <v>3.23750788704</v>
      </c>
      <c r="O84" s="25">
        <f>N84/N86</f>
        <v>1</v>
      </c>
    </row>
    <row r="85" spans="1:17" ht="11.25" customHeight="1" x14ac:dyDescent="0.2">
      <c r="B85" s="130"/>
      <c r="G85" s="52"/>
      <c r="H85" s="324"/>
      <c r="I85" s="313"/>
      <c r="J85" s="313"/>
      <c r="K85" s="313"/>
      <c r="L85" s="313"/>
      <c r="M85" s="313"/>
      <c r="N85" s="308"/>
      <c r="O85" s="25"/>
    </row>
    <row r="86" spans="1:17" ht="11.25" customHeight="1" x14ac:dyDescent="0.2">
      <c r="B86" s="130" t="s">
        <v>18</v>
      </c>
      <c r="C86" s="131"/>
      <c r="D86" s="131"/>
      <c r="E86" s="131"/>
      <c r="F86" s="131"/>
      <c r="G86" s="53"/>
      <c r="H86" s="325"/>
      <c r="I86" s="326"/>
      <c r="J86" s="326"/>
      <c r="K86" s="326"/>
      <c r="L86" s="326"/>
      <c r="M86" s="326"/>
      <c r="N86" s="308">
        <f>N84</f>
        <v>3.23750788704</v>
      </c>
      <c r="O86" s="25">
        <f>N86/N88</f>
        <v>1</v>
      </c>
    </row>
    <row r="87" spans="1:17" ht="11.25" customHeight="1" x14ac:dyDescent="0.2">
      <c r="B87" s="130"/>
      <c r="G87" s="52"/>
      <c r="H87" s="324"/>
      <c r="I87" s="313"/>
      <c r="J87" s="313"/>
      <c r="K87" s="313"/>
      <c r="L87" s="313"/>
      <c r="M87" s="313"/>
      <c r="N87" s="308"/>
      <c r="O87" s="25"/>
    </row>
    <row r="88" spans="1:17" s="132" customFormat="1" ht="11.25" customHeight="1" x14ac:dyDescent="0.2">
      <c r="B88" s="133" t="s">
        <v>20</v>
      </c>
      <c r="C88" s="134"/>
      <c r="D88" s="134"/>
      <c r="E88" s="134"/>
      <c r="F88" s="134"/>
      <c r="G88" s="78"/>
      <c r="H88" s="327"/>
      <c r="I88" s="328"/>
      <c r="J88" s="328"/>
      <c r="K88" s="328"/>
      <c r="L88" s="328"/>
      <c r="M88" s="328"/>
      <c r="N88" s="310">
        <f>N86</f>
        <v>3.23750788704</v>
      </c>
      <c r="O88" s="77">
        <f>N88/N118</f>
        <v>2.5062187805042097E-4</v>
      </c>
    </row>
    <row r="89" spans="1:17" ht="11.25" customHeight="1" x14ac:dyDescent="0.2">
      <c r="B89" s="130"/>
      <c r="G89" s="52"/>
      <c r="H89" s="324"/>
      <c r="I89" s="313"/>
      <c r="J89" s="313"/>
      <c r="K89" s="313"/>
      <c r="L89" s="313"/>
      <c r="M89" s="313"/>
      <c r="N89" s="308"/>
      <c r="O89" s="25"/>
    </row>
    <row r="90" spans="1:17" ht="11.25" customHeight="1" x14ac:dyDescent="0.2">
      <c r="A90" s="129" t="s">
        <v>127</v>
      </c>
      <c r="B90" s="88" t="s">
        <v>130</v>
      </c>
      <c r="H90" s="329"/>
      <c r="I90" s="311"/>
      <c r="J90" s="311"/>
      <c r="K90" s="311"/>
      <c r="L90" s="311"/>
      <c r="M90" s="311"/>
      <c r="N90" s="311"/>
      <c r="O90" s="19"/>
    </row>
    <row r="91" spans="1:17" ht="11.25" customHeight="1" x14ac:dyDescent="0.2">
      <c r="A91" s="129" t="s">
        <v>128</v>
      </c>
      <c r="B91" s="88" t="s">
        <v>131</v>
      </c>
      <c r="H91" s="329"/>
      <c r="I91" s="311"/>
      <c r="J91" s="311"/>
      <c r="K91" s="311"/>
      <c r="L91" s="311"/>
      <c r="M91" s="311"/>
      <c r="N91" s="311"/>
      <c r="O91" s="19"/>
    </row>
    <row r="92" spans="1:17" ht="11.25" customHeight="1" x14ac:dyDescent="0.2">
      <c r="A92" s="129" t="s">
        <v>129</v>
      </c>
      <c r="B92" s="88" t="s">
        <v>132</v>
      </c>
      <c r="G92" s="97" t="s">
        <v>17</v>
      </c>
      <c r="H92" s="308">
        <f>H14-H93</f>
        <v>199.01</v>
      </c>
      <c r="I92" s="323">
        <f>VLOOKUP(A92,'[1]TAB OGU JUN18'!$A:$G,6,"falso")</f>
        <v>2.64</v>
      </c>
      <c r="J92" s="323">
        <f>VLOOKUP(A92,'[1]TAB OGU JUN18'!$A:$G,4,"falso")</f>
        <v>2.56</v>
      </c>
      <c r="K92" s="308">
        <f>H92*J92</f>
        <v>509.46559999999999</v>
      </c>
      <c r="L92" s="323">
        <f>VLOOKUP(A92,'[1]TAB OGU JUN18'!$A:$G,5,"falso")</f>
        <v>0.08</v>
      </c>
      <c r="M92" s="308">
        <f>H92*L92</f>
        <v>15.9208</v>
      </c>
      <c r="N92" s="308">
        <f>H92*I92</f>
        <v>525.38639999999998</v>
      </c>
      <c r="O92" s="25">
        <f>N92/$N$95</f>
        <v>1</v>
      </c>
    </row>
    <row r="93" spans="1:17" ht="12.75" hidden="1" x14ac:dyDescent="0.2">
      <c r="A93" s="129" t="s">
        <v>207</v>
      </c>
      <c r="B93" s="88" t="s">
        <v>206</v>
      </c>
      <c r="G93" s="97" t="s">
        <v>17</v>
      </c>
      <c r="H93" s="308">
        <v>0</v>
      </c>
      <c r="I93" s="323">
        <f>VLOOKUP(A93,'[1]TAB OGU JUN18'!$A:$G,6,"falso")</f>
        <v>3.14</v>
      </c>
      <c r="J93" s="323">
        <f>VLOOKUP(A93,'[1]TAB OGU JUN18'!$A:$G,4,"falso")</f>
        <v>3.01</v>
      </c>
      <c r="K93" s="308">
        <f>H93*J93</f>
        <v>0</v>
      </c>
      <c r="L93" s="323">
        <f>VLOOKUP(A93,'[1]TAB OGU JUN18'!$A:$G,5,"falso")</f>
        <v>0.13</v>
      </c>
      <c r="M93" s="308">
        <f>H93*L93</f>
        <v>0</v>
      </c>
      <c r="N93" s="308">
        <f>H93*I93</f>
        <v>0</v>
      </c>
      <c r="O93" s="25">
        <f>N93/$N$95</f>
        <v>0</v>
      </c>
      <c r="Q93" s="311"/>
    </row>
    <row r="94" spans="1:17" ht="11.25" customHeight="1" x14ac:dyDescent="0.2">
      <c r="B94" s="130"/>
      <c r="G94" s="52"/>
      <c r="H94" s="324"/>
      <c r="I94" s="313"/>
      <c r="J94" s="313"/>
      <c r="K94" s="313"/>
      <c r="L94" s="313"/>
      <c r="M94" s="313"/>
      <c r="N94" s="308"/>
      <c r="O94" s="25"/>
    </row>
    <row r="95" spans="1:17" ht="11.25" customHeight="1" x14ac:dyDescent="0.2">
      <c r="B95" s="130" t="s">
        <v>18</v>
      </c>
      <c r="C95" s="131"/>
      <c r="D95" s="131"/>
      <c r="E95" s="131"/>
      <c r="F95" s="131"/>
      <c r="G95" s="53"/>
      <c r="H95" s="325"/>
      <c r="I95" s="326"/>
      <c r="J95" s="326"/>
      <c r="K95" s="326"/>
      <c r="L95" s="326"/>
      <c r="M95" s="326"/>
      <c r="N95" s="308">
        <f>SUM(N92:N93)</f>
        <v>525.38639999999998</v>
      </c>
      <c r="O95" s="25">
        <f>N95/N108</f>
        <v>0.10894173571609807</v>
      </c>
    </row>
    <row r="96" spans="1:17" ht="11.25" customHeight="1" x14ac:dyDescent="0.2">
      <c r="B96" s="130"/>
      <c r="G96" s="52"/>
      <c r="H96" s="324"/>
      <c r="I96" s="313"/>
      <c r="J96" s="313"/>
      <c r="K96" s="313"/>
      <c r="L96" s="313"/>
      <c r="M96" s="313"/>
      <c r="N96" s="308"/>
      <c r="O96" s="25"/>
    </row>
    <row r="97" spans="1:15" ht="11.25" customHeight="1" x14ac:dyDescent="0.2">
      <c r="A97" s="98" t="s">
        <v>139</v>
      </c>
      <c r="B97" s="88" t="s">
        <v>142</v>
      </c>
      <c r="G97" s="97"/>
      <c r="H97" s="308"/>
      <c r="I97" s="308"/>
      <c r="J97" s="308"/>
      <c r="K97" s="308"/>
      <c r="L97" s="308"/>
      <c r="M97" s="308"/>
      <c r="N97" s="308"/>
      <c r="O97" s="25"/>
    </row>
    <row r="98" spans="1:15" ht="11.25" customHeight="1" x14ac:dyDescent="0.2">
      <c r="A98" s="98" t="s">
        <v>140</v>
      </c>
      <c r="B98" s="88" t="s">
        <v>143</v>
      </c>
      <c r="G98" s="97" t="s">
        <v>24</v>
      </c>
      <c r="H98" s="308">
        <f>U6</f>
        <v>4</v>
      </c>
      <c r="I98" s="323">
        <f>VLOOKUP(A98,'[1]TAB OGU JUN18'!$A:$G,6,"falso")</f>
        <v>466.82</v>
      </c>
      <c r="J98" s="323">
        <f>VLOOKUP(A98,'[1]TAB OGU JUN18'!$A:$G,4,"falso")</f>
        <v>143.97</v>
      </c>
      <c r="K98" s="308">
        <f>H98*J98</f>
        <v>575.88</v>
      </c>
      <c r="L98" s="323">
        <f>VLOOKUP(A98,'[1]TAB OGU JUN18'!$A:$G,5,"falso")</f>
        <v>322.85000000000002</v>
      </c>
      <c r="M98" s="308">
        <f>H98*L98</f>
        <v>1291.4000000000001</v>
      </c>
      <c r="N98" s="308">
        <f>H98*I98</f>
        <v>1867.28</v>
      </c>
      <c r="O98" s="25">
        <f>N98/N101</f>
        <v>0.77456239393935034</v>
      </c>
    </row>
    <row r="99" spans="1:15" ht="11.25" customHeight="1" x14ac:dyDescent="0.2">
      <c r="A99" s="98" t="s">
        <v>141</v>
      </c>
      <c r="B99" s="88" t="s">
        <v>144</v>
      </c>
      <c r="G99" s="97" t="s">
        <v>17</v>
      </c>
      <c r="H99" s="308">
        <f>(Q6-1.1)*H98</f>
        <v>2.1491410481885334</v>
      </c>
      <c r="I99" s="323">
        <f>VLOOKUP(A99,'[1]TAB OGU JUN18'!$A:$G,6,"falso")</f>
        <v>252.88</v>
      </c>
      <c r="J99" s="323">
        <f>VLOOKUP(A99,'[1]TAB OGU JUN18'!$A:$G,4,"falso")</f>
        <v>47.83</v>
      </c>
      <c r="K99" s="308">
        <f>H99*J99</f>
        <v>102.79341633485754</v>
      </c>
      <c r="L99" s="323">
        <f>VLOOKUP(A99,'[1]TAB OGU JUN18'!$A:$G,5,"falso")</f>
        <v>205.05</v>
      </c>
      <c r="M99" s="308">
        <f>H99*L99</f>
        <v>440.68137193105878</v>
      </c>
      <c r="N99" s="308">
        <f>H99*I99</f>
        <v>543.47478826591635</v>
      </c>
      <c r="O99" s="25">
        <f>N99/N101</f>
        <v>0.22543760606064958</v>
      </c>
    </row>
    <row r="100" spans="1:15" ht="11.25" customHeight="1" x14ac:dyDescent="0.2">
      <c r="B100" s="130"/>
      <c r="G100" s="52"/>
      <c r="H100" s="324"/>
      <c r="I100" s="313"/>
      <c r="J100" s="313"/>
      <c r="K100" s="313"/>
      <c r="L100" s="313"/>
      <c r="M100" s="313"/>
      <c r="N100" s="308"/>
      <c r="O100" s="25"/>
    </row>
    <row r="101" spans="1:15" ht="11.25" customHeight="1" x14ac:dyDescent="0.2">
      <c r="B101" s="130" t="s">
        <v>18</v>
      </c>
      <c r="C101" s="131"/>
      <c r="D101" s="131"/>
      <c r="E101" s="131"/>
      <c r="F101" s="131"/>
      <c r="G101" s="53"/>
      <c r="H101" s="325"/>
      <c r="I101" s="326"/>
      <c r="J101" s="326"/>
      <c r="K101" s="326"/>
      <c r="L101" s="326"/>
      <c r="M101" s="326"/>
      <c r="N101" s="308">
        <f>N99+N98</f>
        <v>2410.7547882659164</v>
      </c>
      <c r="O101" s="25">
        <f>N101/N108</f>
        <v>0.49988315460693961</v>
      </c>
    </row>
    <row r="102" spans="1:15" ht="11.25" customHeight="1" x14ac:dyDescent="0.2">
      <c r="B102" s="130"/>
      <c r="G102" s="52"/>
      <c r="H102" s="324"/>
      <c r="I102" s="313"/>
      <c r="J102" s="313"/>
      <c r="K102" s="313"/>
      <c r="L102" s="313"/>
      <c r="M102" s="313"/>
      <c r="N102" s="308"/>
      <c r="O102" s="25"/>
    </row>
    <row r="103" spans="1:15" ht="11.25" customHeight="1" x14ac:dyDescent="0.2">
      <c r="A103" s="129" t="s">
        <v>145</v>
      </c>
      <c r="B103" s="88" t="s">
        <v>26</v>
      </c>
      <c r="H103" s="329"/>
      <c r="I103" s="311"/>
      <c r="J103" s="311"/>
      <c r="K103" s="311"/>
      <c r="L103" s="311"/>
      <c r="M103" s="311"/>
      <c r="N103" s="311"/>
      <c r="O103" s="19"/>
    </row>
    <row r="104" spans="1:15" ht="11.25" customHeight="1" x14ac:dyDescent="0.2">
      <c r="A104" s="129" t="s">
        <v>146</v>
      </c>
      <c r="B104" s="88" t="s">
        <v>147</v>
      </c>
      <c r="G104" s="97" t="s">
        <v>32</v>
      </c>
      <c r="H104" s="308">
        <f>H14*R6*0.1</f>
        <v>11.940600000000002</v>
      </c>
      <c r="I104" s="323">
        <f>VLOOKUP(A104,'[1]TAB OGU JUN18'!$A:$G,6,"falso")</f>
        <v>157.99</v>
      </c>
      <c r="J104" s="323">
        <f>VLOOKUP(A104,'[1]TAB OGU JUN18'!$A:$G,4,"falso")</f>
        <v>39.5</v>
      </c>
      <c r="K104" s="308">
        <f>H104*J104</f>
        <v>471.65370000000007</v>
      </c>
      <c r="L104" s="323">
        <f>VLOOKUP(A104,'[1]TAB OGU JUN18'!$A:$G,5,"falso")</f>
        <v>118.49</v>
      </c>
      <c r="M104" s="308">
        <f>H104*L104</f>
        <v>1414.8416940000002</v>
      </c>
      <c r="N104" s="308">
        <f>H104*I104</f>
        <v>1886.4953940000003</v>
      </c>
      <c r="O104" s="25">
        <f>N104/N106</f>
        <v>1</v>
      </c>
    </row>
    <row r="105" spans="1:15" ht="11.25" customHeight="1" x14ac:dyDescent="0.2">
      <c r="B105" s="130"/>
      <c r="G105" s="52"/>
      <c r="H105" s="324"/>
      <c r="I105" s="313"/>
      <c r="J105" s="313"/>
      <c r="K105" s="313"/>
      <c r="L105" s="313"/>
      <c r="M105" s="313"/>
      <c r="N105" s="308"/>
      <c r="O105" s="25"/>
    </row>
    <row r="106" spans="1:15" ht="11.25" customHeight="1" x14ac:dyDescent="0.2">
      <c r="B106" s="130" t="s">
        <v>18</v>
      </c>
      <c r="C106" s="131"/>
      <c r="D106" s="131"/>
      <c r="E106" s="131"/>
      <c r="F106" s="131"/>
      <c r="G106" s="53"/>
      <c r="H106" s="325"/>
      <c r="I106" s="326"/>
      <c r="J106" s="326"/>
      <c r="K106" s="326"/>
      <c r="L106" s="326"/>
      <c r="M106" s="326"/>
      <c r="N106" s="308">
        <f>N104</f>
        <v>1886.4953940000003</v>
      </c>
      <c r="O106" s="25">
        <f>N106/N108</f>
        <v>0.39117510967696217</v>
      </c>
    </row>
    <row r="107" spans="1:15" ht="11.25" customHeight="1" x14ac:dyDescent="0.2">
      <c r="B107" s="130"/>
      <c r="G107" s="52"/>
      <c r="H107" s="324"/>
      <c r="I107" s="313"/>
      <c r="J107" s="313"/>
      <c r="K107" s="313"/>
      <c r="L107" s="313"/>
      <c r="M107" s="313"/>
      <c r="N107" s="308"/>
      <c r="O107" s="25"/>
    </row>
    <row r="108" spans="1:15" s="132" customFormat="1" ht="11.25" customHeight="1" x14ac:dyDescent="0.2">
      <c r="B108" s="133" t="s">
        <v>20</v>
      </c>
      <c r="C108" s="134"/>
      <c r="D108" s="134"/>
      <c r="E108" s="134"/>
      <c r="F108" s="134"/>
      <c r="G108" s="78"/>
      <c r="H108" s="327"/>
      <c r="I108" s="328"/>
      <c r="J108" s="328"/>
      <c r="K108" s="328"/>
      <c r="L108" s="328"/>
      <c r="M108" s="328"/>
      <c r="N108" s="310">
        <f>N106+N101+N95</f>
        <v>4822.6365822659172</v>
      </c>
      <c r="O108" s="77">
        <f>N108/N118</f>
        <v>0.37332982021155903</v>
      </c>
    </row>
    <row r="109" spans="1:15" ht="11.25" customHeight="1" x14ac:dyDescent="0.2">
      <c r="B109" s="130"/>
      <c r="G109" s="52"/>
      <c r="H109" s="324"/>
      <c r="I109" s="313"/>
      <c r="J109" s="313"/>
      <c r="K109" s="313"/>
      <c r="L109" s="313"/>
      <c r="M109" s="313"/>
      <c r="N109" s="308"/>
      <c r="O109" s="25"/>
    </row>
    <row r="110" spans="1:15" ht="11.25" customHeight="1" x14ac:dyDescent="0.2">
      <c r="A110" s="98" t="s">
        <v>169</v>
      </c>
      <c r="B110" s="88" t="s">
        <v>172</v>
      </c>
      <c r="G110" s="97"/>
      <c r="H110" s="308"/>
      <c r="I110" s="308"/>
      <c r="J110" s="308"/>
      <c r="K110" s="308"/>
      <c r="L110" s="308"/>
      <c r="M110" s="308"/>
      <c r="N110" s="308"/>
      <c r="O110" s="25"/>
    </row>
    <row r="111" spans="1:15" ht="11.25" customHeight="1" x14ac:dyDescent="0.2">
      <c r="A111" s="98" t="s">
        <v>170</v>
      </c>
      <c r="B111" s="88" t="s">
        <v>173</v>
      </c>
      <c r="G111" s="97"/>
      <c r="H111" s="308"/>
      <c r="I111" s="308"/>
      <c r="J111" s="308"/>
      <c r="K111" s="308"/>
      <c r="L111" s="308"/>
      <c r="M111" s="308"/>
      <c r="N111" s="308"/>
      <c r="O111" s="25"/>
    </row>
    <row r="112" spans="1:15" ht="11.25" customHeight="1" x14ac:dyDescent="0.2">
      <c r="A112" s="98" t="s">
        <v>171</v>
      </c>
      <c r="B112" s="88" t="s">
        <v>174</v>
      </c>
      <c r="G112" s="97" t="s">
        <v>17</v>
      </c>
      <c r="H112" s="308">
        <f>H14</f>
        <v>199.01</v>
      </c>
      <c r="I112" s="323">
        <f>VLOOKUP(A112,'[1]TAB OGU JUN18'!$A:$G,6,"falso")</f>
        <v>1.31</v>
      </c>
      <c r="J112" s="323">
        <f>VLOOKUP(A112,'[1]TAB OGU JUN18'!$A:$G,4,"falso")</f>
        <v>1.1399999999999999</v>
      </c>
      <c r="K112" s="308">
        <f>H112*J112</f>
        <v>226.87139999999997</v>
      </c>
      <c r="L112" s="323">
        <f>VLOOKUP(A112,'[1]TAB OGU JUN18'!$A:$G,5,"falso")</f>
        <v>0.17</v>
      </c>
      <c r="M112" s="308">
        <f>H112*L112</f>
        <v>33.831699999999998</v>
      </c>
      <c r="N112" s="308">
        <f>H112*I112</f>
        <v>260.70310000000001</v>
      </c>
      <c r="O112" s="25">
        <f>N112/N114</f>
        <v>1</v>
      </c>
    </row>
    <row r="113" spans="1:16" ht="11.25" customHeight="1" x14ac:dyDescent="0.2">
      <c r="B113" s="130"/>
      <c r="G113" s="52"/>
      <c r="H113" s="324"/>
      <c r="I113" s="313"/>
      <c r="J113" s="313"/>
      <c r="K113" s="313"/>
      <c r="L113" s="313"/>
      <c r="M113" s="313"/>
      <c r="N113" s="308"/>
      <c r="O113" s="25"/>
    </row>
    <row r="114" spans="1:16" ht="11.25" customHeight="1" x14ac:dyDescent="0.2">
      <c r="B114" s="130" t="s">
        <v>18</v>
      </c>
      <c r="C114" s="131"/>
      <c r="D114" s="131"/>
      <c r="E114" s="131"/>
      <c r="F114" s="131"/>
      <c r="G114" s="53"/>
      <c r="H114" s="325"/>
      <c r="I114" s="326"/>
      <c r="J114" s="326"/>
      <c r="K114" s="326"/>
      <c r="L114" s="326"/>
      <c r="M114" s="326"/>
      <c r="N114" s="308">
        <f>N112</f>
        <v>260.70310000000001</v>
      </c>
      <c r="O114" s="25">
        <f>N114/N116</f>
        <v>1</v>
      </c>
    </row>
    <row r="115" spans="1:16" ht="11.25" customHeight="1" x14ac:dyDescent="0.2">
      <c r="A115" s="98"/>
      <c r="B115" s="88"/>
      <c r="G115" s="97"/>
      <c r="H115" s="308"/>
      <c r="I115" s="308"/>
      <c r="J115" s="308"/>
      <c r="K115" s="308"/>
      <c r="L115" s="308"/>
      <c r="M115" s="308"/>
      <c r="N115" s="308"/>
      <c r="O115" s="25"/>
    </row>
    <row r="116" spans="1:16" s="132" customFormat="1" ht="11.25" customHeight="1" x14ac:dyDescent="0.2">
      <c r="A116" s="145"/>
      <c r="B116" s="133" t="s">
        <v>20</v>
      </c>
      <c r="C116" s="134"/>
      <c r="D116" s="134"/>
      <c r="E116" s="134"/>
      <c r="F116" s="134"/>
      <c r="G116" s="78"/>
      <c r="H116" s="327"/>
      <c r="I116" s="328"/>
      <c r="J116" s="328"/>
      <c r="K116" s="328"/>
      <c r="L116" s="328"/>
      <c r="M116" s="328"/>
      <c r="N116" s="310">
        <f>N114</f>
        <v>260.70310000000001</v>
      </c>
      <c r="O116" s="77">
        <f>N116/N118</f>
        <v>2.0181541733726573E-2</v>
      </c>
    </row>
    <row r="117" spans="1:16" ht="6.75" customHeight="1" x14ac:dyDescent="0.2">
      <c r="A117" s="98"/>
      <c r="B117" s="88"/>
      <c r="G117" s="97"/>
      <c r="H117" s="308"/>
      <c r="I117" s="308"/>
      <c r="J117" s="308"/>
      <c r="K117" s="308"/>
      <c r="L117" s="308"/>
      <c r="M117" s="308"/>
      <c r="N117" s="308"/>
      <c r="O117" s="25"/>
    </row>
    <row r="118" spans="1:16" ht="12" customHeight="1" x14ac:dyDescent="0.2">
      <c r="A118" s="146"/>
      <c r="B118" s="147" t="s">
        <v>30</v>
      </c>
      <c r="C118" s="146"/>
      <c r="D118" s="146"/>
      <c r="E118" s="146"/>
      <c r="F118" s="146"/>
      <c r="G118" s="146"/>
      <c r="H118" s="342"/>
      <c r="I118" s="345"/>
      <c r="J118" s="345"/>
      <c r="K118" s="275">
        <f>SUM(K12:K117)</f>
        <v>9494.9972891298985</v>
      </c>
      <c r="L118" s="275"/>
      <c r="M118" s="275">
        <f>SUM(M12:M117)</f>
        <v>3422.8356626110594</v>
      </c>
      <c r="N118" s="343">
        <f>N116+N108+N88+N80+N66+N29</f>
        <v>12917.898118968957</v>
      </c>
      <c r="O118" s="322"/>
      <c r="P118" s="149"/>
    </row>
    <row r="119" spans="1:16" ht="4.5" customHeight="1" x14ac:dyDescent="0.2">
      <c r="A119" s="98"/>
      <c r="B119" s="88"/>
      <c r="G119" s="97"/>
      <c r="H119" s="308"/>
      <c r="I119" s="308"/>
      <c r="J119" s="308"/>
      <c r="K119" s="308"/>
      <c r="L119" s="308"/>
      <c r="M119" s="308"/>
      <c r="N119" s="308"/>
      <c r="O119" s="25"/>
    </row>
    <row r="120" spans="1:16" ht="12" customHeight="1" x14ac:dyDescent="0.2">
      <c r="A120" s="146"/>
      <c r="B120" s="147" t="s">
        <v>265</v>
      </c>
      <c r="C120" s="146"/>
      <c r="D120" s="146"/>
      <c r="E120" s="146"/>
      <c r="F120" s="146"/>
      <c r="G120" s="146"/>
      <c r="H120" s="342"/>
      <c r="I120" s="342"/>
      <c r="J120" s="342"/>
      <c r="K120" s="274">
        <f>K118+(K118*O5)</f>
        <v>12113.717541471924</v>
      </c>
      <c r="L120" s="274"/>
      <c r="M120" s="275">
        <f>M118+(M118*O7)</f>
        <v>4029.3621420257391</v>
      </c>
      <c r="N120" s="343">
        <f>K120+M120</f>
        <v>16143.079683497663</v>
      </c>
      <c r="O120" s="29">
        <f>N120/RESUMO!H95</f>
        <v>2.2292501013569262E-3</v>
      </c>
      <c r="P120" s="149"/>
    </row>
    <row r="124" spans="1:16" ht="12" customHeight="1" x14ac:dyDescent="0.2">
      <c r="M124" s="311"/>
    </row>
    <row r="125" spans="1:16" s="150" customFormat="1" ht="12" customHeight="1" x14ac:dyDescent="0.2">
      <c r="A125" s="51"/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2"/>
    </row>
    <row r="126" spans="1:16" s="150" customFormat="1" ht="12" customHeight="1" x14ac:dyDescent="0.2">
      <c r="A126" s="51"/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2"/>
    </row>
  </sheetData>
  <mergeCells count="9">
    <mergeCell ref="T4:T5"/>
    <mergeCell ref="U4:U5"/>
    <mergeCell ref="A5:B6"/>
    <mergeCell ref="A2:O2"/>
    <mergeCell ref="N4:O4"/>
    <mergeCell ref="P4:P5"/>
    <mergeCell ref="Q4:Q5"/>
    <mergeCell ref="R4:R5"/>
    <mergeCell ref="S4:S5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rowBreaks count="1" manualBreakCount="1">
    <brk id="30" max="12" man="1"/>
  </rowBreaks>
  <legacyDrawingHF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theme="6" tint="0.39997558519241921"/>
    <pageSetUpPr fitToPage="1"/>
  </sheetPr>
  <dimension ref="A1:P44"/>
  <sheetViews>
    <sheetView view="pageBreakPreview" zoomScale="90" zoomScaleNormal="90" zoomScaleSheetLayoutView="90" workbookViewId="0">
      <selection activeCell="S39" sqref="S39"/>
    </sheetView>
  </sheetViews>
  <sheetFormatPr defaultColWidth="11.42578125" defaultRowHeight="12" customHeight="1" x14ac:dyDescent="0.2"/>
  <cols>
    <col min="1" max="5" width="11.42578125" style="51" customWidth="1"/>
    <col min="6" max="6" width="28.5703125" style="51" customWidth="1"/>
    <col min="7" max="9" width="11.42578125" style="51" customWidth="1"/>
    <col min="10" max="10" width="11.42578125" style="51" hidden="1" customWidth="1"/>
    <col min="11" max="11" width="14.28515625" style="51" customWidth="1"/>
    <col min="12" max="12" width="6" style="51" hidden="1" customWidth="1"/>
    <col min="13" max="13" width="14.28515625" style="51" customWidth="1"/>
    <col min="14" max="14" width="17.140625" style="51" customWidth="1"/>
    <col min="15" max="15" width="11.42578125" style="52" customWidth="1"/>
    <col min="16" max="16" width="6" style="51" bestFit="1" customWidth="1"/>
    <col min="17" max="16384" width="11.42578125" style="51"/>
  </cols>
  <sheetData>
    <row r="1" spans="1:16" ht="7.5" customHeight="1" x14ac:dyDescent="0.2"/>
    <row r="2" spans="1:16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6" ht="7.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95"/>
    </row>
    <row r="4" spans="1:16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6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6" ht="12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6" ht="12" customHeight="1" x14ac:dyDescent="0.2">
      <c r="A7" s="700"/>
      <c r="B7" s="700"/>
      <c r="C7" s="260" t="s">
        <v>6</v>
      </c>
      <c r="D7" s="263" t="str">
        <f>RESUMO!A32</f>
        <v>U.C. : 10</v>
      </c>
      <c r="E7" s="258"/>
      <c r="F7" s="258"/>
      <c r="G7" s="260" t="s">
        <v>9</v>
      </c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6" ht="12" customHeight="1" thickBot="1" x14ac:dyDescent="0.25">
      <c r="A8" s="124"/>
      <c r="B8" s="125"/>
      <c r="C8" s="266" t="s">
        <v>8</v>
      </c>
      <c r="D8" s="267" t="str">
        <f>RESUMO!B32</f>
        <v>COLETOR 05</v>
      </c>
      <c r="E8" s="268"/>
      <c r="F8" s="268"/>
      <c r="G8" s="266"/>
      <c r="H8" s="123"/>
      <c r="I8" s="278"/>
      <c r="J8" s="278"/>
      <c r="K8" s="278"/>
      <c r="L8" s="278"/>
      <c r="M8" s="278"/>
      <c r="N8" s="271"/>
      <c r="O8" s="427"/>
    </row>
    <row r="9" spans="1:16" ht="12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6" ht="7.5" customHeight="1" x14ac:dyDescent="0.2">
      <c r="O10" s="19"/>
    </row>
    <row r="11" spans="1:16" ht="12" customHeight="1" x14ac:dyDescent="0.2">
      <c r="A11" s="93">
        <f>RESUMO!A43</f>
        <v>2</v>
      </c>
      <c r="B11" s="93" t="str">
        <f>RESUMO!B34</f>
        <v>COLETOR 05 - MATERIAIS</v>
      </c>
      <c r="O11" s="19"/>
    </row>
    <row r="12" spans="1:16" ht="12" customHeight="1" x14ac:dyDescent="0.2">
      <c r="A12" s="98" t="s">
        <v>266</v>
      </c>
      <c r="B12" s="88" t="s">
        <v>71</v>
      </c>
      <c r="G12" s="52"/>
      <c r="H12" s="19"/>
      <c r="I12" s="52"/>
      <c r="J12" s="52"/>
      <c r="K12" s="52"/>
      <c r="L12" s="52"/>
      <c r="M12" s="52"/>
      <c r="N12" s="52"/>
      <c r="O12" s="19"/>
    </row>
    <row r="13" spans="1:16" ht="12" customHeight="1" x14ac:dyDescent="0.2">
      <c r="A13" s="98" t="s">
        <v>279</v>
      </c>
      <c r="B13" s="88" t="s">
        <v>280</v>
      </c>
      <c r="G13" s="52"/>
      <c r="H13" s="19"/>
      <c r="I13" s="52"/>
      <c r="J13" s="52"/>
      <c r="K13" s="52"/>
      <c r="L13" s="52"/>
      <c r="M13" s="52"/>
      <c r="N13" s="52"/>
      <c r="O13" s="19"/>
    </row>
    <row r="14" spans="1:16" ht="12" customHeight="1" x14ac:dyDescent="0.2">
      <c r="A14" s="98" t="s">
        <v>282</v>
      </c>
      <c r="B14" s="88" t="s">
        <v>260</v>
      </c>
      <c r="G14" s="97" t="s">
        <v>24</v>
      </c>
      <c r="H14" s="308">
        <f>'08 - 5'!H98</f>
        <v>4</v>
      </c>
      <c r="I14" s="308">
        <v>37.840000000000003</v>
      </c>
      <c r="J14" s="308"/>
      <c r="K14" s="308"/>
      <c r="L14" s="323">
        <v>37.840000000000003</v>
      </c>
      <c r="M14" s="308">
        <f>H14*L14</f>
        <v>151.36000000000001</v>
      </c>
      <c r="N14" s="308">
        <f>H14*I14</f>
        <v>151.36000000000001</v>
      </c>
      <c r="O14" s="25">
        <f>N14/N16</f>
        <v>1</v>
      </c>
      <c r="P14" s="51">
        <v>13255</v>
      </c>
    </row>
    <row r="15" spans="1:16" ht="12" customHeight="1" x14ac:dyDescent="0.2">
      <c r="G15" s="52"/>
      <c r="H15" s="324"/>
      <c r="I15" s="313"/>
      <c r="J15" s="313"/>
      <c r="K15" s="313"/>
      <c r="L15" s="313"/>
      <c r="M15" s="313"/>
      <c r="N15" s="313"/>
      <c r="O15" s="19"/>
    </row>
    <row r="16" spans="1:16" ht="12" customHeight="1" x14ac:dyDescent="0.2">
      <c r="B16" s="130" t="s">
        <v>18</v>
      </c>
      <c r="C16" s="131"/>
      <c r="D16" s="131"/>
      <c r="E16" s="131"/>
      <c r="F16" s="131"/>
      <c r="G16" s="53"/>
      <c r="H16" s="325"/>
      <c r="I16" s="326"/>
      <c r="J16" s="326"/>
      <c r="K16" s="326"/>
      <c r="L16" s="326"/>
      <c r="M16" s="326"/>
      <c r="N16" s="308">
        <f>N14</f>
        <v>151.36000000000001</v>
      </c>
      <c r="O16" s="25">
        <f>N16/N18</f>
        <v>1</v>
      </c>
    </row>
    <row r="17" spans="1:16" ht="12" customHeight="1" x14ac:dyDescent="0.2">
      <c r="B17" s="130"/>
      <c r="G17" s="52"/>
      <c r="H17" s="324"/>
      <c r="I17" s="313"/>
      <c r="J17" s="313"/>
      <c r="K17" s="313"/>
      <c r="L17" s="313"/>
      <c r="M17" s="313"/>
      <c r="N17" s="308"/>
      <c r="O17" s="25"/>
    </row>
    <row r="18" spans="1:16" s="132" customFormat="1" ht="12" customHeight="1" x14ac:dyDescent="0.2">
      <c r="B18" s="133" t="s">
        <v>20</v>
      </c>
      <c r="C18" s="134"/>
      <c r="D18" s="134"/>
      <c r="E18" s="134"/>
      <c r="F18" s="134"/>
      <c r="G18" s="78"/>
      <c r="H18" s="327"/>
      <c r="I18" s="328"/>
      <c r="J18" s="328"/>
      <c r="K18" s="328"/>
      <c r="L18" s="328"/>
      <c r="M18" s="328"/>
      <c r="N18" s="310">
        <f>N16</f>
        <v>151.36000000000001</v>
      </c>
      <c r="O18" s="77">
        <f>N18/N29</f>
        <v>1.9811242678652263E-2</v>
      </c>
    </row>
    <row r="19" spans="1:16" ht="12" customHeight="1" x14ac:dyDescent="0.2">
      <c r="G19" s="52"/>
      <c r="H19" s="324"/>
      <c r="I19" s="313"/>
      <c r="J19" s="313"/>
      <c r="K19" s="313"/>
      <c r="L19" s="313"/>
      <c r="M19" s="313"/>
      <c r="N19" s="313"/>
      <c r="O19" s="19"/>
    </row>
    <row r="20" spans="1:16" ht="12" customHeight="1" x14ac:dyDescent="0.2">
      <c r="A20" s="98" t="s">
        <v>270</v>
      </c>
      <c r="B20" s="88" t="s">
        <v>29</v>
      </c>
      <c r="G20" s="52"/>
      <c r="H20" s="324"/>
      <c r="I20" s="313"/>
      <c r="J20" s="313"/>
      <c r="K20" s="313"/>
      <c r="L20" s="313"/>
      <c r="M20" s="313"/>
      <c r="N20" s="313"/>
      <c r="O20" s="19"/>
    </row>
    <row r="21" spans="1:16" ht="12" customHeight="1" x14ac:dyDescent="0.2">
      <c r="A21" s="98" t="s">
        <v>275</v>
      </c>
      <c r="B21" s="88" t="s">
        <v>36</v>
      </c>
      <c r="G21" s="52"/>
      <c r="H21" s="324"/>
      <c r="I21" s="313"/>
      <c r="J21" s="313"/>
      <c r="K21" s="313"/>
      <c r="L21" s="313"/>
      <c r="M21" s="313"/>
      <c r="N21" s="313"/>
      <c r="O21" s="19"/>
    </row>
    <row r="22" spans="1:16" ht="12" customHeight="1" x14ac:dyDescent="0.2">
      <c r="A22" s="98" t="s">
        <v>276</v>
      </c>
      <c r="B22" s="88" t="s">
        <v>78</v>
      </c>
      <c r="G22" s="97" t="s">
        <v>17</v>
      </c>
      <c r="H22" s="308">
        <f>'08 - 5'!H92</f>
        <v>199.01</v>
      </c>
      <c r="I22" s="323">
        <f>VLOOKUP(A22,'[1]TAB OGU JUN18'!$A:$G,6,"falso")</f>
        <v>37.630000000000003</v>
      </c>
      <c r="J22" s="308"/>
      <c r="K22" s="308"/>
      <c r="L22" s="323">
        <f>VLOOKUP(A22,'[1]TAB OGU JUN18'!$A:$G,5,"falso")</f>
        <v>37.630000000000003</v>
      </c>
      <c r="M22" s="308">
        <f>H22*L22</f>
        <v>7488.7462999999998</v>
      </c>
      <c r="N22" s="308">
        <f>H22*I22</f>
        <v>7488.7462999999998</v>
      </c>
      <c r="O22" s="25">
        <f>N22/$N$25</f>
        <v>1</v>
      </c>
    </row>
    <row r="23" spans="1:16" ht="12" hidden="1" customHeight="1" x14ac:dyDescent="0.2">
      <c r="A23" s="98" t="s">
        <v>277</v>
      </c>
      <c r="B23" s="88" t="s">
        <v>205</v>
      </c>
      <c r="G23" s="97" t="s">
        <v>17</v>
      </c>
      <c r="H23" s="308">
        <f>'08 - 5'!H93</f>
        <v>0</v>
      </c>
      <c r="I23" s="323">
        <f>VLOOKUP(A23,'[1]TAB OGU JUN18'!$A:$G,6,"falso")</f>
        <v>58.74</v>
      </c>
      <c r="J23" s="308"/>
      <c r="K23" s="308"/>
      <c r="L23" s="323">
        <f>VLOOKUP(A23,'[1]TAB OGU JUN18'!$A:$G,5,"falso")</f>
        <v>58.74</v>
      </c>
      <c r="M23" s="308">
        <f>H23*L23</f>
        <v>0</v>
      </c>
      <c r="N23" s="308">
        <f>H23*I23</f>
        <v>0</v>
      </c>
      <c r="O23" s="25">
        <f>N23/$N$25</f>
        <v>0</v>
      </c>
    </row>
    <row r="24" spans="1:16" ht="12" customHeight="1" x14ac:dyDescent="0.2">
      <c r="G24" s="52"/>
      <c r="H24" s="324"/>
      <c r="I24" s="313"/>
      <c r="J24" s="313"/>
      <c r="K24" s="313"/>
      <c r="L24" s="313"/>
      <c r="M24" s="313"/>
      <c r="N24" s="313"/>
      <c r="O24" s="19"/>
    </row>
    <row r="25" spans="1:16" ht="12" customHeight="1" x14ac:dyDescent="0.2">
      <c r="B25" s="130" t="s">
        <v>18</v>
      </c>
      <c r="C25" s="131"/>
      <c r="D25" s="131"/>
      <c r="E25" s="131"/>
      <c r="F25" s="131"/>
      <c r="G25" s="53"/>
      <c r="H25" s="325"/>
      <c r="I25" s="326"/>
      <c r="J25" s="326"/>
      <c r="K25" s="326"/>
      <c r="L25" s="326"/>
      <c r="M25" s="326"/>
      <c r="N25" s="308">
        <f>N22+N23</f>
        <v>7488.7462999999998</v>
      </c>
      <c r="O25" s="25">
        <f>N25/N27</f>
        <v>1</v>
      </c>
    </row>
    <row r="26" spans="1:16" ht="12" customHeight="1" x14ac:dyDescent="0.2">
      <c r="G26" s="52"/>
      <c r="H26" s="313"/>
      <c r="I26" s="313"/>
      <c r="J26" s="313"/>
      <c r="K26" s="313"/>
      <c r="L26" s="313"/>
      <c r="M26" s="313"/>
      <c r="N26" s="313"/>
      <c r="O26" s="19"/>
    </row>
    <row r="27" spans="1:16" s="132" customFormat="1" ht="12" customHeight="1" x14ac:dyDescent="0.2">
      <c r="B27" s="133" t="s">
        <v>20</v>
      </c>
      <c r="C27" s="134"/>
      <c r="D27" s="134"/>
      <c r="E27" s="134"/>
      <c r="F27" s="134"/>
      <c r="G27" s="78"/>
      <c r="H27" s="328"/>
      <c r="I27" s="328"/>
      <c r="J27" s="328"/>
      <c r="K27" s="328"/>
      <c r="L27" s="328"/>
      <c r="M27" s="328"/>
      <c r="N27" s="310">
        <f>N25</f>
        <v>7488.7462999999998</v>
      </c>
      <c r="O27" s="77">
        <f>N27/N29</f>
        <v>0.9801887573213478</v>
      </c>
    </row>
    <row r="28" spans="1:16" ht="7.5" customHeight="1" x14ac:dyDescent="0.2">
      <c r="G28" s="52"/>
      <c r="H28" s="313"/>
      <c r="I28" s="313"/>
      <c r="J28" s="313"/>
      <c r="K28" s="313"/>
      <c r="L28" s="313"/>
      <c r="M28" s="313"/>
      <c r="N28" s="313"/>
      <c r="O28" s="19"/>
    </row>
    <row r="29" spans="1:16" ht="12" customHeight="1" x14ac:dyDescent="0.2">
      <c r="A29" s="146"/>
      <c r="B29" s="147" t="s">
        <v>30</v>
      </c>
      <c r="C29" s="146"/>
      <c r="D29" s="146"/>
      <c r="E29" s="146"/>
      <c r="F29" s="146"/>
      <c r="G29" s="146"/>
      <c r="H29" s="342"/>
      <c r="I29" s="345"/>
      <c r="J29" s="345"/>
      <c r="K29" s="345"/>
      <c r="L29" s="345"/>
      <c r="M29" s="275">
        <f>SUM(M14:M28)</f>
        <v>7640.1062999999995</v>
      </c>
      <c r="N29" s="316">
        <f>N27+N18</f>
        <v>7640.1062999999995</v>
      </c>
      <c r="O29" s="322"/>
      <c r="P29" s="149"/>
    </row>
    <row r="30" spans="1:16" ht="7.5" customHeight="1" x14ac:dyDescent="0.2">
      <c r="G30" s="52"/>
      <c r="H30" s="313"/>
      <c r="I30" s="313"/>
      <c r="J30" s="313"/>
      <c r="K30" s="313"/>
      <c r="L30" s="313"/>
      <c r="M30" s="313"/>
      <c r="N30" s="313"/>
      <c r="O30" s="19"/>
    </row>
    <row r="31" spans="1:16" ht="12" customHeight="1" x14ac:dyDescent="0.2">
      <c r="A31" s="146"/>
      <c r="B31" s="147" t="s">
        <v>265</v>
      </c>
      <c r="C31" s="146"/>
      <c r="D31" s="146"/>
      <c r="E31" s="146"/>
      <c r="F31" s="146"/>
      <c r="G31" s="146"/>
      <c r="H31" s="342"/>
      <c r="I31" s="345"/>
      <c r="J31" s="345"/>
      <c r="K31" s="345"/>
      <c r="L31" s="345"/>
      <c r="M31" s="275">
        <f>M29+(M29*O7)</f>
        <v>8993.9331363599995</v>
      </c>
      <c r="N31" s="316">
        <f>M31</f>
        <v>8993.9331363599995</v>
      </c>
      <c r="O31" s="29">
        <f>N31/RESUMO!H95</f>
        <v>1.2420013249593179E-3</v>
      </c>
      <c r="P31" s="149"/>
    </row>
    <row r="43" spans="1:15" ht="12" customHeight="1" x14ac:dyDescent="0.2">
      <c r="A43" s="150"/>
      <c r="B43" s="150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211"/>
      <c r="O43" s="210"/>
    </row>
    <row r="44" spans="1:15" ht="12" customHeight="1" x14ac:dyDescent="0.2">
      <c r="A44" s="88"/>
      <c r="C44" s="184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184"/>
      <c r="O44" s="437"/>
    </row>
  </sheetData>
  <mergeCells count="3">
    <mergeCell ref="A2:O2"/>
    <mergeCell ref="N4:O4"/>
    <mergeCell ref="A5:B6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rowBreaks count="1" manualBreakCount="1">
    <brk id="20" max="12" man="1"/>
  </rowBreaks>
  <legacyDrawingHF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6" tint="0.39997558519241921"/>
    <pageSetUpPr fitToPage="1"/>
  </sheetPr>
  <dimension ref="A1:U126"/>
  <sheetViews>
    <sheetView view="pageBreakPreview" topLeftCell="A40" zoomScale="85" zoomScaleNormal="90" zoomScaleSheetLayoutView="85" workbookViewId="0">
      <selection activeCell="H85" sqref="H85"/>
    </sheetView>
  </sheetViews>
  <sheetFormatPr defaultColWidth="11.42578125" defaultRowHeight="12" customHeight="1" x14ac:dyDescent="0.2"/>
  <cols>
    <col min="1" max="3" width="11.42578125" style="51"/>
    <col min="4" max="4" width="11.42578125" style="51" customWidth="1"/>
    <col min="5" max="5" width="11.42578125" style="51"/>
    <col min="6" max="6" width="28.5703125" style="51" customWidth="1"/>
    <col min="7" max="7" width="11.42578125" style="51"/>
    <col min="8" max="9" width="11.42578125" style="51" customWidth="1"/>
    <col min="10" max="10" width="5.7109375" style="51" hidden="1" customWidth="1"/>
    <col min="11" max="11" width="14.28515625" style="51" customWidth="1"/>
    <col min="12" max="12" width="6.7109375" style="51" hidden="1" customWidth="1"/>
    <col min="13" max="13" width="14.28515625" style="51" customWidth="1"/>
    <col min="14" max="14" width="17.28515625" style="51" customWidth="1"/>
    <col min="15" max="15" width="11.42578125" style="52" customWidth="1"/>
    <col min="16" max="19" width="11.42578125" style="51"/>
    <col min="20" max="20" width="13.42578125" style="51" customWidth="1"/>
    <col min="21" max="16384" width="11.42578125" style="51"/>
  </cols>
  <sheetData>
    <row r="1" spans="1:21" ht="6.75" customHeight="1" x14ac:dyDescent="0.2"/>
    <row r="2" spans="1:21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21" ht="6.7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95"/>
    </row>
    <row r="4" spans="1:21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K4" s="259"/>
      <c r="L4" s="259"/>
      <c r="M4" s="259">
        <f ca="1">RESUMO!G4</f>
        <v>43657</v>
      </c>
      <c r="N4" s="832" t="str">
        <f>RESUMO!H4</f>
        <v>BDI Aplicado</v>
      </c>
      <c r="O4" s="833"/>
      <c r="P4" s="831" t="s">
        <v>995</v>
      </c>
      <c r="Q4" s="831" t="s">
        <v>991</v>
      </c>
      <c r="R4" s="831" t="s">
        <v>992</v>
      </c>
      <c r="S4" s="831" t="s">
        <v>993</v>
      </c>
      <c r="T4" s="831" t="s">
        <v>994</v>
      </c>
      <c r="U4" s="831" t="s">
        <v>996</v>
      </c>
    </row>
    <row r="5" spans="1:21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K5" s="258"/>
      <c r="L5" s="258"/>
      <c r="M5" s="258"/>
      <c r="N5" s="261" t="str">
        <f>RESUMO!H5</f>
        <v>Serviços</v>
      </c>
      <c r="O5" s="234">
        <f>RESUMO!I5</f>
        <v>0.27579999999999999</v>
      </c>
      <c r="P5" s="831"/>
      <c r="Q5" s="831"/>
      <c r="R5" s="831"/>
      <c r="S5" s="831"/>
      <c r="T5" s="831"/>
      <c r="U5" s="831"/>
    </row>
    <row r="6" spans="1:21" ht="12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K6" s="258"/>
      <c r="L6" s="258"/>
      <c r="M6" s="258"/>
      <c r="N6" s="261" t="str">
        <f>RESUMO!H6</f>
        <v>Serv Terc:</v>
      </c>
      <c r="O6" s="234">
        <f>RESUMO!I6</f>
        <v>0.1772</v>
      </c>
      <c r="P6" s="486">
        <v>0</v>
      </c>
      <c r="Q6" s="486">
        <v>0</v>
      </c>
      <c r="R6" s="486">
        <v>0</v>
      </c>
      <c r="S6" s="486">
        <v>0</v>
      </c>
      <c r="T6" s="486">
        <v>0</v>
      </c>
      <c r="U6" s="486">
        <v>0</v>
      </c>
    </row>
    <row r="7" spans="1:21" ht="12" customHeight="1" x14ac:dyDescent="0.2">
      <c r="A7" s="700"/>
      <c r="B7" s="700"/>
      <c r="C7" s="260" t="s">
        <v>6</v>
      </c>
      <c r="D7" s="263" t="str">
        <f>RESUMO!A35</f>
        <v>U.C. : 09</v>
      </c>
      <c r="E7" s="258"/>
      <c r="F7" s="258"/>
      <c r="G7" s="260" t="s">
        <v>9</v>
      </c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  <c r="T7" s="486">
        <v>0</v>
      </c>
    </row>
    <row r="8" spans="1:21" ht="12" customHeight="1" thickBot="1" x14ac:dyDescent="0.25">
      <c r="A8" s="124"/>
      <c r="B8" s="125"/>
      <c r="C8" s="266" t="s">
        <v>8</v>
      </c>
      <c r="D8" s="267" t="str">
        <f>RESUMO!B35</f>
        <v>COLETOR 06</v>
      </c>
      <c r="E8" s="268"/>
      <c r="F8" s="268"/>
      <c r="G8" s="266"/>
      <c r="H8" s="123"/>
      <c r="I8" s="278"/>
      <c r="J8" s="278"/>
      <c r="K8" s="278"/>
      <c r="L8" s="278"/>
      <c r="M8" s="278"/>
      <c r="N8" s="271"/>
      <c r="O8" s="427"/>
      <c r="T8" s="486">
        <v>0</v>
      </c>
    </row>
    <row r="9" spans="1:21" ht="12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  <c r="T9" s="486">
        <v>0</v>
      </c>
    </row>
    <row r="10" spans="1:21" ht="12.75" x14ac:dyDescent="0.2">
      <c r="O10" s="19"/>
      <c r="T10" s="486">
        <v>0</v>
      </c>
    </row>
    <row r="11" spans="1:21" ht="11.25" customHeight="1" x14ac:dyDescent="0.2">
      <c r="A11" s="93">
        <f>RESUMO!A42</f>
        <v>1</v>
      </c>
      <c r="B11" s="93" t="str">
        <f>RESUMO!B36</f>
        <v>COLETOR 06 - SERVIÇOS</v>
      </c>
      <c r="H11" s="61"/>
      <c r="O11" s="19"/>
      <c r="T11" s="486">
        <v>0</v>
      </c>
    </row>
    <row r="12" spans="1:21" ht="11.25" customHeight="1" x14ac:dyDescent="0.2">
      <c r="A12" s="129" t="s">
        <v>48</v>
      </c>
      <c r="B12" s="88" t="s">
        <v>16</v>
      </c>
      <c r="H12" s="61"/>
      <c r="O12" s="19"/>
      <c r="T12" s="486">
        <v>0</v>
      </c>
    </row>
    <row r="13" spans="1:21" ht="11.25" customHeight="1" x14ac:dyDescent="0.2">
      <c r="A13" s="129" t="s">
        <v>79</v>
      </c>
      <c r="B13" s="88" t="s">
        <v>80</v>
      </c>
      <c r="H13" s="61"/>
      <c r="O13" s="19"/>
    </row>
    <row r="14" spans="1:21" ht="11.25" customHeight="1" x14ac:dyDescent="0.2">
      <c r="A14" s="129" t="s">
        <v>209</v>
      </c>
      <c r="B14" s="88" t="s">
        <v>210</v>
      </c>
      <c r="G14" s="97" t="s">
        <v>17</v>
      </c>
      <c r="H14" s="308">
        <f>P6</f>
        <v>0</v>
      </c>
      <c r="I14" s="323">
        <f>VLOOKUP(A14,'[1]TAB OGU JUN18'!$A:$G,6,"falso")</f>
        <v>1.2</v>
      </c>
      <c r="J14" s="323">
        <f>VLOOKUP(A14,'[1]TAB OGU JUN18'!$A:$G,4,"falso")</f>
        <v>0.82</v>
      </c>
      <c r="K14" s="308">
        <f>H14*J14</f>
        <v>0</v>
      </c>
      <c r="L14" s="323">
        <f>VLOOKUP(A14,'[1]TAB OGU JUN18'!$A:$G,5,"falso")</f>
        <v>0.38</v>
      </c>
      <c r="M14" s="308">
        <f>H14*L14</f>
        <v>0</v>
      </c>
      <c r="N14" s="308">
        <f>H14*I14</f>
        <v>0</v>
      </c>
      <c r="O14" s="25" t="e">
        <f>N14/N17</f>
        <v>#DIV/0!</v>
      </c>
      <c r="Q14" s="311"/>
    </row>
    <row r="15" spans="1:21" ht="11.25" customHeight="1" x14ac:dyDescent="0.2">
      <c r="B15" s="258" t="s">
        <v>211</v>
      </c>
      <c r="G15" s="52"/>
      <c r="H15" s="324"/>
      <c r="I15" s="324"/>
      <c r="J15" s="313"/>
      <c r="K15" s="313"/>
      <c r="L15" s="313"/>
      <c r="M15" s="313"/>
      <c r="N15" s="309"/>
      <c r="O15" s="25"/>
      <c r="Q15" s="311"/>
    </row>
    <row r="16" spans="1:21" ht="11.25" customHeight="1" x14ac:dyDescent="0.2">
      <c r="G16" s="52"/>
      <c r="H16" s="324"/>
      <c r="I16" s="324"/>
      <c r="J16" s="313"/>
      <c r="K16" s="313"/>
      <c r="L16" s="313"/>
      <c r="M16" s="313"/>
      <c r="N16" s="309"/>
      <c r="O16" s="25"/>
      <c r="Q16" s="311"/>
    </row>
    <row r="17" spans="1:17" ht="11.25" customHeight="1" x14ac:dyDescent="0.2">
      <c r="B17" s="130" t="s">
        <v>18</v>
      </c>
      <c r="C17" s="131"/>
      <c r="D17" s="131"/>
      <c r="E17" s="131"/>
      <c r="F17" s="131"/>
      <c r="G17" s="53"/>
      <c r="H17" s="325"/>
      <c r="I17" s="325"/>
      <c r="J17" s="326"/>
      <c r="K17" s="326"/>
      <c r="L17" s="326"/>
      <c r="M17" s="326"/>
      <c r="N17" s="308">
        <f>SUM(N14:N14)</f>
        <v>0</v>
      </c>
      <c r="O17" s="25" t="e">
        <f>N17/N29</f>
        <v>#DIV/0!</v>
      </c>
      <c r="Q17" s="311"/>
    </row>
    <row r="18" spans="1:17" ht="11.25" customHeight="1" x14ac:dyDescent="0.2">
      <c r="B18" s="130"/>
      <c r="G18" s="52"/>
      <c r="H18" s="324"/>
      <c r="I18" s="324"/>
      <c r="J18" s="313"/>
      <c r="K18" s="313"/>
      <c r="L18" s="313"/>
      <c r="M18" s="313"/>
      <c r="N18" s="308"/>
      <c r="O18" s="25"/>
      <c r="Q18" s="311"/>
    </row>
    <row r="19" spans="1:17" ht="11.25" customHeight="1" x14ac:dyDescent="0.2">
      <c r="A19" s="98" t="s">
        <v>779</v>
      </c>
      <c r="B19" s="88" t="s">
        <v>780</v>
      </c>
      <c r="G19" s="52"/>
      <c r="H19" s="324"/>
      <c r="I19" s="324"/>
      <c r="J19" s="313"/>
      <c r="K19" s="313"/>
      <c r="L19" s="313"/>
      <c r="M19" s="313"/>
      <c r="N19" s="313"/>
      <c r="O19" s="19"/>
      <c r="Q19" s="311"/>
    </row>
    <row r="20" spans="1:17" ht="11.25" customHeight="1" x14ac:dyDescent="0.2">
      <c r="A20" s="98" t="s">
        <v>782</v>
      </c>
      <c r="B20" s="88" t="s">
        <v>781</v>
      </c>
      <c r="G20" s="97" t="s">
        <v>17</v>
      </c>
      <c r="H20" s="308">
        <f>H14</f>
        <v>0</v>
      </c>
      <c r="I20" s="323">
        <f>VLOOKUP(A20,'[1]TAB OGU JUN18'!$A:$G,6,"falso")</f>
        <v>0.4</v>
      </c>
      <c r="J20" s="323">
        <f>VLOOKUP(A20,'[1]TAB OGU JUN18'!$A:$G,4,"falso")</f>
        <v>0.4</v>
      </c>
      <c r="K20" s="308">
        <f>H20*J20</f>
        <v>0</v>
      </c>
      <c r="L20" s="323">
        <f>VLOOKUP(A20,'[1]TAB OGU JUN18'!$A:$G,5,"falso")</f>
        <v>0</v>
      </c>
      <c r="M20" s="308"/>
      <c r="N20" s="308">
        <f>H20*I20</f>
        <v>0</v>
      </c>
      <c r="O20" s="25" t="e">
        <f>N20/N22</f>
        <v>#DIV/0!</v>
      </c>
      <c r="Q20" s="311"/>
    </row>
    <row r="21" spans="1:17" ht="11.25" customHeight="1" x14ac:dyDescent="0.2">
      <c r="G21" s="52"/>
      <c r="H21" s="324"/>
      <c r="I21" s="324"/>
      <c r="J21" s="313"/>
      <c r="K21" s="313"/>
      <c r="L21" s="313"/>
      <c r="M21" s="313"/>
      <c r="N21" s="313"/>
      <c r="O21" s="19"/>
      <c r="Q21" s="311"/>
    </row>
    <row r="22" spans="1:17" ht="11.25" customHeight="1" x14ac:dyDescent="0.2">
      <c r="B22" s="130" t="s">
        <v>18</v>
      </c>
      <c r="C22" s="131"/>
      <c r="D22" s="131"/>
      <c r="E22" s="131"/>
      <c r="F22" s="131"/>
      <c r="G22" s="53"/>
      <c r="H22" s="325"/>
      <c r="I22" s="325"/>
      <c r="J22" s="326"/>
      <c r="K22" s="326"/>
      <c r="L22" s="326"/>
      <c r="M22" s="326"/>
      <c r="N22" s="308">
        <f>N20</f>
        <v>0</v>
      </c>
      <c r="O22" s="25" t="e">
        <f>N22/N29</f>
        <v>#DIV/0!</v>
      </c>
      <c r="Q22" s="311"/>
    </row>
    <row r="23" spans="1:17" ht="11.25" customHeight="1" x14ac:dyDescent="0.2">
      <c r="B23" s="130"/>
      <c r="G23" s="52"/>
      <c r="H23" s="324"/>
      <c r="I23" s="324"/>
      <c r="J23" s="313"/>
      <c r="K23" s="313"/>
      <c r="L23" s="313"/>
      <c r="M23" s="313"/>
      <c r="N23" s="308"/>
      <c r="O23" s="25"/>
      <c r="Q23" s="311"/>
    </row>
    <row r="24" spans="1:17" ht="11.25" customHeight="1" x14ac:dyDescent="0.2">
      <c r="A24" s="98" t="s">
        <v>82</v>
      </c>
      <c r="B24" s="88" t="s">
        <v>19</v>
      </c>
      <c r="G24" s="52"/>
      <c r="H24" s="19"/>
      <c r="I24" s="52"/>
      <c r="J24" s="52"/>
      <c r="K24" s="52"/>
      <c r="L24" s="52"/>
      <c r="M24" s="52"/>
      <c r="N24" s="52"/>
      <c r="O24" s="19"/>
    </row>
    <row r="25" spans="1:17" ht="11.25" customHeight="1" x14ac:dyDescent="0.2">
      <c r="A25" s="98" t="s">
        <v>83</v>
      </c>
      <c r="B25" s="88" t="s">
        <v>81</v>
      </c>
      <c r="G25" s="97" t="s">
        <v>17</v>
      </c>
      <c r="H25" s="308">
        <f>H20</f>
        <v>0</v>
      </c>
      <c r="I25" s="323">
        <f>VLOOKUP(A25,'[1]TAB OGU JUN18'!$A:$G,6,"falso")</f>
        <v>0.26</v>
      </c>
      <c r="J25" s="323">
        <f>VLOOKUP(A25,'[1]TAB OGU JUN18'!$A:$G,4,"falso")</f>
        <v>0.26</v>
      </c>
      <c r="K25" s="308">
        <f>H25*J25</f>
        <v>0</v>
      </c>
      <c r="L25" s="323">
        <f>VLOOKUP(A25,'[1]TAB OGU JUN18'!$A:$G,5,"falso")</f>
        <v>0</v>
      </c>
      <c r="M25" s="308"/>
      <c r="N25" s="308">
        <f>H25*I25</f>
        <v>0</v>
      </c>
      <c r="O25" s="25" t="e">
        <f>N25/N27</f>
        <v>#DIV/0!</v>
      </c>
    </row>
    <row r="26" spans="1:17" ht="11.25" customHeight="1" x14ac:dyDescent="0.2">
      <c r="G26" s="52"/>
      <c r="H26" s="324"/>
      <c r="I26" s="313"/>
      <c r="J26" s="313"/>
      <c r="K26" s="313"/>
      <c r="L26" s="313"/>
      <c r="M26" s="313"/>
      <c r="N26" s="313"/>
      <c r="O26" s="19"/>
    </row>
    <row r="27" spans="1:17" ht="11.25" customHeight="1" x14ac:dyDescent="0.2">
      <c r="B27" s="130" t="s">
        <v>18</v>
      </c>
      <c r="C27" s="131"/>
      <c r="D27" s="131"/>
      <c r="E27" s="131"/>
      <c r="F27" s="131"/>
      <c r="G27" s="53"/>
      <c r="H27" s="325"/>
      <c r="I27" s="326"/>
      <c r="J27" s="326"/>
      <c r="K27" s="326"/>
      <c r="L27" s="326"/>
      <c r="M27" s="326"/>
      <c r="N27" s="308">
        <f>N25</f>
        <v>0</v>
      </c>
      <c r="O27" s="25" t="e">
        <f>N27/N29</f>
        <v>#DIV/0!</v>
      </c>
    </row>
    <row r="28" spans="1:17" ht="11.25" customHeight="1" x14ac:dyDescent="0.2">
      <c r="B28" s="130"/>
      <c r="G28" s="52"/>
      <c r="H28" s="324"/>
      <c r="I28" s="313"/>
      <c r="J28" s="313"/>
      <c r="K28" s="313"/>
      <c r="L28" s="313"/>
      <c r="M28" s="313"/>
      <c r="N28" s="308"/>
      <c r="O28" s="25"/>
    </row>
    <row r="29" spans="1:17" s="132" customFormat="1" ht="11.25" customHeight="1" x14ac:dyDescent="0.2">
      <c r="B29" s="133" t="s">
        <v>20</v>
      </c>
      <c r="C29" s="134"/>
      <c r="D29" s="134"/>
      <c r="E29" s="134"/>
      <c r="F29" s="134"/>
      <c r="G29" s="78"/>
      <c r="H29" s="327"/>
      <c r="I29" s="328"/>
      <c r="J29" s="328"/>
      <c r="K29" s="328"/>
      <c r="L29" s="328"/>
      <c r="M29" s="328"/>
      <c r="N29" s="310">
        <f>N27+N17+N22</f>
        <v>0</v>
      </c>
      <c r="O29" s="77" t="e">
        <f>N29/N118</f>
        <v>#DIV/0!</v>
      </c>
    </row>
    <row r="30" spans="1:17" ht="11.25" customHeight="1" x14ac:dyDescent="0.2">
      <c r="G30" s="52"/>
      <c r="H30" s="324"/>
      <c r="I30" s="313"/>
      <c r="J30" s="313"/>
      <c r="K30" s="313"/>
      <c r="L30" s="313"/>
      <c r="M30" s="313"/>
      <c r="N30" s="313"/>
      <c r="O30" s="19"/>
    </row>
    <row r="31" spans="1:17" ht="11.25" customHeight="1" x14ac:dyDescent="0.2">
      <c r="A31" s="129" t="s">
        <v>93</v>
      </c>
      <c r="B31" s="88" t="s">
        <v>96</v>
      </c>
      <c r="H31" s="329"/>
      <c r="I31" s="311"/>
      <c r="J31" s="311"/>
      <c r="K31" s="311"/>
      <c r="L31" s="311"/>
      <c r="M31" s="311"/>
      <c r="N31" s="311"/>
      <c r="O31" s="19"/>
    </row>
    <row r="32" spans="1:17" ht="11.25" customHeight="1" x14ac:dyDescent="0.2">
      <c r="A32" s="129" t="s">
        <v>94</v>
      </c>
      <c r="B32" s="88" t="s">
        <v>97</v>
      </c>
      <c r="H32" s="329"/>
      <c r="I32" s="311"/>
      <c r="J32" s="311"/>
      <c r="K32" s="311"/>
      <c r="L32" s="311"/>
      <c r="M32" s="311"/>
      <c r="N32" s="311"/>
      <c r="O32" s="19"/>
    </row>
    <row r="33" spans="1:15" ht="11.25" customHeight="1" x14ac:dyDescent="0.2">
      <c r="A33" s="129" t="s">
        <v>95</v>
      </c>
      <c r="B33" s="88" t="s">
        <v>228</v>
      </c>
      <c r="G33" s="97" t="s">
        <v>32</v>
      </c>
      <c r="H33" s="308">
        <f>T6</f>
        <v>0</v>
      </c>
      <c r="I33" s="323">
        <f>VLOOKUP(A33,'[1]TAB OGU JUN18'!$A:$G,6,"falso")</f>
        <v>32.9</v>
      </c>
      <c r="J33" s="323">
        <f>VLOOKUP(A33,'[1]TAB OGU JUN18'!$A:$G,4,"falso")</f>
        <v>32.9</v>
      </c>
      <c r="K33" s="308">
        <f>H33*J33</f>
        <v>0</v>
      </c>
      <c r="L33" s="323">
        <f>VLOOKUP(A33,'[1]TAB OGU JUN18'!$A:$G,5,"falso")</f>
        <v>0</v>
      </c>
      <c r="M33" s="308"/>
      <c r="N33" s="308">
        <f>H33*I33</f>
        <v>0</v>
      </c>
      <c r="O33" s="25" t="e">
        <f>N33/N36</f>
        <v>#DIV/0!</v>
      </c>
    </row>
    <row r="34" spans="1:15" ht="11.25" customHeight="1" x14ac:dyDescent="0.2">
      <c r="A34" s="129" t="s">
        <v>261</v>
      </c>
      <c r="B34" s="88" t="s">
        <v>643</v>
      </c>
      <c r="G34" s="97" t="s">
        <v>32</v>
      </c>
      <c r="H34" s="308">
        <f>T7</f>
        <v>0</v>
      </c>
      <c r="I34" s="323">
        <f>VLOOKUP(A34,'[1]TAB OGU JUN18'!$A:$G,6,"falso")</f>
        <v>41.13</v>
      </c>
      <c r="J34" s="323">
        <f>VLOOKUP(A34,'[1]TAB OGU JUN18'!$A:$G,4,"falso")</f>
        <v>41.13</v>
      </c>
      <c r="K34" s="308">
        <f>H34*J34</f>
        <v>0</v>
      </c>
      <c r="L34" s="323">
        <f>VLOOKUP(A34,'[1]TAB OGU JUN18'!$A:$G,5,"falso")</f>
        <v>0</v>
      </c>
      <c r="M34" s="308"/>
      <c r="N34" s="308">
        <f>H34*I34</f>
        <v>0</v>
      </c>
      <c r="O34" s="25" t="e">
        <f>N34/N36</f>
        <v>#DIV/0!</v>
      </c>
    </row>
    <row r="35" spans="1:15" ht="11.25" customHeight="1" x14ac:dyDescent="0.2">
      <c r="G35" s="52"/>
      <c r="H35" s="324"/>
      <c r="I35" s="313"/>
      <c r="J35" s="313"/>
      <c r="K35" s="313"/>
      <c r="L35" s="313"/>
      <c r="M35" s="313"/>
      <c r="N35" s="309"/>
      <c r="O35" s="25"/>
    </row>
    <row r="36" spans="1:15" ht="11.25" customHeight="1" x14ac:dyDescent="0.2">
      <c r="B36" s="130" t="s">
        <v>18</v>
      </c>
      <c r="C36" s="131"/>
      <c r="D36" s="131"/>
      <c r="E36" s="131"/>
      <c r="F36" s="131"/>
      <c r="G36" s="53"/>
      <c r="H36" s="325"/>
      <c r="I36" s="326"/>
      <c r="J36" s="326"/>
      <c r="K36" s="326"/>
      <c r="L36" s="326"/>
      <c r="M36" s="326"/>
      <c r="N36" s="308">
        <f>SUM(N33:N34)</f>
        <v>0</v>
      </c>
      <c r="O36" s="25" t="e">
        <f>N36/N66</f>
        <v>#DIV/0!</v>
      </c>
    </row>
    <row r="37" spans="1:15" ht="11.25" customHeight="1" x14ac:dyDescent="0.2">
      <c r="B37" s="130"/>
      <c r="G37" s="52"/>
      <c r="H37" s="324"/>
      <c r="I37" s="313"/>
      <c r="J37" s="313"/>
      <c r="K37" s="313"/>
      <c r="L37" s="313"/>
      <c r="M37" s="313"/>
      <c r="N37" s="308"/>
      <c r="O37" s="25"/>
    </row>
    <row r="38" spans="1:15" ht="11.25" customHeight="1" x14ac:dyDescent="0.2">
      <c r="A38" s="98" t="s">
        <v>98</v>
      </c>
      <c r="B38" s="88" t="s">
        <v>100</v>
      </c>
      <c r="G38" s="52"/>
      <c r="H38" s="324"/>
      <c r="I38" s="313"/>
      <c r="J38" s="313"/>
      <c r="K38" s="313"/>
      <c r="L38" s="313"/>
      <c r="M38" s="313"/>
      <c r="N38" s="313"/>
      <c r="O38" s="19"/>
    </row>
    <row r="39" spans="1:15" ht="11.25" customHeight="1" x14ac:dyDescent="0.2">
      <c r="A39" s="98" t="s">
        <v>99</v>
      </c>
      <c r="B39" s="88" t="s">
        <v>229</v>
      </c>
      <c r="G39" s="97" t="s">
        <v>32</v>
      </c>
      <c r="H39" s="308">
        <f>T8</f>
        <v>0</v>
      </c>
      <c r="I39" s="323">
        <f>VLOOKUP(A39,'[1]TAB OGU JUN18'!$A:$G,6,"falso")</f>
        <v>9.77</v>
      </c>
      <c r="J39" s="323">
        <f>VLOOKUP(A39,'[1]TAB OGU JUN18'!$A:$G,4,"falso")</f>
        <v>9.77</v>
      </c>
      <c r="K39" s="308">
        <f>H39*J39</f>
        <v>0</v>
      </c>
      <c r="L39" s="323">
        <f>VLOOKUP(A39,'[1]TAB OGU JUN18'!$A:$G,5,"falso")</f>
        <v>0</v>
      </c>
      <c r="M39" s="308"/>
      <c r="N39" s="308">
        <f>H39*I39</f>
        <v>0</v>
      </c>
      <c r="O39" s="25" t="e">
        <f>N39/N42</f>
        <v>#DIV/0!</v>
      </c>
    </row>
    <row r="40" spans="1:15" ht="11.25" customHeight="1" x14ac:dyDescent="0.2">
      <c r="A40" s="98" t="s">
        <v>232</v>
      </c>
      <c r="B40" s="88" t="s">
        <v>558</v>
      </c>
      <c r="G40" s="97" t="s">
        <v>32</v>
      </c>
      <c r="H40" s="308">
        <f>T9</f>
        <v>0</v>
      </c>
      <c r="I40" s="323">
        <f>VLOOKUP(A40,'[1]TAB OGU JUN18'!$A:$G,6,"falso")</f>
        <v>11.16</v>
      </c>
      <c r="J40" s="323">
        <f>VLOOKUP(A40,'[1]TAB OGU JUN18'!$A:$G,4,"falso")</f>
        <v>11.16</v>
      </c>
      <c r="K40" s="308">
        <f>H40*J40</f>
        <v>0</v>
      </c>
      <c r="L40" s="323">
        <f>VLOOKUP(A40,'[1]TAB OGU JUN18'!$A:$G,5,"falso")</f>
        <v>0</v>
      </c>
      <c r="M40" s="308"/>
      <c r="N40" s="308">
        <f>H40*I40</f>
        <v>0</v>
      </c>
      <c r="O40" s="25" t="e">
        <f>N40/N42</f>
        <v>#DIV/0!</v>
      </c>
    </row>
    <row r="41" spans="1:15" ht="11.25" customHeight="1" x14ac:dyDescent="0.2">
      <c r="G41" s="52"/>
      <c r="H41" s="324"/>
      <c r="I41" s="313"/>
      <c r="J41" s="313"/>
      <c r="K41" s="313"/>
      <c r="L41" s="313"/>
      <c r="M41" s="313"/>
      <c r="N41" s="313"/>
      <c r="O41" s="19"/>
    </row>
    <row r="42" spans="1:15" ht="11.25" customHeight="1" x14ac:dyDescent="0.2">
      <c r="B42" s="130" t="s">
        <v>18</v>
      </c>
      <c r="C42" s="131"/>
      <c r="D42" s="131"/>
      <c r="E42" s="131"/>
      <c r="F42" s="131"/>
      <c r="G42" s="53"/>
      <c r="H42" s="325"/>
      <c r="I42" s="326"/>
      <c r="J42" s="326"/>
      <c r="K42" s="326"/>
      <c r="L42" s="326"/>
      <c r="M42" s="326"/>
      <c r="N42" s="308">
        <f>N39+N40</f>
        <v>0</v>
      </c>
      <c r="O42" s="25" t="e">
        <f>N42/N66</f>
        <v>#DIV/0!</v>
      </c>
    </row>
    <row r="43" spans="1:15" ht="11.25" customHeight="1" x14ac:dyDescent="0.2">
      <c r="B43" s="130"/>
      <c r="G43" s="52"/>
      <c r="H43" s="324"/>
      <c r="I43" s="313"/>
      <c r="J43" s="313"/>
      <c r="K43" s="313"/>
      <c r="L43" s="313"/>
      <c r="M43" s="313"/>
      <c r="N43" s="308"/>
      <c r="O43" s="25"/>
    </row>
    <row r="44" spans="1:15" ht="11.25" customHeight="1" x14ac:dyDescent="0.2">
      <c r="A44" s="98" t="s">
        <v>101</v>
      </c>
      <c r="B44" s="88" t="s">
        <v>21</v>
      </c>
      <c r="G44" s="97"/>
      <c r="H44" s="308"/>
      <c r="I44" s="308"/>
      <c r="J44" s="308"/>
      <c r="K44" s="308"/>
      <c r="L44" s="308"/>
      <c r="M44" s="308"/>
      <c r="N44" s="308"/>
      <c r="O44" s="25"/>
    </row>
    <row r="45" spans="1:15" ht="11.25" customHeight="1" x14ac:dyDescent="0.2">
      <c r="A45" s="98" t="s">
        <v>102</v>
      </c>
      <c r="B45" s="88" t="s">
        <v>104</v>
      </c>
      <c r="G45" s="97" t="s">
        <v>32</v>
      </c>
      <c r="H45" s="308">
        <f>T10</f>
        <v>0</v>
      </c>
      <c r="I45" s="323">
        <f>VLOOKUP(A45,'[1]TAB OGU JUN18'!$A:$G,6,"falso")</f>
        <v>7.4</v>
      </c>
      <c r="J45" s="323">
        <f>VLOOKUP(A45,'[1]TAB OGU JUN18'!$A:$G,4,"falso")</f>
        <v>7.4</v>
      </c>
      <c r="K45" s="308">
        <f>H45*J45</f>
        <v>0</v>
      </c>
      <c r="L45" s="323">
        <f>VLOOKUP(A45,'[1]TAB OGU JUN18'!$A:$G,5,"falso")</f>
        <v>0</v>
      </c>
      <c r="M45" s="308"/>
      <c r="N45" s="308">
        <f>H45*I45</f>
        <v>0</v>
      </c>
      <c r="O45" s="25" t="e">
        <f>N45/N48</f>
        <v>#DIV/0!</v>
      </c>
    </row>
    <row r="46" spans="1:15" ht="11.25" customHeight="1" x14ac:dyDescent="0.2">
      <c r="A46" s="98" t="s">
        <v>103</v>
      </c>
      <c r="B46" s="88" t="s">
        <v>105</v>
      </c>
      <c r="G46" s="97" t="s">
        <v>32</v>
      </c>
      <c r="H46" s="308">
        <f>T11</f>
        <v>0</v>
      </c>
      <c r="I46" s="323">
        <f>VLOOKUP(A46,'[1]TAB OGU JUN18'!$A:$G,6,"falso")</f>
        <v>1.32</v>
      </c>
      <c r="J46" s="323">
        <f>VLOOKUP(A46,'[1]TAB OGU JUN18'!$A:$G,4,"falso")</f>
        <v>1.32</v>
      </c>
      <c r="K46" s="308">
        <f>H46*J46</f>
        <v>0</v>
      </c>
      <c r="L46" s="323">
        <f>VLOOKUP(A46,'[1]TAB OGU JUN18'!$A:$G,5,"falso")</f>
        <v>0</v>
      </c>
      <c r="M46" s="308"/>
      <c r="N46" s="308">
        <f>H46*I46</f>
        <v>0</v>
      </c>
      <c r="O46" s="25" t="e">
        <f>N46/N48</f>
        <v>#DIV/0!</v>
      </c>
    </row>
    <row r="47" spans="1:15" ht="11.25" customHeight="1" x14ac:dyDescent="0.2">
      <c r="B47" s="130"/>
      <c r="G47" s="52"/>
      <c r="H47" s="324"/>
      <c r="I47" s="313"/>
      <c r="J47" s="313"/>
      <c r="K47" s="313"/>
      <c r="L47" s="313"/>
      <c r="M47" s="313"/>
      <c r="N47" s="308"/>
      <c r="O47" s="25"/>
    </row>
    <row r="48" spans="1:15" ht="11.25" customHeight="1" x14ac:dyDescent="0.2">
      <c r="B48" s="130" t="s">
        <v>18</v>
      </c>
      <c r="C48" s="131"/>
      <c r="D48" s="131"/>
      <c r="E48" s="131"/>
      <c r="F48" s="131"/>
      <c r="G48" s="53"/>
      <c r="H48" s="325"/>
      <c r="I48" s="326"/>
      <c r="J48" s="326"/>
      <c r="K48" s="326"/>
      <c r="L48" s="326"/>
      <c r="M48" s="326"/>
      <c r="N48" s="308">
        <f>N46+N45</f>
        <v>0</v>
      </c>
      <c r="O48" s="25" t="e">
        <f>N48/N66</f>
        <v>#DIV/0!</v>
      </c>
    </row>
    <row r="49" spans="1:15" ht="11.25" customHeight="1" x14ac:dyDescent="0.2">
      <c r="B49" s="130"/>
      <c r="G49" s="52"/>
      <c r="H49" s="324"/>
      <c r="I49" s="313"/>
      <c r="J49" s="313"/>
      <c r="K49" s="313"/>
      <c r="L49" s="313"/>
      <c r="M49" s="313"/>
      <c r="N49" s="308"/>
      <c r="O49" s="25"/>
    </row>
    <row r="50" spans="1:15" ht="11.25" customHeight="1" x14ac:dyDescent="0.2">
      <c r="A50" s="98" t="s">
        <v>106</v>
      </c>
      <c r="B50" s="88" t="s">
        <v>109</v>
      </c>
      <c r="G50" s="97"/>
      <c r="H50" s="308"/>
      <c r="I50" s="308"/>
      <c r="J50" s="308"/>
      <c r="K50" s="308"/>
      <c r="L50" s="308"/>
      <c r="M50" s="308"/>
      <c r="N50" s="308"/>
      <c r="O50" s="25"/>
    </row>
    <row r="51" spans="1:15" ht="11.25" customHeight="1" x14ac:dyDescent="0.2">
      <c r="A51" s="98" t="s">
        <v>107</v>
      </c>
      <c r="B51" s="88" t="s">
        <v>104</v>
      </c>
      <c r="G51" s="97" t="s">
        <v>32</v>
      </c>
      <c r="H51" s="308">
        <f>H45</f>
        <v>0</v>
      </c>
      <c r="I51" s="323">
        <f>VLOOKUP(A51,'[1]TAB OGU JUN18'!$A:$G,6,"falso")</f>
        <v>20.56</v>
      </c>
      <c r="J51" s="323">
        <f>VLOOKUP(A51,'[1]TAB OGU JUN18'!$A:$G,4,"falso")</f>
        <v>20.56</v>
      </c>
      <c r="K51" s="308">
        <f>H51*J51</f>
        <v>0</v>
      </c>
      <c r="L51" s="323">
        <f>VLOOKUP(A51,'[1]TAB OGU JUN18'!$A:$G,5,"falso")</f>
        <v>0</v>
      </c>
      <c r="M51" s="308"/>
      <c r="N51" s="308">
        <f>H51*I51</f>
        <v>0</v>
      </c>
      <c r="O51" s="25" t="e">
        <f>N51/N54</f>
        <v>#DIV/0!</v>
      </c>
    </row>
    <row r="52" spans="1:15" ht="11.25" customHeight="1" x14ac:dyDescent="0.2">
      <c r="A52" s="98" t="s">
        <v>108</v>
      </c>
      <c r="B52" s="88" t="s">
        <v>105</v>
      </c>
      <c r="G52" s="97" t="s">
        <v>32</v>
      </c>
      <c r="H52" s="308">
        <f>H46</f>
        <v>0</v>
      </c>
      <c r="I52" s="323">
        <f>VLOOKUP(A52,'[1]TAB OGU JUN18'!$A:$G,6,"falso")</f>
        <v>4.05</v>
      </c>
      <c r="J52" s="323">
        <f>VLOOKUP(A52,'[1]TAB OGU JUN18'!$A:$G,4,"falso")</f>
        <v>4.05</v>
      </c>
      <c r="K52" s="308">
        <f>H52*J52</f>
        <v>0</v>
      </c>
      <c r="L52" s="323">
        <f>VLOOKUP(A52,'[1]TAB OGU JUN18'!$A:$G,5,"falso")</f>
        <v>0</v>
      </c>
      <c r="M52" s="308"/>
      <c r="N52" s="308">
        <f>H52*I52</f>
        <v>0</v>
      </c>
      <c r="O52" s="25" t="e">
        <f>N52/N54</f>
        <v>#DIV/0!</v>
      </c>
    </row>
    <row r="53" spans="1:15" ht="11.25" customHeight="1" x14ac:dyDescent="0.2">
      <c r="B53" s="130"/>
      <c r="G53" s="52"/>
      <c r="H53" s="324"/>
      <c r="I53" s="313"/>
      <c r="J53" s="313"/>
      <c r="K53" s="313"/>
      <c r="L53" s="313"/>
      <c r="M53" s="313"/>
      <c r="N53" s="308"/>
      <c r="O53" s="25"/>
    </row>
    <row r="54" spans="1:15" ht="11.25" customHeight="1" x14ac:dyDescent="0.2">
      <c r="B54" s="130" t="s">
        <v>18</v>
      </c>
      <c r="C54" s="131"/>
      <c r="D54" s="131"/>
      <c r="E54" s="131"/>
      <c r="F54" s="131"/>
      <c r="G54" s="53"/>
      <c r="H54" s="325"/>
      <c r="I54" s="326"/>
      <c r="J54" s="326"/>
      <c r="K54" s="326"/>
      <c r="L54" s="326"/>
      <c r="M54" s="326"/>
      <c r="N54" s="308">
        <f>N52+N51</f>
        <v>0</v>
      </c>
      <c r="O54" s="25" t="e">
        <f>N54/N66</f>
        <v>#DIV/0!</v>
      </c>
    </row>
    <row r="55" spans="1:15" ht="11.25" customHeight="1" x14ac:dyDescent="0.2">
      <c r="B55" s="130"/>
      <c r="G55" s="52"/>
      <c r="H55" s="324"/>
      <c r="I55" s="313"/>
      <c r="J55" s="313"/>
      <c r="K55" s="313"/>
      <c r="L55" s="313"/>
      <c r="M55" s="313"/>
      <c r="N55" s="308"/>
      <c r="O55" s="25"/>
    </row>
    <row r="56" spans="1:15" ht="11.25" customHeight="1" x14ac:dyDescent="0.2">
      <c r="A56" s="98" t="s">
        <v>110</v>
      </c>
      <c r="B56" s="88" t="s">
        <v>112</v>
      </c>
      <c r="G56" s="52"/>
      <c r="H56" s="324"/>
      <c r="I56" s="313"/>
      <c r="J56" s="313"/>
      <c r="K56" s="313"/>
      <c r="L56" s="313"/>
      <c r="M56" s="313"/>
      <c r="N56" s="313"/>
      <c r="O56" s="19"/>
    </row>
    <row r="57" spans="1:15" ht="11.25" customHeight="1" x14ac:dyDescent="0.2">
      <c r="A57" s="98" t="s">
        <v>111</v>
      </c>
      <c r="B57" s="88" t="s">
        <v>113</v>
      </c>
      <c r="G57" s="97" t="s">
        <v>32</v>
      </c>
      <c r="H57" s="308">
        <f>T12</f>
        <v>0</v>
      </c>
      <c r="I57" s="323">
        <f>VLOOKUP(A57,'[1]TAB OGU JUN18'!$A:$G,6,"falso")</f>
        <v>1.85</v>
      </c>
      <c r="J57" s="323">
        <f>VLOOKUP(A57,'[1]TAB OGU JUN18'!$A:$G,4,"falso")</f>
        <v>1.85</v>
      </c>
      <c r="K57" s="308">
        <f>H57*J57</f>
        <v>0</v>
      </c>
      <c r="L57" s="323">
        <f>VLOOKUP(A57,'[1]TAB OGU JUN18'!$A:$G,5,"falso")</f>
        <v>0</v>
      </c>
      <c r="M57" s="308"/>
      <c r="N57" s="308">
        <f>H57*I57</f>
        <v>0</v>
      </c>
      <c r="O57" s="25" t="e">
        <f>N57/N59</f>
        <v>#DIV/0!</v>
      </c>
    </row>
    <row r="58" spans="1:15" ht="11.25" customHeight="1" x14ac:dyDescent="0.2">
      <c r="G58" s="52"/>
      <c r="H58" s="324"/>
      <c r="I58" s="313"/>
      <c r="J58" s="313"/>
      <c r="K58" s="313"/>
      <c r="L58" s="313"/>
      <c r="M58" s="313"/>
      <c r="N58" s="313"/>
      <c r="O58" s="19"/>
    </row>
    <row r="59" spans="1:15" ht="11.25" customHeight="1" x14ac:dyDescent="0.2">
      <c r="B59" s="130" t="s">
        <v>18</v>
      </c>
      <c r="C59" s="131"/>
      <c r="D59" s="131"/>
      <c r="E59" s="131"/>
      <c r="F59" s="131"/>
      <c r="G59" s="53"/>
      <c r="H59" s="325"/>
      <c r="I59" s="326"/>
      <c r="J59" s="326"/>
      <c r="K59" s="326"/>
      <c r="L59" s="326"/>
      <c r="M59" s="326"/>
      <c r="N59" s="308">
        <f>N57</f>
        <v>0</v>
      </c>
      <c r="O59" s="25" t="e">
        <f>N59/N66</f>
        <v>#DIV/0!</v>
      </c>
    </row>
    <row r="60" spans="1:15" ht="11.25" customHeight="1" x14ac:dyDescent="0.2">
      <c r="B60" s="130"/>
      <c r="G60" s="52"/>
      <c r="H60" s="324"/>
      <c r="I60" s="313"/>
      <c r="J60" s="313"/>
      <c r="K60" s="313"/>
      <c r="L60" s="313"/>
      <c r="M60" s="313"/>
      <c r="N60" s="308"/>
      <c r="O60" s="25"/>
    </row>
    <row r="61" spans="1:15" ht="11.25" customHeight="1" x14ac:dyDescent="0.2">
      <c r="A61" s="98" t="s">
        <v>114</v>
      </c>
      <c r="B61" s="88" t="s">
        <v>737</v>
      </c>
      <c r="G61" s="52"/>
      <c r="H61" s="324"/>
      <c r="I61" s="313"/>
      <c r="J61" s="313"/>
      <c r="K61" s="313"/>
      <c r="L61" s="313"/>
      <c r="M61" s="313"/>
      <c r="N61" s="313"/>
      <c r="O61" s="19"/>
    </row>
    <row r="62" spans="1:15" ht="11.25" customHeight="1" x14ac:dyDescent="0.2">
      <c r="A62" s="98" t="s">
        <v>115</v>
      </c>
      <c r="B62" s="88" t="s">
        <v>116</v>
      </c>
      <c r="G62" s="97" t="s">
        <v>180</v>
      </c>
      <c r="H62" s="308">
        <f>H57*3</f>
        <v>0</v>
      </c>
      <c r="I62" s="323">
        <f>VLOOKUP(A62,'[1]TAB OGU JUN18'!$A:$G,6,"falso")</f>
        <v>1</v>
      </c>
      <c r="J62" s="323">
        <f>VLOOKUP(A62,'[1]TAB OGU JUN18'!$A:$G,4,"falso")</f>
        <v>1</v>
      </c>
      <c r="K62" s="308">
        <f>H62*J62</f>
        <v>0</v>
      </c>
      <c r="L62" s="323">
        <f>VLOOKUP(A62,'[1]TAB OGU JUN18'!$A:$G,5,"falso")</f>
        <v>0</v>
      </c>
      <c r="M62" s="308"/>
      <c r="N62" s="308">
        <f>H62*I62</f>
        <v>0</v>
      </c>
      <c r="O62" s="25" t="e">
        <f>N62/N64</f>
        <v>#DIV/0!</v>
      </c>
    </row>
    <row r="63" spans="1:15" ht="11.25" customHeight="1" x14ac:dyDescent="0.2">
      <c r="G63" s="52"/>
      <c r="H63" s="324"/>
      <c r="I63" s="313"/>
      <c r="J63" s="313"/>
      <c r="K63" s="313"/>
      <c r="L63" s="313"/>
      <c r="M63" s="313"/>
      <c r="N63" s="313"/>
      <c r="O63" s="19"/>
    </row>
    <row r="64" spans="1:15" ht="11.25" customHeight="1" x14ac:dyDescent="0.2">
      <c r="B64" s="130" t="s">
        <v>18</v>
      </c>
      <c r="C64" s="131"/>
      <c r="D64" s="131"/>
      <c r="E64" s="131"/>
      <c r="F64" s="131"/>
      <c r="G64" s="53"/>
      <c r="H64" s="325"/>
      <c r="I64" s="326"/>
      <c r="J64" s="326"/>
      <c r="K64" s="326"/>
      <c r="L64" s="326"/>
      <c r="M64" s="326"/>
      <c r="N64" s="308">
        <f>N62</f>
        <v>0</v>
      </c>
      <c r="O64" s="25" t="e">
        <f>N64/N66</f>
        <v>#DIV/0!</v>
      </c>
    </row>
    <row r="65" spans="1:17" ht="11.25" customHeight="1" x14ac:dyDescent="0.2">
      <c r="B65" s="130"/>
      <c r="G65" s="52"/>
      <c r="H65" s="324"/>
      <c r="I65" s="313"/>
      <c r="J65" s="313"/>
      <c r="K65" s="313"/>
      <c r="L65" s="313"/>
      <c r="M65" s="313"/>
      <c r="N65" s="308"/>
      <c r="O65" s="25"/>
    </row>
    <row r="66" spans="1:17" s="132" customFormat="1" ht="11.25" customHeight="1" x14ac:dyDescent="0.2">
      <c r="B66" s="133" t="s">
        <v>20</v>
      </c>
      <c r="C66" s="134"/>
      <c r="D66" s="134"/>
      <c r="E66" s="134"/>
      <c r="F66" s="134"/>
      <c r="G66" s="78"/>
      <c r="H66" s="327"/>
      <c r="I66" s="328"/>
      <c r="J66" s="328"/>
      <c r="K66" s="328"/>
      <c r="L66" s="328"/>
      <c r="M66" s="328"/>
      <c r="N66" s="310">
        <f>N64+N59+N54+N48+N42+N36</f>
        <v>0</v>
      </c>
      <c r="O66" s="77" t="e">
        <f>N66/N118</f>
        <v>#DIV/0!</v>
      </c>
    </row>
    <row r="67" spans="1:17" ht="11.25" customHeight="1" x14ac:dyDescent="0.2">
      <c r="B67" s="130"/>
      <c r="G67" s="52"/>
      <c r="H67" s="324"/>
      <c r="I67" s="313"/>
      <c r="J67" s="313"/>
      <c r="K67" s="313"/>
      <c r="L67" s="313"/>
      <c r="M67" s="313"/>
      <c r="N67" s="308"/>
      <c r="O67" s="25"/>
    </row>
    <row r="68" spans="1:17" ht="11.25" customHeight="1" x14ac:dyDescent="0.2">
      <c r="A68" s="129" t="s">
        <v>117</v>
      </c>
      <c r="B68" s="88" t="s">
        <v>22</v>
      </c>
      <c r="H68" s="329"/>
      <c r="I68" s="311"/>
      <c r="J68" s="311"/>
      <c r="K68" s="311"/>
      <c r="L68" s="311"/>
      <c r="M68" s="311"/>
      <c r="N68" s="311"/>
      <c r="O68" s="19"/>
    </row>
    <row r="69" spans="1:17" ht="11.25" customHeight="1" x14ac:dyDescent="0.2">
      <c r="A69" s="129" t="s">
        <v>118</v>
      </c>
      <c r="B69" s="88" t="s">
        <v>23</v>
      </c>
      <c r="H69" s="329"/>
      <c r="I69" s="311"/>
      <c r="J69" s="311"/>
      <c r="K69" s="311"/>
      <c r="L69" s="311"/>
      <c r="M69" s="311"/>
      <c r="N69" s="311"/>
      <c r="O69" s="19"/>
    </row>
    <row r="70" spans="1:17" ht="11.25" customHeight="1" x14ac:dyDescent="0.2">
      <c r="A70" s="129" t="s">
        <v>119</v>
      </c>
      <c r="B70" s="88" t="s">
        <v>120</v>
      </c>
      <c r="G70" s="97" t="s">
        <v>31</v>
      </c>
      <c r="H70" s="308">
        <f>0.95*S6</f>
        <v>0</v>
      </c>
      <c r="I70" s="323">
        <f>VLOOKUP(A70,'[1]TAB OGU JUN18'!$A:$G,6,"falso")</f>
        <v>14.81</v>
      </c>
      <c r="J70" s="323">
        <f>VLOOKUP(A70,'[1]TAB OGU JUN18'!$A:$G,4,"falso")</f>
        <v>13.63</v>
      </c>
      <c r="K70" s="308">
        <f>H70*J70</f>
        <v>0</v>
      </c>
      <c r="L70" s="323">
        <f>VLOOKUP(A70,'[1]TAB OGU JUN18'!$A:$G,5,"falso")</f>
        <v>1.18</v>
      </c>
      <c r="M70" s="308">
        <f>H70*L70</f>
        <v>0</v>
      </c>
      <c r="N70" s="308">
        <f>H70*I70</f>
        <v>0</v>
      </c>
      <c r="O70" s="25" t="e">
        <f>N70/N73</f>
        <v>#DIV/0!</v>
      </c>
    </row>
    <row r="71" spans="1:17" ht="11.25" customHeight="1" x14ac:dyDescent="0.2">
      <c r="A71" s="129" t="s">
        <v>224</v>
      </c>
      <c r="B71" s="88" t="s">
        <v>225</v>
      </c>
      <c r="G71" s="97" t="s">
        <v>31</v>
      </c>
      <c r="H71" s="308">
        <f>0.05*S6</f>
        <v>0</v>
      </c>
      <c r="I71" s="323">
        <f>VLOOKUP(A71,'[1]TAB OGU JUN18'!$A:$G,6,"falso")</f>
        <v>23.06</v>
      </c>
      <c r="J71" s="323">
        <f>VLOOKUP(A71,'[1]TAB OGU JUN18'!$A:$G,4,"falso")</f>
        <v>22.37</v>
      </c>
      <c r="K71" s="308">
        <f>H71*J71</f>
        <v>0</v>
      </c>
      <c r="L71" s="323">
        <f>VLOOKUP(A71,'[1]TAB OGU JUN18'!$A:$G,5,"falso")-0.01</f>
        <v>0.67999999999999994</v>
      </c>
      <c r="M71" s="308">
        <f>H71*L71</f>
        <v>0</v>
      </c>
      <c r="N71" s="308">
        <f>H71*I71</f>
        <v>0</v>
      </c>
      <c r="O71" s="25" t="e">
        <f>N71/N73</f>
        <v>#DIV/0!</v>
      </c>
    </row>
    <row r="72" spans="1:17" ht="11.25" customHeight="1" x14ac:dyDescent="0.2">
      <c r="B72" s="130"/>
      <c r="G72" s="52"/>
      <c r="H72" s="324"/>
      <c r="I72" s="313"/>
      <c r="J72" s="313"/>
      <c r="K72" s="313"/>
      <c r="L72" s="313"/>
      <c r="M72" s="313"/>
      <c r="N72" s="308"/>
      <c r="O72" s="25"/>
    </row>
    <row r="73" spans="1:17" ht="11.25" customHeight="1" x14ac:dyDescent="0.2">
      <c r="B73" s="130" t="s">
        <v>18</v>
      </c>
      <c r="C73" s="131"/>
      <c r="D73" s="131"/>
      <c r="E73" s="131"/>
      <c r="F73" s="131"/>
      <c r="G73" s="53"/>
      <c r="H73" s="325"/>
      <c r="I73" s="326"/>
      <c r="J73" s="326"/>
      <c r="K73" s="326"/>
      <c r="L73" s="326"/>
      <c r="M73" s="326"/>
      <c r="N73" s="308">
        <f>N70+N71</f>
        <v>0</v>
      </c>
      <c r="O73" s="25" t="e">
        <f>N73/N80</f>
        <v>#DIV/0!</v>
      </c>
    </row>
    <row r="74" spans="1:17" ht="12.75" hidden="1" x14ac:dyDescent="0.2">
      <c r="B74" s="130"/>
      <c r="G74" s="52"/>
      <c r="H74" s="324"/>
      <c r="I74" s="324"/>
      <c r="J74" s="313"/>
      <c r="K74" s="313"/>
      <c r="L74" s="313"/>
      <c r="M74" s="313"/>
      <c r="N74" s="308"/>
      <c r="O74" s="25"/>
      <c r="Q74" s="311"/>
    </row>
    <row r="75" spans="1:17" ht="12.75" hidden="1" x14ac:dyDescent="0.2">
      <c r="A75" s="129" t="s">
        <v>304</v>
      </c>
      <c r="B75" s="88" t="s">
        <v>305</v>
      </c>
      <c r="H75" s="329"/>
      <c r="I75" s="329"/>
      <c r="J75" s="311"/>
      <c r="K75" s="311"/>
      <c r="L75" s="311"/>
      <c r="M75" s="311"/>
      <c r="N75" s="311"/>
      <c r="O75" s="19"/>
      <c r="Q75" s="311"/>
    </row>
    <row r="76" spans="1:17" ht="12.75" hidden="1" x14ac:dyDescent="0.2">
      <c r="A76" s="129" t="s">
        <v>306</v>
      </c>
      <c r="B76" s="88" t="s">
        <v>307</v>
      </c>
      <c r="G76" s="97" t="s">
        <v>31</v>
      </c>
      <c r="H76" s="308"/>
      <c r="I76" s="323">
        <f>VLOOKUP(A76,'[1]TAB OGU JUN18'!$A:$G,6,"falso")</f>
        <v>144.25</v>
      </c>
      <c r="J76" s="323">
        <f>VLOOKUP(A76,'[1]TAB OGU JUN18'!$A:$G,4,"falso")</f>
        <v>134.15</v>
      </c>
      <c r="K76" s="308">
        <f>H76*J76</f>
        <v>0</v>
      </c>
      <c r="L76" s="323">
        <f>VLOOKUP(A76,'[1]TAB OGU JUN18'!$A:$G,5,"falso")</f>
        <v>10.1</v>
      </c>
      <c r="M76" s="308">
        <f>H76*L76</f>
        <v>0</v>
      </c>
      <c r="N76" s="308">
        <f>H76*I76</f>
        <v>0</v>
      </c>
      <c r="O76" s="25" t="e">
        <f>N76/N78</f>
        <v>#DIV/0!</v>
      </c>
      <c r="Q76" s="311"/>
    </row>
    <row r="77" spans="1:17" ht="12.75" hidden="1" x14ac:dyDescent="0.2">
      <c r="B77" s="130"/>
      <c r="G77" s="52"/>
      <c r="H77" s="324"/>
      <c r="I77" s="324"/>
      <c r="J77" s="313"/>
      <c r="K77" s="313"/>
      <c r="L77" s="313"/>
      <c r="M77" s="313"/>
      <c r="N77" s="308"/>
      <c r="O77" s="25"/>
      <c r="Q77" s="311"/>
    </row>
    <row r="78" spans="1:17" ht="12.75" hidden="1" x14ac:dyDescent="0.2">
      <c r="B78" s="130" t="s">
        <v>18</v>
      </c>
      <c r="C78" s="131"/>
      <c r="D78" s="131"/>
      <c r="E78" s="131"/>
      <c r="F78" s="131"/>
      <c r="G78" s="53"/>
      <c r="H78" s="325"/>
      <c r="I78" s="325"/>
      <c r="J78" s="326"/>
      <c r="K78" s="326"/>
      <c r="L78" s="326"/>
      <c r="M78" s="326"/>
      <c r="N78" s="308">
        <f>N76</f>
        <v>0</v>
      </c>
      <c r="O78" s="25" t="e">
        <f>N78/N80</f>
        <v>#DIV/0!</v>
      </c>
      <c r="Q78" s="311"/>
    </row>
    <row r="79" spans="1:17" ht="11.25" customHeight="1" x14ac:dyDescent="0.2">
      <c r="B79" s="130"/>
      <c r="G79" s="52"/>
      <c r="H79" s="324"/>
      <c r="I79" s="313"/>
      <c r="J79" s="313"/>
      <c r="K79" s="313"/>
      <c r="L79" s="313"/>
      <c r="M79" s="313"/>
      <c r="N79" s="308"/>
      <c r="O79" s="25"/>
    </row>
    <row r="80" spans="1:17" s="132" customFormat="1" ht="11.25" customHeight="1" x14ac:dyDescent="0.2">
      <c r="B80" s="133" t="s">
        <v>20</v>
      </c>
      <c r="C80" s="134"/>
      <c r="D80" s="134"/>
      <c r="E80" s="134"/>
      <c r="F80" s="134"/>
      <c r="G80" s="78"/>
      <c r="H80" s="327"/>
      <c r="I80" s="328"/>
      <c r="J80" s="328"/>
      <c r="K80" s="328"/>
      <c r="L80" s="328"/>
      <c r="M80" s="328"/>
      <c r="N80" s="310">
        <f>N73+N78</f>
        <v>0</v>
      </c>
      <c r="O80" s="77" t="e">
        <f>N80/N118</f>
        <v>#DIV/0!</v>
      </c>
    </row>
    <row r="81" spans="1:17" ht="11.25" customHeight="1" x14ac:dyDescent="0.2">
      <c r="B81" s="130"/>
      <c r="G81" s="52"/>
      <c r="H81" s="324"/>
      <c r="I81" s="313"/>
      <c r="J81" s="313"/>
      <c r="K81" s="313"/>
      <c r="L81" s="313"/>
      <c r="M81" s="313"/>
      <c r="N81" s="308"/>
      <c r="O81" s="25"/>
    </row>
    <row r="82" spans="1:17" ht="11.25" customHeight="1" x14ac:dyDescent="0.2">
      <c r="A82" s="129" t="s">
        <v>124</v>
      </c>
      <c r="B82" s="88" t="s">
        <v>121</v>
      </c>
      <c r="H82" s="329"/>
      <c r="I82" s="311"/>
      <c r="J82" s="311"/>
      <c r="K82" s="311"/>
      <c r="L82" s="311"/>
      <c r="M82" s="311"/>
      <c r="N82" s="311"/>
      <c r="O82" s="19"/>
    </row>
    <row r="83" spans="1:17" ht="11.25" customHeight="1" x14ac:dyDescent="0.2">
      <c r="A83" s="129" t="s">
        <v>125</v>
      </c>
      <c r="B83" s="88" t="s">
        <v>122</v>
      </c>
      <c r="H83" s="329"/>
      <c r="I83" s="311"/>
      <c r="J83" s="311"/>
      <c r="K83" s="311"/>
      <c r="L83" s="311"/>
      <c r="M83" s="311"/>
      <c r="N83" s="311"/>
      <c r="O83" s="19"/>
    </row>
    <row r="84" spans="1:17" ht="11.25" customHeight="1" x14ac:dyDescent="0.2">
      <c r="A84" s="129" t="s">
        <v>126</v>
      </c>
      <c r="B84" s="88" t="s">
        <v>189</v>
      </c>
      <c r="G84" s="97" t="s">
        <v>123</v>
      </c>
      <c r="H84" s="308">
        <f>((H14*R6*Q6)*0.06*1000)/20000</f>
        <v>0</v>
      </c>
      <c r="I84" s="323">
        <f>VLOOKUP(A84,'[1]TAB OGU JUN18'!$A:$G,6,"falso")</f>
        <v>5.52</v>
      </c>
      <c r="J84" s="323">
        <f>VLOOKUP(A84,'[1]TAB OGU JUN18'!$A:$G,4,"falso")</f>
        <v>5.52</v>
      </c>
      <c r="K84" s="308">
        <f>H84*J84</f>
        <v>0</v>
      </c>
      <c r="L84" s="323">
        <f>VLOOKUP(A84,'[1]TAB OGU JUN18'!$A:$G,5,"falso")</f>
        <v>0</v>
      </c>
      <c r="M84" s="308"/>
      <c r="N84" s="308">
        <f>H84*I84</f>
        <v>0</v>
      </c>
      <c r="O84" s="25" t="e">
        <f>N84/N86</f>
        <v>#DIV/0!</v>
      </c>
    </row>
    <row r="85" spans="1:17" ht="11.25" customHeight="1" x14ac:dyDescent="0.2">
      <c r="B85" s="130"/>
      <c r="G85" s="52"/>
      <c r="H85" s="324"/>
      <c r="I85" s="313"/>
      <c r="J85" s="313"/>
      <c r="K85" s="313"/>
      <c r="L85" s="313"/>
      <c r="M85" s="313"/>
      <c r="N85" s="308"/>
      <c r="O85" s="25"/>
    </row>
    <row r="86" spans="1:17" ht="11.25" customHeight="1" x14ac:dyDescent="0.2">
      <c r="B86" s="130" t="s">
        <v>18</v>
      </c>
      <c r="C86" s="131"/>
      <c r="D86" s="131"/>
      <c r="E86" s="131"/>
      <c r="F86" s="131"/>
      <c r="G86" s="53"/>
      <c r="H86" s="325"/>
      <c r="I86" s="326"/>
      <c r="J86" s="326"/>
      <c r="K86" s="326"/>
      <c r="L86" s="326"/>
      <c r="M86" s="326"/>
      <c r="N86" s="308">
        <f>N84</f>
        <v>0</v>
      </c>
      <c r="O86" s="25" t="e">
        <f>N86/N88</f>
        <v>#DIV/0!</v>
      </c>
    </row>
    <row r="87" spans="1:17" ht="11.25" customHeight="1" x14ac:dyDescent="0.2">
      <c r="B87" s="130"/>
      <c r="G87" s="52"/>
      <c r="H87" s="324"/>
      <c r="I87" s="313"/>
      <c r="J87" s="313"/>
      <c r="K87" s="313"/>
      <c r="L87" s="313"/>
      <c r="M87" s="313"/>
      <c r="N87" s="308"/>
      <c r="O87" s="25"/>
    </row>
    <row r="88" spans="1:17" s="132" customFormat="1" ht="11.25" customHeight="1" x14ac:dyDescent="0.2">
      <c r="B88" s="133" t="s">
        <v>20</v>
      </c>
      <c r="C88" s="134"/>
      <c r="D88" s="134"/>
      <c r="E88" s="134"/>
      <c r="F88" s="134"/>
      <c r="G88" s="78"/>
      <c r="H88" s="327"/>
      <c r="I88" s="328"/>
      <c r="J88" s="328"/>
      <c r="K88" s="328"/>
      <c r="L88" s="328"/>
      <c r="M88" s="328"/>
      <c r="N88" s="310">
        <f>N86</f>
        <v>0</v>
      </c>
      <c r="O88" s="77" t="e">
        <f>N88/N118</f>
        <v>#DIV/0!</v>
      </c>
    </row>
    <row r="89" spans="1:17" ht="11.25" customHeight="1" x14ac:dyDescent="0.2">
      <c r="B89" s="130"/>
      <c r="G89" s="52"/>
      <c r="H89" s="324"/>
      <c r="I89" s="313"/>
      <c r="J89" s="313"/>
      <c r="K89" s="313"/>
      <c r="L89" s="313"/>
      <c r="M89" s="313"/>
      <c r="N89" s="308"/>
      <c r="O89" s="25"/>
    </row>
    <row r="90" spans="1:17" ht="11.25" customHeight="1" x14ac:dyDescent="0.2">
      <c r="A90" s="129" t="s">
        <v>127</v>
      </c>
      <c r="B90" s="88" t="s">
        <v>130</v>
      </c>
      <c r="H90" s="329"/>
      <c r="I90" s="311"/>
      <c r="J90" s="311"/>
      <c r="K90" s="311"/>
      <c r="L90" s="311"/>
      <c r="M90" s="311"/>
      <c r="N90" s="311"/>
      <c r="O90" s="19"/>
    </row>
    <row r="91" spans="1:17" ht="11.25" customHeight="1" x14ac:dyDescent="0.2">
      <c r="A91" s="129" t="s">
        <v>128</v>
      </c>
      <c r="B91" s="88" t="s">
        <v>131</v>
      </c>
      <c r="H91" s="329"/>
      <c r="I91" s="311"/>
      <c r="J91" s="311"/>
      <c r="K91" s="311"/>
      <c r="L91" s="311"/>
      <c r="M91" s="311"/>
      <c r="N91" s="311"/>
      <c r="O91" s="19"/>
    </row>
    <row r="92" spans="1:17" ht="11.25" customHeight="1" x14ac:dyDescent="0.2">
      <c r="A92" s="129" t="s">
        <v>129</v>
      </c>
      <c r="B92" s="88" t="s">
        <v>132</v>
      </c>
      <c r="G92" s="97" t="s">
        <v>17</v>
      </c>
      <c r="H92" s="308">
        <f>H14-H93</f>
        <v>0</v>
      </c>
      <c r="I92" s="323">
        <f>VLOOKUP(A92,'[1]TAB OGU JUN18'!$A:$G,6,"falso")</f>
        <v>2.64</v>
      </c>
      <c r="J92" s="323">
        <f>VLOOKUP(A92,'[1]TAB OGU JUN18'!$A:$G,4,"falso")</f>
        <v>2.56</v>
      </c>
      <c r="K92" s="308">
        <f>H92*J92</f>
        <v>0</v>
      </c>
      <c r="L92" s="323">
        <f>VLOOKUP(A92,'[1]TAB OGU JUN18'!$A:$G,5,"falso")</f>
        <v>0.08</v>
      </c>
      <c r="M92" s="308">
        <f>H92*L92</f>
        <v>0</v>
      </c>
      <c r="N92" s="308">
        <f>H92*I92</f>
        <v>0</v>
      </c>
      <c r="O92" s="25" t="e">
        <f>N92/$N$95</f>
        <v>#DIV/0!</v>
      </c>
    </row>
    <row r="93" spans="1:17" ht="12.75" x14ac:dyDescent="0.2">
      <c r="A93" s="129" t="s">
        <v>207</v>
      </c>
      <c r="B93" s="88" t="s">
        <v>206</v>
      </c>
      <c r="G93" s="97" t="s">
        <v>17</v>
      </c>
      <c r="H93" s="308">
        <v>0</v>
      </c>
      <c r="I93" s="323">
        <f>VLOOKUP(A93,'[1]TAB OGU JUN18'!$A:$G,6,"falso")</f>
        <v>3.14</v>
      </c>
      <c r="J93" s="323">
        <f>VLOOKUP(A93,'[1]TAB OGU JUN18'!$A:$G,4,"falso")</f>
        <v>3.01</v>
      </c>
      <c r="K93" s="308">
        <f>H93*J93</f>
        <v>0</v>
      </c>
      <c r="L93" s="323">
        <f>VLOOKUP(A93,'[1]TAB OGU JUN18'!$A:$G,5,"falso")</f>
        <v>0.13</v>
      </c>
      <c r="M93" s="308">
        <f>H93*L93</f>
        <v>0</v>
      </c>
      <c r="N93" s="308">
        <f>H93*I93</f>
        <v>0</v>
      </c>
      <c r="O93" s="25" t="e">
        <f>N93/$N$95</f>
        <v>#DIV/0!</v>
      </c>
      <c r="Q93" s="311"/>
    </row>
    <row r="94" spans="1:17" ht="11.25" customHeight="1" x14ac:dyDescent="0.2">
      <c r="B94" s="130"/>
      <c r="G94" s="52"/>
      <c r="H94" s="324"/>
      <c r="I94" s="313"/>
      <c r="J94" s="313"/>
      <c r="K94" s="313"/>
      <c r="L94" s="313"/>
      <c r="M94" s="313"/>
      <c r="N94" s="308"/>
      <c r="O94" s="25"/>
    </row>
    <row r="95" spans="1:17" ht="11.25" customHeight="1" x14ac:dyDescent="0.2">
      <c r="B95" s="130" t="s">
        <v>18</v>
      </c>
      <c r="C95" s="131"/>
      <c r="D95" s="131"/>
      <c r="E95" s="131"/>
      <c r="F95" s="131"/>
      <c r="G95" s="53"/>
      <c r="H95" s="325"/>
      <c r="I95" s="326"/>
      <c r="J95" s="326"/>
      <c r="K95" s="326"/>
      <c r="L95" s="326"/>
      <c r="M95" s="326"/>
      <c r="N95" s="308">
        <f>SUM(N92:N93)</f>
        <v>0</v>
      </c>
      <c r="O95" s="25" t="e">
        <f>N95/N108</f>
        <v>#DIV/0!</v>
      </c>
    </row>
    <row r="96" spans="1:17" ht="11.25" customHeight="1" x14ac:dyDescent="0.2">
      <c r="B96" s="130"/>
      <c r="G96" s="52"/>
      <c r="H96" s="324"/>
      <c r="I96" s="313"/>
      <c r="J96" s="313"/>
      <c r="K96" s="313"/>
      <c r="L96" s="313"/>
      <c r="M96" s="313"/>
      <c r="N96" s="308"/>
      <c r="O96" s="25"/>
    </row>
    <row r="97" spans="1:15" ht="11.25" customHeight="1" x14ac:dyDescent="0.2">
      <c r="A97" s="98" t="s">
        <v>139</v>
      </c>
      <c r="B97" s="88" t="s">
        <v>142</v>
      </c>
      <c r="G97" s="97"/>
      <c r="H97" s="308"/>
      <c r="I97" s="308"/>
      <c r="J97" s="308"/>
      <c r="K97" s="308"/>
      <c r="L97" s="308"/>
      <c r="M97" s="308"/>
      <c r="N97" s="308"/>
      <c r="O97" s="25"/>
    </row>
    <row r="98" spans="1:15" ht="11.25" customHeight="1" x14ac:dyDescent="0.2">
      <c r="A98" s="98" t="s">
        <v>140</v>
      </c>
      <c r="B98" s="88" t="s">
        <v>143</v>
      </c>
      <c r="G98" s="97" t="s">
        <v>24</v>
      </c>
      <c r="H98" s="308">
        <f>U6</f>
        <v>0</v>
      </c>
      <c r="I98" s="323">
        <f>VLOOKUP(A98,'[1]TAB OGU JUN18'!$A:$G,6,"falso")</f>
        <v>466.82</v>
      </c>
      <c r="J98" s="323">
        <f>VLOOKUP(A98,'[1]TAB OGU JUN18'!$A:$G,4,"falso")</f>
        <v>143.97</v>
      </c>
      <c r="K98" s="308">
        <f>H98*J98</f>
        <v>0</v>
      </c>
      <c r="L98" s="323">
        <f>VLOOKUP(A98,'[1]TAB OGU JUN18'!$A:$G,5,"falso")</f>
        <v>322.85000000000002</v>
      </c>
      <c r="M98" s="308">
        <f>H98*L98</f>
        <v>0</v>
      </c>
      <c r="N98" s="308">
        <f>H98*I98</f>
        <v>0</v>
      </c>
      <c r="O98" s="25" t="e">
        <f>N98/N101</f>
        <v>#DIV/0!</v>
      </c>
    </row>
    <row r="99" spans="1:15" ht="11.25" customHeight="1" x14ac:dyDescent="0.2">
      <c r="A99" s="98" t="s">
        <v>141</v>
      </c>
      <c r="B99" s="88" t="s">
        <v>144</v>
      </c>
      <c r="G99" s="97" t="s">
        <v>17</v>
      </c>
      <c r="H99" s="308">
        <f>(Q6-1.1)*H98</f>
        <v>0</v>
      </c>
      <c r="I99" s="323">
        <f>VLOOKUP(A99,'[1]TAB OGU JUN18'!$A:$G,6,"falso")</f>
        <v>252.88</v>
      </c>
      <c r="J99" s="323">
        <f>VLOOKUP(A99,'[1]TAB OGU JUN18'!$A:$G,4,"falso")</f>
        <v>47.83</v>
      </c>
      <c r="K99" s="308">
        <f>H99*J99</f>
        <v>0</v>
      </c>
      <c r="L99" s="323">
        <f>VLOOKUP(A99,'[1]TAB OGU JUN18'!$A:$G,5,"falso")</f>
        <v>205.05</v>
      </c>
      <c r="M99" s="308">
        <f>H99*L99</f>
        <v>0</v>
      </c>
      <c r="N99" s="308">
        <f>H99*I99</f>
        <v>0</v>
      </c>
      <c r="O99" s="25" t="e">
        <f>N99/N101</f>
        <v>#DIV/0!</v>
      </c>
    </row>
    <row r="100" spans="1:15" ht="11.25" customHeight="1" x14ac:dyDescent="0.2">
      <c r="B100" s="130"/>
      <c r="G100" s="52"/>
      <c r="H100" s="324"/>
      <c r="I100" s="313"/>
      <c r="J100" s="313"/>
      <c r="K100" s="313"/>
      <c r="L100" s="313"/>
      <c r="M100" s="313"/>
      <c r="N100" s="308"/>
      <c r="O100" s="25"/>
    </row>
    <row r="101" spans="1:15" ht="11.25" customHeight="1" x14ac:dyDescent="0.2">
      <c r="B101" s="130" t="s">
        <v>18</v>
      </c>
      <c r="C101" s="131"/>
      <c r="D101" s="131"/>
      <c r="E101" s="131"/>
      <c r="F101" s="131"/>
      <c r="G101" s="53"/>
      <c r="H101" s="325"/>
      <c r="I101" s="326"/>
      <c r="J101" s="326"/>
      <c r="K101" s="326"/>
      <c r="L101" s="326"/>
      <c r="M101" s="326"/>
      <c r="N101" s="308">
        <f>N99+N98</f>
        <v>0</v>
      </c>
      <c r="O101" s="25" t="e">
        <f>N101/N108</f>
        <v>#DIV/0!</v>
      </c>
    </row>
    <row r="102" spans="1:15" ht="11.25" customHeight="1" x14ac:dyDescent="0.2">
      <c r="B102" s="130"/>
      <c r="G102" s="52"/>
      <c r="H102" s="324"/>
      <c r="I102" s="313"/>
      <c r="J102" s="313"/>
      <c r="K102" s="313"/>
      <c r="L102" s="313"/>
      <c r="M102" s="313"/>
      <c r="N102" s="308"/>
      <c r="O102" s="25"/>
    </row>
    <row r="103" spans="1:15" ht="11.25" customHeight="1" x14ac:dyDescent="0.2">
      <c r="A103" s="129" t="s">
        <v>145</v>
      </c>
      <c r="B103" s="88" t="s">
        <v>26</v>
      </c>
      <c r="H103" s="329"/>
      <c r="I103" s="311"/>
      <c r="J103" s="311"/>
      <c r="K103" s="311"/>
      <c r="L103" s="311"/>
      <c r="M103" s="311"/>
      <c r="N103" s="311"/>
      <c r="O103" s="19"/>
    </row>
    <row r="104" spans="1:15" ht="11.25" customHeight="1" x14ac:dyDescent="0.2">
      <c r="A104" s="129" t="s">
        <v>146</v>
      </c>
      <c r="B104" s="88" t="s">
        <v>147</v>
      </c>
      <c r="G104" s="97" t="s">
        <v>32</v>
      </c>
      <c r="H104" s="308">
        <f>H14*R6*0.1</f>
        <v>0</v>
      </c>
      <c r="I104" s="323">
        <f>VLOOKUP(A104,'[1]TAB OGU JUN18'!$A:$G,6,"falso")</f>
        <v>157.99</v>
      </c>
      <c r="J104" s="323">
        <f>VLOOKUP(A104,'[1]TAB OGU JUN18'!$A:$G,4,"falso")</f>
        <v>39.5</v>
      </c>
      <c r="K104" s="308">
        <f>H104*J104</f>
        <v>0</v>
      </c>
      <c r="L104" s="323">
        <f>VLOOKUP(A104,'[1]TAB OGU JUN18'!$A:$G,5,"falso")</f>
        <v>118.49</v>
      </c>
      <c r="M104" s="308">
        <f>H104*L104</f>
        <v>0</v>
      </c>
      <c r="N104" s="308">
        <f>H104*I104</f>
        <v>0</v>
      </c>
      <c r="O104" s="25" t="e">
        <f>N104/N106</f>
        <v>#DIV/0!</v>
      </c>
    </row>
    <row r="105" spans="1:15" ht="11.25" customHeight="1" x14ac:dyDescent="0.2">
      <c r="B105" s="130"/>
      <c r="G105" s="52"/>
      <c r="H105" s="324"/>
      <c r="I105" s="313"/>
      <c r="J105" s="313"/>
      <c r="K105" s="313"/>
      <c r="L105" s="313"/>
      <c r="M105" s="313"/>
      <c r="N105" s="308"/>
      <c r="O105" s="25"/>
    </row>
    <row r="106" spans="1:15" ht="11.25" customHeight="1" x14ac:dyDescent="0.2">
      <c r="B106" s="130" t="s">
        <v>18</v>
      </c>
      <c r="C106" s="131"/>
      <c r="D106" s="131"/>
      <c r="E106" s="131"/>
      <c r="F106" s="131"/>
      <c r="G106" s="53"/>
      <c r="H106" s="325"/>
      <c r="I106" s="326"/>
      <c r="J106" s="326"/>
      <c r="K106" s="326"/>
      <c r="L106" s="326"/>
      <c r="M106" s="326"/>
      <c r="N106" s="308">
        <f>N104</f>
        <v>0</v>
      </c>
      <c r="O106" s="25" t="e">
        <f>N106/N108</f>
        <v>#DIV/0!</v>
      </c>
    </row>
    <row r="107" spans="1:15" ht="11.25" customHeight="1" x14ac:dyDescent="0.2">
      <c r="B107" s="130"/>
      <c r="G107" s="52"/>
      <c r="H107" s="324"/>
      <c r="I107" s="313"/>
      <c r="J107" s="313"/>
      <c r="K107" s="313"/>
      <c r="L107" s="313"/>
      <c r="M107" s="313"/>
      <c r="N107" s="308"/>
      <c r="O107" s="25"/>
    </row>
    <row r="108" spans="1:15" s="132" customFormat="1" ht="11.25" customHeight="1" x14ac:dyDescent="0.2">
      <c r="B108" s="133" t="s">
        <v>20</v>
      </c>
      <c r="C108" s="134"/>
      <c r="D108" s="134"/>
      <c r="E108" s="134"/>
      <c r="F108" s="134"/>
      <c r="G108" s="78"/>
      <c r="H108" s="327"/>
      <c r="I108" s="328"/>
      <c r="J108" s="328"/>
      <c r="K108" s="328"/>
      <c r="L108" s="328"/>
      <c r="M108" s="328"/>
      <c r="N108" s="310">
        <f>N106+N101+N95</f>
        <v>0</v>
      </c>
      <c r="O108" s="77" t="e">
        <f>N108/N118</f>
        <v>#DIV/0!</v>
      </c>
    </row>
    <row r="109" spans="1:15" ht="11.25" customHeight="1" x14ac:dyDescent="0.2">
      <c r="B109" s="130"/>
      <c r="G109" s="52"/>
      <c r="H109" s="324"/>
      <c r="I109" s="313"/>
      <c r="J109" s="313"/>
      <c r="K109" s="313"/>
      <c r="L109" s="313"/>
      <c r="M109" s="313"/>
      <c r="N109" s="308"/>
      <c r="O109" s="25"/>
    </row>
    <row r="110" spans="1:15" ht="11.25" customHeight="1" x14ac:dyDescent="0.2">
      <c r="A110" s="98" t="s">
        <v>169</v>
      </c>
      <c r="B110" s="88" t="s">
        <v>172</v>
      </c>
      <c r="G110" s="97"/>
      <c r="H110" s="308"/>
      <c r="I110" s="308"/>
      <c r="J110" s="308"/>
      <c r="K110" s="308"/>
      <c r="L110" s="308"/>
      <c r="M110" s="308"/>
      <c r="N110" s="308"/>
      <c r="O110" s="25"/>
    </row>
    <row r="111" spans="1:15" ht="11.25" customHeight="1" x14ac:dyDescent="0.2">
      <c r="A111" s="98" t="s">
        <v>170</v>
      </c>
      <c r="B111" s="88" t="s">
        <v>173</v>
      </c>
      <c r="G111" s="97"/>
      <c r="H111" s="308"/>
      <c r="I111" s="308"/>
      <c r="J111" s="308"/>
      <c r="K111" s="308"/>
      <c r="L111" s="308"/>
      <c r="M111" s="308"/>
      <c r="N111" s="308"/>
      <c r="O111" s="25"/>
    </row>
    <row r="112" spans="1:15" ht="11.25" customHeight="1" x14ac:dyDescent="0.2">
      <c r="A112" s="98" t="s">
        <v>171</v>
      </c>
      <c r="B112" s="88" t="s">
        <v>174</v>
      </c>
      <c r="G112" s="97" t="s">
        <v>17</v>
      </c>
      <c r="H112" s="308">
        <f>H14</f>
        <v>0</v>
      </c>
      <c r="I112" s="323">
        <f>VLOOKUP(A112,'[1]TAB OGU JUN18'!$A:$G,6,"falso")</f>
        <v>1.31</v>
      </c>
      <c r="J112" s="323">
        <f>VLOOKUP(A112,'[1]TAB OGU JUN18'!$A:$G,4,"falso")</f>
        <v>1.1399999999999999</v>
      </c>
      <c r="K112" s="308">
        <f>H112*J112</f>
        <v>0</v>
      </c>
      <c r="L112" s="323">
        <f>VLOOKUP(A112,'[1]TAB OGU JUN18'!$A:$G,5,"falso")</f>
        <v>0.17</v>
      </c>
      <c r="M112" s="308">
        <f>H112*L112</f>
        <v>0</v>
      </c>
      <c r="N112" s="308">
        <f>H112*I112</f>
        <v>0</v>
      </c>
      <c r="O112" s="25" t="e">
        <f>N112/N114</f>
        <v>#DIV/0!</v>
      </c>
    </row>
    <row r="113" spans="1:16" ht="11.25" customHeight="1" x14ac:dyDescent="0.2">
      <c r="B113" s="130"/>
      <c r="G113" s="52"/>
      <c r="H113" s="324"/>
      <c r="I113" s="313"/>
      <c r="J113" s="313"/>
      <c r="K113" s="313"/>
      <c r="L113" s="313"/>
      <c r="M113" s="313"/>
      <c r="N113" s="308"/>
      <c r="O113" s="25"/>
    </row>
    <row r="114" spans="1:16" ht="11.25" customHeight="1" x14ac:dyDescent="0.2">
      <c r="B114" s="130" t="s">
        <v>18</v>
      </c>
      <c r="C114" s="131"/>
      <c r="D114" s="131"/>
      <c r="E114" s="131"/>
      <c r="F114" s="131"/>
      <c r="G114" s="53"/>
      <c r="H114" s="325"/>
      <c r="I114" s="326"/>
      <c r="J114" s="326"/>
      <c r="K114" s="326"/>
      <c r="L114" s="326"/>
      <c r="M114" s="326"/>
      <c r="N114" s="308">
        <f>N112</f>
        <v>0</v>
      </c>
      <c r="O114" s="25" t="e">
        <f>N114/N116</f>
        <v>#DIV/0!</v>
      </c>
    </row>
    <row r="115" spans="1:16" ht="11.25" customHeight="1" x14ac:dyDescent="0.2">
      <c r="A115" s="98"/>
      <c r="B115" s="88"/>
      <c r="G115" s="97"/>
      <c r="H115" s="308"/>
      <c r="I115" s="308"/>
      <c r="J115" s="308"/>
      <c r="K115" s="308"/>
      <c r="L115" s="308"/>
      <c r="M115" s="308"/>
      <c r="N115" s="308"/>
      <c r="O115" s="25"/>
    </row>
    <row r="116" spans="1:16" s="132" customFormat="1" ht="11.25" customHeight="1" x14ac:dyDescent="0.2">
      <c r="A116" s="145"/>
      <c r="B116" s="133" t="s">
        <v>20</v>
      </c>
      <c r="C116" s="134"/>
      <c r="D116" s="134"/>
      <c r="E116" s="134"/>
      <c r="F116" s="134"/>
      <c r="G116" s="78"/>
      <c r="H116" s="327"/>
      <c r="I116" s="328"/>
      <c r="J116" s="328"/>
      <c r="K116" s="328"/>
      <c r="L116" s="328"/>
      <c r="M116" s="328"/>
      <c r="N116" s="310">
        <f>N114</f>
        <v>0</v>
      </c>
      <c r="O116" s="77" t="e">
        <f>N116/N118</f>
        <v>#DIV/0!</v>
      </c>
    </row>
    <row r="117" spans="1:16" ht="6.75" customHeight="1" x14ac:dyDescent="0.2">
      <c r="A117" s="98"/>
      <c r="B117" s="88"/>
      <c r="G117" s="97"/>
      <c r="H117" s="308"/>
      <c r="I117" s="308"/>
      <c r="J117" s="308"/>
      <c r="K117" s="308"/>
      <c r="L117" s="308"/>
      <c r="M117" s="308"/>
      <c r="N117" s="308"/>
      <c r="O117" s="25"/>
    </row>
    <row r="118" spans="1:16" ht="12" customHeight="1" x14ac:dyDescent="0.2">
      <c r="A118" s="146"/>
      <c r="B118" s="147" t="s">
        <v>30</v>
      </c>
      <c r="C118" s="146"/>
      <c r="D118" s="146"/>
      <c r="E118" s="146"/>
      <c r="F118" s="146"/>
      <c r="G118" s="146"/>
      <c r="H118" s="342"/>
      <c r="I118" s="345"/>
      <c r="J118" s="345"/>
      <c r="K118" s="275">
        <f>SUM(K12:K117)</f>
        <v>0</v>
      </c>
      <c r="L118" s="275"/>
      <c r="M118" s="275">
        <f>SUM(M12:M117)</f>
        <v>0</v>
      </c>
      <c r="N118" s="343">
        <f>N116+N108+N88+N80+N66+N29</f>
        <v>0</v>
      </c>
      <c r="O118" s="322"/>
      <c r="P118" s="149"/>
    </row>
    <row r="119" spans="1:16" ht="4.5" customHeight="1" x14ac:dyDescent="0.2">
      <c r="A119" s="98"/>
      <c r="B119" s="88"/>
      <c r="G119" s="97"/>
      <c r="H119" s="308"/>
      <c r="I119" s="308"/>
      <c r="J119" s="308"/>
      <c r="K119" s="308"/>
      <c r="L119" s="308"/>
      <c r="M119" s="308"/>
      <c r="N119" s="308"/>
      <c r="O119" s="25"/>
    </row>
    <row r="120" spans="1:16" ht="12" customHeight="1" x14ac:dyDescent="0.2">
      <c r="A120" s="146"/>
      <c r="B120" s="147" t="s">
        <v>265</v>
      </c>
      <c r="C120" s="146"/>
      <c r="D120" s="146"/>
      <c r="E120" s="146"/>
      <c r="F120" s="146"/>
      <c r="G120" s="146"/>
      <c r="H120" s="342"/>
      <c r="I120" s="342"/>
      <c r="J120" s="342"/>
      <c r="K120" s="274">
        <f>K118+(K118*O5)</f>
        <v>0</v>
      </c>
      <c r="L120" s="274"/>
      <c r="M120" s="275">
        <f>M118+(M118*O7)</f>
        <v>0</v>
      </c>
      <c r="N120" s="343">
        <f>K120+M120</f>
        <v>0</v>
      </c>
      <c r="O120" s="29">
        <f>N120/RESUMO!H95</f>
        <v>0</v>
      </c>
      <c r="P120" s="149"/>
    </row>
    <row r="125" spans="1:16" s="150" customFormat="1" ht="12" customHeight="1" x14ac:dyDescent="0.2">
      <c r="A125" s="51"/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311"/>
      <c r="N125" s="51"/>
      <c r="O125" s="52"/>
    </row>
    <row r="126" spans="1:16" s="150" customFormat="1" ht="12" customHeight="1" x14ac:dyDescent="0.2">
      <c r="A126" s="51"/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2"/>
    </row>
  </sheetData>
  <mergeCells count="9">
    <mergeCell ref="T4:T5"/>
    <mergeCell ref="U4:U5"/>
    <mergeCell ref="A5:B6"/>
    <mergeCell ref="A2:O2"/>
    <mergeCell ref="N4:O4"/>
    <mergeCell ref="P4:P5"/>
    <mergeCell ref="Q4:Q5"/>
    <mergeCell ref="R4:R5"/>
    <mergeCell ref="S4:S5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rowBreaks count="1" manualBreakCount="1">
    <brk id="30" max="12" man="1"/>
  </rowBreaks>
  <legacyDrawingHF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theme="6" tint="0.39997558519241921"/>
    <pageSetUpPr fitToPage="1"/>
  </sheetPr>
  <dimension ref="A1:P44"/>
  <sheetViews>
    <sheetView view="pageBreakPreview" zoomScale="90" zoomScaleNormal="90" zoomScaleSheetLayoutView="90" workbookViewId="0">
      <selection activeCell="Q51" sqref="Q51"/>
    </sheetView>
  </sheetViews>
  <sheetFormatPr defaultColWidth="11.42578125" defaultRowHeight="12" customHeight="1" x14ac:dyDescent="0.2"/>
  <cols>
    <col min="1" max="5" width="11.42578125" style="51" customWidth="1"/>
    <col min="6" max="6" width="28.5703125" style="51" customWidth="1"/>
    <col min="7" max="9" width="11.42578125" style="51" customWidth="1"/>
    <col min="10" max="10" width="11.42578125" style="51" hidden="1" customWidth="1"/>
    <col min="11" max="11" width="14.28515625" style="51" customWidth="1"/>
    <col min="12" max="12" width="6" style="51" hidden="1" customWidth="1"/>
    <col min="13" max="13" width="14.28515625" style="51" customWidth="1"/>
    <col min="14" max="14" width="17.140625" style="51" customWidth="1"/>
    <col min="15" max="15" width="11.42578125" style="52" customWidth="1"/>
    <col min="16" max="16" width="6" style="51" bestFit="1" customWidth="1"/>
    <col min="17" max="16384" width="11.42578125" style="51"/>
  </cols>
  <sheetData>
    <row r="1" spans="1:16" ht="7.5" customHeight="1" x14ac:dyDescent="0.2"/>
    <row r="2" spans="1:16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6" ht="7.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95"/>
    </row>
    <row r="4" spans="1:16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6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6" ht="12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6" ht="12" customHeight="1" x14ac:dyDescent="0.2">
      <c r="A7" s="700"/>
      <c r="B7" s="700"/>
      <c r="C7" s="260" t="s">
        <v>6</v>
      </c>
      <c r="D7" s="263" t="str">
        <f>RESUMO!A35</f>
        <v>U.C. : 09</v>
      </c>
      <c r="E7" s="258"/>
      <c r="F7" s="258"/>
      <c r="G7" s="260" t="s">
        <v>9</v>
      </c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6" ht="12" customHeight="1" thickBot="1" x14ac:dyDescent="0.25">
      <c r="A8" s="124"/>
      <c r="B8" s="125"/>
      <c r="C8" s="266" t="s">
        <v>8</v>
      </c>
      <c r="D8" s="267" t="str">
        <f>RESUMO!B35</f>
        <v>COLETOR 06</v>
      </c>
      <c r="E8" s="268"/>
      <c r="F8" s="268"/>
      <c r="G8" s="266"/>
      <c r="H8" s="123"/>
      <c r="I8" s="278"/>
      <c r="J8" s="278"/>
      <c r="K8" s="278"/>
      <c r="L8" s="278"/>
      <c r="M8" s="278"/>
      <c r="N8" s="271"/>
      <c r="O8" s="427"/>
    </row>
    <row r="9" spans="1:16" ht="12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6" ht="7.5" customHeight="1" x14ac:dyDescent="0.2">
      <c r="O10" s="19"/>
    </row>
    <row r="11" spans="1:16" ht="12" customHeight="1" x14ac:dyDescent="0.2">
      <c r="A11" s="93">
        <f>RESUMO!A43</f>
        <v>2</v>
      </c>
      <c r="B11" s="93" t="str">
        <f>RESUMO!B37</f>
        <v>COLETOR 06 - MATERIAIS</v>
      </c>
      <c r="O11" s="19"/>
    </row>
    <row r="12" spans="1:16" ht="12" customHeight="1" x14ac:dyDescent="0.2">
      <c r="A12" s="98" t="s">
        <v>266</v>
      </c>
      <c r="B12" s="88" t="s">
        <v>71</v>
      </c>
      <c r="G12" s="52"/>
      <c r="H12" s="19"/>
      <c r="I12" s="52"/>
      <c r="J12" s="52"/>
      <c r="K12" s="52"/>
      <c r="L12" s="52"/>
      <c r="M12" s="52"/>
      <c r="N12" s="52"/>
      <c r="O12" s="19"/>
    </row>
    <row r="13" spans="1:16" ht="12" customHeight="1" x14ac:dyDescent="0.2">
      <c r="A13" s="98" t="s">
        <v>279</v>
      </c>
      <c r="B13" s="88" t="s">
        <v>280</v>
      </c>
      <c r="G13" s="52"/>
      <c r="H13" s="19"/>
      <c r="I13" s="52"/>
      <c r="J13" s="52"/>
      <c r="K13" s="52"/>
      <c r="L13" s="52"/>
      <c r="M13" s="52"/>
      <c r="N13" s="52"/>
      <c r="O13" s="19"/>
    </row>
    <row r="14" spans="1:16" ht="12" customHeight="1" x14ac:dyDescent="0.2">
      <c r="A14" s="98" t="s">
        <v>282</v>
      </c>
      <c r="B14" s="88" t="s">
        <v>260</v>
      </c>
      <c r="G14" s="97" t="s">
        <v>24</v>
      </c>
      <c r="H14" s="308">
        <f>'08 - 6'!H98</f>
        <v>0</v>
      </c>
      <c r="I14" s="308">
        <v>37.840000000000003</v>
      </c>
      <c r="J14" s="308"/>
      <c r="K14" s="308"/>
      <c r="L14" s="323">
        <v>37.840000000000003</v>
      </c>
      <c r="M14" s="308">
        <f>H14*L14</f>
        <v>0</v>
      </c>
      <c r="N14" s="308">
        <f>H14*I14</f>
        <v>0</v>
      </c>
      <c r="O14" s="25" t="e">
        <f>N14/N16</f>
        <v>#DIV/0!</v>
      </c>
      <c r="P14" s="51">
        <v>13255</v>
      </c>
    </row>
    <row r="15" spans="1:16" ht="12" customHeight="1" x14ac:dyDescent="0.2">
      <c r="G15" s="52"/>
      <c r="H15" s="324"/>
      <c r="I15" s="313"/>
      <c r="J15" s="313"/>
      <c r="K15" s="313"/>
      <c r="L15" s="313"/>
      <c r="M15" s="313"/>
      <c r="N15" s="313"/>
      <c r="O15" s="19"/>
    </row>
    <row r="16" spans="1:16" ht="12" customHeight="1" x14ac:dyDescent="0.2">
      <c r="B16" s="130" t="s">
        <v>18</v>
      </c>
      <c r="C16" s="131"/>
      <c r="D16" s="131"/>
      <c r="E16" s="131"/>
      <c r="F16" s="131"/>
      <c r="G16" s="53"/>
      <c r="H16" s="325"/>
      <c r="I16" s="326"/>
      <c r="J16" s="326"/>
      <c r="K16" s="326"/>
      <c r="L16" s="326"/>
      <c r="M16" s="326"/>
      <c r="N16" s="308">
        <f>N14</f>
        <v>0</v>
      </c>
      <c r="O16" s="25" t="e">
        <f>N16/N18</f>
        <v>#DIV/0!</v>
      </c>
    </row>
    <row r="17" spans="1:16" ht="12" customHeight="1" x14ac:dyDescent="0.2">
      <c r="B17" s="130"/>
      <c r="G17" s="52"/>
      <c r="H17" s="324"/>
      <c r="I17" s="313"/>
      <c r="J17" s="313"/>
      <c r="K17" s="313"/>
      <c r="L17" s="313"/>
      <c r="M17" s="313"/>
      <c r="N17" s="308"/>
      <c r="O17" s="25"/>
    </row>
    <row r="18" spans="1:16" s="132" customFormat="1" ht="12" customHeight="1" x14ac:dyDescent="0.2">
      <c r="B18" s="133" t="s">
        <v>20</v>
      </c>
      <c r="C18" s="134"/>
      <c r="D18" s="134"/>
      <c r="E18" s="134"/>
      <c r="F18" s="134"/>
      <c r="G18" s="78"/>
      <c r="H18" s="327"/>
      <c r="I18" s="328"/>
      <c r="J18" s="328"/>
      <c r="K18" s="328"/>
      <c r="L18" s="328"/>
      <c r="M18" s="328"/>
      <c r="N18" s="310">
        <f>N16</f>
        <v>0</v>
      </c>
      <c r="O18" s="77" t="e">
        <f>N18/N29</f>
        <v>#DIV/0!</v>
      </c>
    </row>
    <row r="19" spans="1:16" ht="12" customHeight="1" x14ac:dyDescent="0.2">
      <c r="G19" s="52"/>
      <c r="H19" s="324"/>
      <c r="I19" s="313"/>
      <c r="J19" s="313"/>
      <c r="K19" s="313"/>
      <c r="L19" s="313"/>
      <c r="M19" s="313"/>
      <c r="N19" s="313"/>
      <c r="O19" s="19"/>
    </row>
    <row r="20" spans="1:16" ht="12" customHeight="1" x14ac:dyDescent="0.2">
      <c r="A20" s="98" t="s">
        <v>270</v>
      </c>
      <c r="B20" s="88" t="s">
        <v>29</v>
      </c>
      <c r="G20" s="52"/>
      <c r="H20" s="324"/>
      <c r="I20" s="313"/>
      <c r="J20" s="313"/>
      <c r="K20" s="313"/>
      <c r="L20" s="313"/>
      <c r="M20" s="313"/>
      <c r="N20" s="313"/>
      <c r="O20" s="19"/>
    </row>
    <row r="21" spans="1:16" ht="12" customHeight="1" x14ac:dyDescent="0.2">
      <c r="A21" s="98" t="s">
        <v>275</v>
      </c>
      <c r="B21" s="88" t="s">
        <v>36</v>
      </c>
      <c r="G21" s="52"/>
      <c r="H21" s="324"/>
      <c r="I21" s="313"/>
      <c r="J21" s="313"/>
      <c r="K21" s="313"/>
      <c r="L21" s="313"/>
      <c r="M21" s="313"/>
      <c r="N21" s="313"/>
      <c r="O21" s="19"/>
    </row>
    <row r="22" spans="1:16" ht="12" customHeight="1" x14ac:dyDescent="0.2">
      <c r="A22" s="98" t="s">
        <v>276</v>
      </c>
      <c r="B22" s="88" t="s">
        <v>78</v>
      </c>
      <c r="G22" s="97" t="s">
        <v>17</v>
      </c>
      <c r="H22" s="308">
        <f>'08 - 6'!H92</f>
        <v>0</v>
      </c>
      <c r="I22" s="323">
        <f>VLOOKUP(A22,'[1]TAB OGU JUN18'!$A:$G,6,"falso")</f>
        <v>37.630000000000003</v>
      </c>
      <c r="J22" s="308"/>
      <c r="K22" s="308"/>
      <c r="L22" s="323">
        <f>VLOOKUP(A22,'[1]TAB OGU JUN18'!$A:$G,5,"falso")</f>
        <v>37.630000000000003</v>
      </c>
      <c r="M22" s="308">
        <f>H22*L22</f>
        <v>0</v>
      </c>
      <c r="N22" s="308">
        <f>H22*I22</f>
        <v>0</v>
      </c>
      <c r="O22" s="25" t="e">
        <f>N22/$N$25</f>
        <v>#DIV/0!</v>
      </c>
    </row>
    <row r="23" spans="1:16" ht="12" customHeight="1" x14ac:dyDescent="0.2">
      <c r="A23" s="98" t="s">
        <v>277</v>
      </c>
      <c r="B23" s="88" t="s">
        <v>205</v>
      </c>
      <c r="G23" s="97" t="s">
        <v>17</v>
      </c>
      <c r="H23" s="308">
        <f>'08 - 6'!H93</f>
        <v>0</v>
      </c>
      <c r="I23" s="323">
        <f>VLOOKUP(A23,'[1]TAB OGU JUN18'!$A:$G,6,"falso")</f>
        <v>58.74</v>
      </c>
      <c r="J23" s="308"/>
      <c r="K23" s="308"/>
      <c r="L23" s="323">
        <f>VLOOKUP(A23,'[1]TAB OGU JUN18'!$A:$G,5,"falso")</f>
        <v>58.74</v>
      </c>
      <c r="M23" s="308">
        <f>H23*L23</f>
        <v>0</v>
      </c>
      <c r="N23" s="308">
        <f>H23*I23</f>
        <v>0</v>
      </c>
      <c r="O23" s="25" t="e">
        <f>N23/$N$25</f>
        <v>#DIV/0!</v>
      </c>
    </row>
    <row r="24" spans="1:16" ht="12" customHeight="1" x14ac:dyDescent="0.2">
      <c r="G24" s="52"/>
      <c r="H24" s="324"/>
      <c r="I24" s="313"/>
      <c r="J24" s="313"/>
      <c r="K24" s="313"/>
      <c r="L24" s="313"/>
      <c r="M24" s="313"/>
      <c r="N24" s="313"/>
      <c r="O24" s="19"/>
    </row>
    <row r="25" spans="1:16" ht="12" customHeight="1" x14ac:dyDescent="0.2">
      <c r="B25" s="130" t="s">
        <v>18</v>
      </c>
      <c r="C25" s="131"/>
      <c r="D25" s="131"/>
      <c r="E25" s="131"/>
      <c r="F25" s="131"/>
      <c r="G25" s="53"/>
      <c r="H25" s="325"/>
      <c r="I25" s="326"/>
      <c r="J25" s="326"/>
      <c r="K25" s="326"/>
      <c r="L25" s="326"/>
      <c r="M25" s="326"/>
      <c r="N25" s="308">
        <f>N22+N23</f>
        <v>0</v>
      </c>
      <c r="O25" s="25" t="e">
        <f>N25/N27</f>
        <v>#DIV/0!</v>
      </c>
    </row>
    <row r="26" spans="1:16" ht="12" customHeight="1" x14ac:dyDescent="0.2">
      <c r="G26" s="52"/>
      <c r="H26" s="313"/>
      <c r="I26" s="313"/>
      <c r="J26" s="313"/>
      <c r="K26" s="313"/>
      <c r="L26" s="313"/>
      <c r="M26" s="313"/>
      <c r="N26" s="313"/>
      <c r="O26" s="19"/>
    </row>
    <row r="27" spans="1:16" s="132" customFormat="1" ht="12" customHeight="1" x14ac:dyDescent="0.2">
      <c r="B27" s="133" t="s">
        <v>20</v>
      </c>
      <c r="C27" s="134"/>
      <c r="D27" s="134"/>
      <c r="E27" s="134"/>
      <c r="F27" s="134"/>
      <c r="G27" s="78"/>
      <c r="H27" s="328"/>
      <c r="I27" s="328"/>
      <c r="J27" s="328"/>
      <c r="K27" s="328"/>
      <c r="L27" s="328"/>
      <c r="M27" s="328"/>
      <c r="N27" s="310">
        <f>N25</f>
        <v>0</v>
      </c>
      <c r="O27" s="77" t="e">
        <f>N27/N29</f>
        <v>#DIV/0!</v>
      </c>
    </row>
    <row r="28" spans="1:16" ht="7.5" customHeight="1" x14ac:dyDescent="0.2">
      <c r="G28" s="52"/>
      <c r="H28" s="313"/>
      <c r="I28" s="313"/>
      <c r="J28" s="313"/>
      <c r="K28" s="313"/>
      <c r="L28" s="313"/>
      <c r="M28" s="313"/>
      <c r="N28" s="313"/>
      <c r="O28" s="19"/>
    </row>
    <row r="29" spans="1:16" ht="12" customHeight="1" x14ac:dyDescent="0.2">
      <c r="A29" s="146"/>
      <c r="B29" s="147" t="s">
        <v>30</v>
      </c>
      <c r="C29" s="146"/>
      <c r="D29" s="146"/>
      <c r="E29" s="146"/>
      <c r="F29" s="146"/>
      <c r="G29" s="146"/>
      <c r="H29" s="342"/>
      <c r="I29" s="345"/>
      <c r="J29" s="345"/>
      <c r="K29" s="345"/>
      <c r="L29" s="345"/>
      <c r="M29" s="275">
        <f>SUM(M14:M28)</f>
        <v>0</v>
      </c>
      <c r="N29" s="316">
        <f>N27+N18</f>
        <v>0</v>
      </c>
      <c r="O29" s="322"/>
      <c r="P29" s="149"/>
    </row>
    <row r="30" spans="1:16" ht="7.5" customHeight="1" x14ac:dyDescent="0.2">
      <c r="G30" s="52"/>
      <c r="H30" s="313"/>
      <c r="I30" s="313"/>
      <c r="J30" s="313"/>
      <c r="K30" s="313"/>
      <c r="L30" s="313"/>
      <c r="M30" s="313"/>
      <c r="N30" s="313"/>
      <c r="O30" s="19"/>
    </row>
    <row r="31" spans="1:16" ht="12" customHeight="1" x14ac:dyDescent="0.2">
      <c r="A31" s="146"/>
      <c r="B31" s="147" t="s">
        <v>265</v>
      </c>
      <c r="C31" s="146"/>
      <c r="D31" s="146"/>
      <c r="E31" s="146"/>
      <c r="F31" s="146"/>
      <c r="G31" s="146"/>
      <c r="H31" s="342"/>
      <c r="I31" s="345"/>
      <c r="J31" s="345"/>
      <c r="K31" s="345"/>
      <c r="L31" s="345"/>
      <c r="M31" s="275">
        <f>M29+(M29*O7)</f>
        <v>0</v>
      </c>
      <c r="N31" s="316">
        <f>M31</f>
        <v>0</v>
      </c>
      <c r="O31" s="29">
        <f>N31/RESUMO!H95</f>
        <v>0</v>
      </c>
      <c r="P31" s="149"/>
    </row>
    <row r="43" spans="1:15" ht="12" customHeight="1" x14ac:dyDescent="0.2">
      <c r="A43" s="150"/>
      <c r="B43" s="150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211"/>
      <c r="O43" s="210"/>
    </row>
    <row r="44" spans="1:15" ht="12" customHeight="1" x14ac:dyDescent="0.2">
      <c r="A44" s="88"/>
      <c r="C44" s="184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184"/>
      <c r="O44" s="437"/>
    </row>
  </sheetData>
  <mergeCells count="3">
    <mergeCell ref="A2:O2"/>
    <mergeCell ref="N4:O4"/>
    <mergeCell ref="A5:B6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rowBreaks count="1" manualBreakCount="1">
    <brk id="20" max="12" man="1"/>
  </rowBreaks>
  <legacyDrawingHF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theme="6" tint="0.39997558519241921"/>
    <pageSetUpPr fitToPage="1"/>
  </sheetPr>
  <dimension ref="A1:U126"/>
  <sheetViews>
    <sheetView view="pageBreakPreview" topLeftCell="A61" zoomScale="85" zoomScaleNormal="90" zoomScaleSheetLayoutView="85" workbookViewId="0">
      <selection activeCell="H85" sqref="H85"/>
    </sheetView>
  </sheetViews>
  <sheetFormatPr defaultColWidth="11.42578125" defaultRowHeight="12" customHeight="1" x14ac:dyDescent="0.2"/>
  <cols>
    <col min="1" max="3" width="11.42578125" style="51"/>
    <col min="4" max="4" width="11.42578125" style="51" customWidth="1"/>
    <col min="5" max="5" width="11.42578125" style="51"/>
    <col min="6" max="6" width="28.5703125" style="51" customWidth="1"/>
    <col min="7" max="7" width="11.42578125" style="51"/>
    <col min="8" max="9" width="11.42578125" style="51" customWidth="1"/>
    <col min="10" max="10" width="5.7109375" style="51" hidden="1" customWidth="1"/>
    <col min="11" max="11" width="14.28515625" style="51" customWidth="1"/>
    <col min="12" max="12" width="6.7109375" style="51" hidden="1" customWidth="1"/>
    <col min="13" max="13" width="14.28515625" style="51" customWidth="1"/>
    <col min="14" max="14" width="17.28515625" style="51" customWidth="1"/>
    <col min="15" max="15" width="11.42578125" style="52" customWidth="1"/>
    <col min="16" max="19" width="11.42578125" style="51"/>
    <col min="20" max="20" width="13.42578125" style="51" customWidth="1"/>
    <col min="21" max="16384" width="11.42578125" style="51"/>
  </cols>
  <sheetData>
    <row r="1" spans="1:21" ht="6.75" customHeight="1" x14ac:dyDescent="0.2"/>
    <row r="2" spans="1:21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21" ht="6.7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95"/>
    </row>
    <row r="4" spans="1:21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K4" s="259"/>
      <c r="L4" s="259"/>
      <c r="M4" s="259">
        <f ca="1">RESUMO!G4</f>
        <v>43657</v>
      </c>
      <c r="N4" s="832" t="str">
        <f>RESUMO!H4</f>
        <v>BDI Aplicado</v>
      </c>
      <c r="O4" s="833"/>
      <c r="P4" s="831" t="s">
        <v>995</v>
      </c>
      <c r="Q4" s="831" t="s">
        <v>991</v>
      </c>
      <c r="R4" s="831" t="s">
        <v>992</v>
      </c>
      <c r="S4" s="831" t="s">
        <v>993</v>
      </c>
      <c r="T4" s="831" t="s">
        <v>994</v>
      </c>
      <c r="U4" s="831" t="s">
        <v>996</v>
      </c>
    </row>
    <row r="5" spans="1:21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K5" s="258"/>
      <c r="L5" s="258"/>
      <c r="M5" s="258"/>
      <c r="N5" s="261" t="str">
        <f>RESUMO!H5</f>
        <v>Serviços</v>
      </c>
      <c r="O5" s="234">
        <f>RESUMO!I5</f>
        <v>0.27579999999999999</v>
      </c>
      <c r="P5" s="831"/>
      <c r="Q5" s="831"/>
      <c r="R5" s="831"/>
      <c r="S5" s="831"/>
      <c r="T5" s="831"/>
      <c r="U5" s="831"/>
    </row>
    <row r="6" spans="1:21" ht="12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K6" s="258"/>
      <c r="L6" s="258"/>
      <c r="M6" s="258"/>
      <c r="N6" s="261" t="str">
        <f>RESUMO!H6</f>
        <v>Serv Terc:</v>
      </c>
      <c r="O6" s="234">
        <f>RESUMO!I6</f>
        <v>0.1772</v>
      </c>
      <c r="P6" s="486">
        <v>0</v>
      </c>
      <c r="Q6" s="486">
        <v>0</v>
      </c>
      <c r="R6" s="486">
        <v>0</v>
      </c>
      <c r="S6" s="486">
        <v>0</v>
      </c>
      <c r="T6" s="486">
        <v>0</v>
      </c>
      <c r="U6" s="486">
        <v>0</v>
      </c>
    </row>
    <row r="7" spans="1:21" ht="12" customHeight="1" x14ac:dyDescent="0.2">
      <c r="A7" s="700"/>
      <c r="B7" s="700"/>
      <c r="C7" s="260" t="s">
        <v>6</v>
      </c>
      <c r="D7" s="263" t="str">
        <f>RESUMO!A38</f>
        <v>U.C. : 09</v>
      </c>
      <c r="E7" s="258"/>
      <c r="F7" s="258"/>
      <c r="G7" s="260" t="s">
        <v>9</v>
      </c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  <c r="T7" s="486">
        <v>0</v>
      </c>
    </row>
    <row r="8" spans="1:21" ht="12" customHeight="1" thickBot="1" x14ac:dyDescent="0.25">
      <c r="A8" s="124"/>
      <c r="B8" s="125"/>
      <c r="C8" s="266" t="s">
        <v>8</v>
      </c>
      <c r="D8" s="267" t="str">
        <f>RESUMO!B38</f>
        <v>COLETOR 07</v>
      </c>
      <c r="E8" s="268"/>
      <c r="F8" s="268"/>
      <c r="G8" s="266"/>
      <c r="H8" s="123"/>
      <c r="I8" s="278"/>
      <c r="J8" s="278"/>
      <c r="K8" s="278"/>
      <c r="L8" s="278"/>
      <c r="M8" s="278"/>
      <c r="N8" s="271"/>
      <c r="O8" s="427"/>
      <c r="T8" s="486">
        <v>0</v>
      </c>
    </row>
    <row r="9" spans="1:21" ht="12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  <c r="T9" s="486">
        <v>0</v>
      </c>
    </row>
    <row r="10" spans="1:21" ht="12.75" x14ac:dyDescent="0.2">
      <c r="O10" s="19"/>
      <c r="T10" s="486">
        <v>0</v>
      </c>
    </row>
    <row r="11" spans="1:21" ht="11.25" customHeight="1" x14ac:dyDescent="0.2">
      <c r="A11" s="93">
        <f>RESUMO!A42</f>
        <v>1</v>
      </c>
      <c r="B11" s="93" t="str">
        <f>RESUMO!B39</f>
        <v>COLETOR 07 - SERVIÇOS</v>
      </c>
      <c r="H11" s="61"/>
      <c r="O11" s="19"/>
      <c r="T11" s="486">
        <v>0</v>
      </c>
    </row>
    <row r="12" spans="1:21" ht="11.25" customHeight="1" x14ac:dyDescent="0.2">
      <c r="A12" s="129" t="s">
        <v>48</v>
      </c>
      <c r="B12" s="88" t="s">
        <v>16</v>
      </c>
      <c r="H12" s="61"/>
      <c r="O12" s="19"/>
      <c r="T12" s="486">
        <v>0</v>
      </c>
    </row>
    <row r="13" spans="1:21" ht="11.25" customHeight="1" x14ac:dyDescent="0.2">
      <c r="A13" s="129" t="s">
        <v>79</v>
      </c>
      <c r="B13" s="88" t="s">
        <v>80</v>
      </c>
      <c r="H13" s="61"/>
      <c r="O13" s="19"/>
    </row>
    <row r="14" spans="1:21" ht="11.25" customHeight="1" x14ac:dyDescent="0.2">
      <c r="A14" s="129" t="s">
        <v>209</v>
      </c>
      <c r="B14" s="88" t="s">
        <v>210</v>
      </c>
      <c r="G14" s="97" t="s">
        <v>17</v>
      </c>
      <c r="H14" s="308">
        <f>P6</f>
        <v>0</v>
      </c>
      <c r="I14" s="323">
        <f>VLOOKUP(A14,'[1]TAB OGU JUN18'!$A:$G,6,"falso")</f>
        <v>1.2</v>
      </c>
      <c r="J14" s="323">
        <f>VLOOKUP(A14,'[1]TAB OGU JUN18'!$A:$G,4,"falso")</f>
        <v>0.82</v>
      </c>
      <c r="K14" s="308">
        <f>H14*J14</f>
        <v>0</v>
      </c>
      <c r="L14" s="323">
        <f>VLOOKUP(A14,'[1]TAB OGU JUN18'!$A:$G,5,"falso")</f>
        <v>0.38</v>
      </c>
      <c r="M14" s="308">
        <f>H14*L14</f>
        <v>0</v>
      </c>
      <c r="N14" s="308">
        <f>H14*I14</f>
        <v>0</v>
      </c>
      <c r="O14" s="25" t="e">
        <f>N14/N17</f>
        <v>#DIV/0!</v>
      </c>
      <c r="Q14" s="311"/>
    </row>
    <row r="15" spans="1:21" ht="11.25" customHeight="1" x14ac:dyDescent="0.2">
      <c r="B15" s="258" t="s">
        <v>211</v>
      </c>
      <c r="G15" s="52"/>
      <c r="H15" s="324"/>
      <c r="I15" s="324"/>
      <c r="J15" s="313"/>
      <c r="K15" s="313"/>
      <c r="L15" s="313"/>
      <c r="M15" s="313"/>
      <c r="N15" s="309"/>
      <c r="O15" s="25"/>
      <c r="Q15" s="311"/>
    </row>
    <row r="16" spans="1:21" ht="11.25" customHeight="1" x14ac:dyDescent="0.2">
      <c r="G16" s="52"/>
      <c r="H16" s="324"/>
      <c r="I16" s="324"/>
      <c r="J16" s="313"/>
      <c r="K16" s="313"/>
      <c r="L16" s="313"/>
      <c r="M16" s="313"/>
      <c r="N16" s="309"/>
      <c r="O16" s="25"/>
      <c r="Q16" s="311"/>
    </row>
    <row r="17" spans="1:17" ht="11.25" customHeight="1" x14ac:dyDescent="0.2">
      <c r="B17" s="130" t="s">
        <v>18</v>
      </c>
      <c r="C17" s="131"/>
      <c r="D17" s="131"/>
      <c r="E17" s="131"/>
      <c r="F17" s="131"/>
      <c r="G17" s="53"/>
      <c r="H17" s="325"/>
      <c r="I17" s="325"/>
      <c r="J17" s="326"/>
      <c r="K17" s="326"/>
      <c r="L17" s="326"/>
      <c r="M17" s="326"/>
      <c r="N17" s="308">
        <f>SUM(N14:N14)</f>
        <v>0</v>
      </c>
      <c r="O17" s="25" t="e">
        <f>N17/N29</f>
        <v>#DIV/0!</v>
      </c>
      <c r="Q17" s="311"/>
    </row>
    <row r="18" spans="1:17" ht="11.25" customHeight="1" x14ac:dyDescent="0.2">
      <c r="B18" s="130"/>
      <c r="G18" s="52"/>
      <c r="H18" s="324"/>
      <c r="I18" s="324"/>
      <c r="J18" s="313"/>
      <c r="K18" s="313"/>
      <c r="L18" s="313"/>
      <c r="M18" s="313"/>
      <c r="N18" s="308"/>
      <c r="O18" s="25"/>
      <c r="Q18" s="311"/>
    </row>
    <row r="19" spans="1:17" ht="11.25" customHeight="1" x14ac:dyDescent="0.2">
      <c r="A19" s="98" t="s">
        <v>779</v>
      </c>
      <c r="B19" s="88" t="s">
        <v>780</v>
      </c>
      <c r="G19" s="52"/>
      <c r="H19" s="324"/>
      <c r="I19" s="324"/>
      <c r="J19" s="313"/>
      <c r="K19" s="313"/>
      <c r="L19" s="313"/>
      <c r="M19" s="313"/>
      <c r="N19" s="313"/>
      <c r="O19" s="19"/>
      <c r="Q19" s="311"/>
    </row>
    <row r="20" spans="1:17" ht="11.25" customHeight="1" x14ac:dyDescent="0.2">
      <c r="A20" s="98" t="s">
        <v>782</v>
      </c>
      <c r="B20" s="88" t="s">
        <v>781</v>
      </c>
      <c r="G20" s="97" t="s">
        <v>17</v>
      </c>
      <c r="H20" s="308">
        <f>H14</f>
        <v>0</v>
      </c>
      <c r="I20" s="323">
        <f>VLOOKUP(A20,'[1]TAB OGU JUN18'!$A:$G,6,"falso")</f>
        <v>0.4</v>
      </c>
      <c r="J20" s="323">
        <f>VLOOKUP(A20,'[1]TAB OGU JUN18'!$A:$G,4,"falso")</f>
        <v>0.4</v>
      </c>
      <c r="K20" s="308">
        <f>H20*J20</f>
        <v>0</v>
      </c>
      <c r="L20" s="323">
        <f>VLOOKUP(A20,'[1]TAB OGU JUN18'!$A:$G,5,"falso")</f>
        <v>0</v>
      </c>
      <c r="M20" s="308"/>
      <c r="N20" s="308">
        <f>H20*I20</f>
        <v>0</v>
      </c>
      <c r="O20" s="25" t="e">
        <f>N20/N22</f>
        <v>#DIV/0!</v>
      </c>
      <c r="Q20" s="311"/>
    </row>
    <row r="21" spans="1:17" ht="11.25" customHeight="1" x14ac:dyDescent="0.2">
      <c r="G21" s="52"/>
      <c r="H21" s="324"/>
      <c r="I21" s="324"/>
      <c r="J21" s="313"/>
      <c r="K21" s="313"/>
      <c r="L21" s="313"/>
      <c r="M21" s="313"/>
      <c r="N21" s="313"/>
      <c r="O21" s="19"/>
      <c r="Q21" s="311"/>
    </row>
    <row r="22" spans="1:17" ht="11.25" customHeight="1" x14ac:dyDescent="0.2">
      <c r="B22" s="130" t="s">
        <v>18</v>
      </c>
      <c r="C22" s="131"/>
      <c r="D22" s="131"/>
      <c r="E22" s="131"/>
      <c r="F22" s="131"/>
      <c r="G22" s="53"/>
      <c r="H22" s="325"/>
      <c r="I22" s="325"/>
      <c r="J22" s="326"/>
      <c r="K22" s="326"/>
      <c r="L22" s="326"/>
      <c r="M22" s="326"/>
      <c r="N22" s="308">
        <f>N20</f>
        <v>0</v>
      </c>
      <c r="O22" s="25" t="e">
        <f>N22/N29</f>
        <v>#DIV/0!</v>
      </c>
      <c r="Q22" s="311"/>
    </row>
    <row r="23" spans="1:17" ht="11.25" customHeight="1" x14ac:dyDescent="0.2">
      <c r="B23" s="130"/>
      <c r="G23" s="52"/>
      <c r="H23" s="324"/>
      <c r="I23" s="324"/>
      <c r="J23" s="313"/>
      <c r="K23" s="313"/>
      <c r="L23" s="313"/>
      <c r="M23" s="313"/>
      <c r="N23" s="308"/>
      <c r="O23" s="25"/>
      <c r="Q23" s="311"/>
    </row>
    <row r="24" spans="1:17" ht="11.25" customHeight="1" x14ac:dyDescent="0.2">
      <c r="A24" s="98" t="s">
        <v>82</v>
      </c>
      <c r="B24" s="88" t="s">
        <v>19</v>
      </c>
      <c r="G24" s="52"/>
      <c r="H24" s="19"/>
      <c r="I24" s="52"/>
      <c r="J24" s="52"/>
      <c r="K24" s="52"/>
      <c r="L24" s="52"/>
      <c r="M24" s="52"/>
      <c r="N24" s="52"/>
      <c r="O24" s="19"/>
    </row>
    <row r="25" spans="1:17" ht="11.25" customHeight="1" x14ac:dyDescent="0.2">
      <c r="A25" s="98" t="s">
        <v>83</v>
      </c>
      <c r="B25" s="88" t="s">
        <v>81</v>
      </c>
      <c r="G25" s="97" t="s">
        <v>17</v>
      </c>
      <c r="H25" s="308">
        <f>H20</f>
        <v>0</v>
      </c>
      <c r="I25" s="323">
        <f>VLOOKUP(A25,'[1]TAB OGU JUN18'!$A:$G,6,"falso")</f>
        <v>0.26</v>
      </c>
      <c r="J25" s="323">
        <f>VLOOKUP(A25,'[1]TAB OGU JUN18'!$A:$G,4,"falso")</f>
        <v>0.26</v>
      </c>
      <c r="K25" s="308">
        <f>H25*J25</f>
        <v>0</v>
      </c>
      <c r="L25" s="323">
        <f>VLOOKUP(A25,'[1]TAB OGU JUN18'!$A:$G,5,"falso")</f>
        <v>0</v>
      </c>
      <c r="M25" s="308"/>
      <c r="N25" s="308">
        <f>H25*I25</f>
        <v>0</v>
      </c>
      <c r="O25" s="25" t="e">
        <f>N25/N27</f>
        <v>#DIV/0!</v>
      </c>
    </row>
    <row r="26" spans="1:17" ht="11.25" customHeight="1" x14ac:dyDescent="0.2">
      <c r="G26" s="52"/>
      <c r="H26" s="324"/>
      <c r="I26" s="313"/>
      <c r="J26" s="313"/>
      <c r="K26" s="313"/>
      <c r="L26" s="313"/>
      <c r="M26" s="313"/>
      <c r="N26" s="313"/>
      <c r="O26" s="19"/>
    </row>
    <row r="27" spans="1:17" ht="11.25" customHeight="1" x14ac:dyDescent="0.2">
      <c r="B27" s="130" t="s">
        <v>18</v>
      </c>
      <c r="C27" s="131"/>
      <c r="D27" s="131"/>
      <c r="E27" s="131"/>
      <c r="F27" s="131"/>
      <c r="G27" s="53"/>
      <c r="H27" s="325"/>
      <c r="I27" s="326"/>
      <c r="J27" s="326"/>
      <c r="K27" s="326"/>
      <c r="L27" s="326"/>
      <c r="M27" s="326"/>
      <c r="N27" s="308">
        <f>N25</f>
        <v>0</v>
      </c>
      <c r="O27" s="25" t="e">
        <f>N27/N29</f>
        <v>#DIV/0!</v>
      </c>
    </row>
    <row r="28" spans="1:17" ht="11.25" customHeight="1" x14ac:dyDescent="0.2">
      <c r="B28" s="130"/>
      <c r="G28" s="52"/>
      <c r="H28" s="324"/>
      <c r="I28" s="313"/>
      <c r="J28" s="313"/>
      <c r="K28" s="313"/>
      <c r="L28" s="313"/>
      <c r="M28" s="313"/>
      <c r="N28" s="308"/>
      <c r="O28" s="25"/>
    </row>
    <row r="29" spans="1:17" s="132" customFormat="1" ht="11.25" customHeight="1" x14ac:dyDescent="0.2">
      <c r="B29" s="133" t="s">
        <v>20</v>
      </c>
      <c r="C29" s="134"/>
      <c r="D29" s="134"/>
      <c r="E29" s="134"/>
      <c r="F29" s="134"/>
      <c r="G29" s="78"/>
      <c r="H29" s="327"/>
      <c r="I29" s="328"/>
      <c r="J29" s="328"/>
      <c r="K29" s="328"/>
      <c r="L29" s="328"/>
      <c r="M29" s="328"/>
      <c r="N29" s="310">
        <f>N27+N17+N22</f>
        <v>0</v>
      </c>
      <c r="O29" s="77" t="e">
        <f>N29/N118</f>
        <v>#DIV/0!</v>
      </c>
    </row>
    <row r="30" spans="1:17" ht="11.25" customHeight="1" x14ac:dyDescent="0.2">
      <c r="G30" s="52"/>
      <c r="H30" s="324"/>
      <c r="I30" s="313"/>
      <c r="J30" s="313"/>
      <c r="K30" s="313"/>
      <c r="L30" s="313"/>
      <c r="M30" s="313"/>
      <c r="N30" s="313"/>
      <c r="O30" s="19"/>
    </row>
    <row r="31" spans="1:17" ht="11.25" customHeight="1" x14ac:dyDescent="0.2">
      <c r="A31" s="129" t="s">
        <v>93</v>
      </c>
      <c r="B31" s="88" t="s">
        <v>96</v>
      </c>
      <c r="H31" s="329"/>
      <c r="I31" s="311"/>
      <c r="J31" s="311"/>
      <c r="K31" s="311"/>
      <c r="L31" s="311"/>
      <c r="M31" s="311"/>
      <c r="N31" s="311"/>
      <c r="O31" s="19"/>
    </row>
    <row r="32" spans="1:17" ht="11.25" customHeight="1" x14ac:dyDescent="0.2">
      <c r="A32" s="129" t="s">
        <v>94</v>
      </c>
      <c r="B32" s="88" t="s">
        <v>97</v>
      </c>
      <c r="H32" s="329"/>
      <c r="I32" s="311"/>
      <c r="J32" s="311"/>
      <c r="K32" s="311"/>
      <c r="L32" s="311"/>
      <c r="M32" s="311"/>
      <c r="N32" s="311"/>
      <c r="O32" s="19"/>
    </row>
    <row r="33" spans="1:15" ht="11.25" customHeight="1" x14ac:dyDescent="0.2">
      <c r="A33" s="129" t="s">
        <v>95</v>
      </c>
      <c r="B33" s="88" t="s">
        <v>228</v>
      </c>
      <c r="G33" s="97" t="s">
        <v>32</v>
      </c>
      <c r="H33" s="308">
        <f>T6</f>
        <v>0</v>
      </c>
      <c r="I33" s="323">
        <f>VLOOKUP(A33,'[1]TAB OGU JUN18'!$A:$G,6,"falso")</f>
        <v>32.9</v>
      </c>
      <c r="J33" s="323">
        <f>VLOOKUP(A33,'[1]TAB OGU JUN18'!$A:$G,4,"falso")</f>
        <v>32.9</v>
      </c>
      <c r="K33" s="308">
        <f>H33*J33</f>
        <v>0</v>
      </c>
      <c r="L33" s="323">
        <f>VLOOKUP(A33,'[1]TAB OGU JUN18'!$A:$G,5,"falso")</f>
        <v>0</v>
      </c>
      <c r="M33" s="308"/>
      <c r="N33" s="308">
        <f>H33*I33</f>
        <v>0</v>
      </c>
      <c r="O33" s="25" t="e">
        <f>N33/N36</f>
        <v>#DIV/0!</v>
      </c>
    </row>
    <row r="34" spans="1:15" ht="11.25" customHeight="1" x14ac:dyDescent="0.2">
      <c r="A34" s="129" t="s">
        <v>261</v>
      </c>
      <c r="B34" s="88" t="s">
        <v>643</v>
      </c>
      <c r="G34" s="97" t="s">
        <v>32</v>
      </c>
      <c r="H34" s="308">
        <f>T7</f>
        <v>0</v>
      </c>
      <c r="I34" s="323">
        <f>VLOOKUP(A34,'[1]TAB OGU JUN18'!$A:$G,6,"falso")</f>
        <v>41.13</v>
      </c>
      <c r="J34" s="323">
        <f>VLOOKUP(A34,'[1]TAB OGU JUN18'!$A:$G,4,"falso")</f>
        <v>41.13</v>
      </c>
      <c r="K34" s="308">
        <f>H34*J34</f>
        <v>0</v>
      </c>
      <c r="L34" s="323">
        <f>VLOOKUP(A34,'[1]TAB OGU JUN18'!$A:$G,5,"falso")</f>
        <v>0</v>
      </c>
      <c r="M34" s="308"/>
      <c r="N34" s="308">
        <f>H34*I34</f>
        <v>0</v>
      </c>
      <c r="O34" s="25" t="e">
        <f>N34/N36</f>
        <v>#DIV/0!</v>
      </c>
    </row>
    <row r="35" spans="1:15" ht="11.25" customHeight="1" x14ac:dyDescent="0.2">
      <c r="G35" s="52"/>
      <c r="H35" s="324"/>
      <c r="I35" s="313"/>
      <c r="J35" s="313"/>
      <c r="K35" s="313"/>
      <c r="L35" s="313"/>
      <c r="M35" s="313"/>
      <c r="N35" s="309"/>
      <c r="O35" s="25"/>
    </row>
    <row r="36" spans="1:15" ht="11.25" customHeight="1" x14ac:dyDescent="0.2">
      <c r="B36" s="130" t="s">
        <v>18</v>
      </c>
      <c r="C36" s="131"/>
      <c r="D36" s="131"/>
      <c r="E36" s="131"/>
      <c r="F36" s="131"/>
      <c r="G36" s="53"/>
      <c r="H36" s="325"/>
      <c r="I36" s="326"/>
      <c r="J36" s="326"/>
      <c r="K36" s="326"/>
      <c r="L36" s="326"/>
      <c r="M36" s="326"/>
      <c r="N36" s="308">
        <f>SUM(N33:N34)</f>
        <v>0</v>
      </c>
      <c r="O36" s="25" t="e">
        <f>N36/N66</f>
        <v>#DIV/0!</v>
      </c>
    </row>
    <row r="37" spans="1:15" ht="11.25" customHeight="1" x14ac:dyDescent="0.2">
      <c r="B37" s="130"/>
      <c r="G37" s="52"/>
      <c r="H37" s="324"/>
      <c r="I37" s="313"/>
      <c r="J37" s="313"/>
      <c r="K37" s="313"/>
      <c r="L37" s="313"/>
      <c r="M37" s="313"/>
      <c r="N37" s="308"/>
      <c r="O37" s="25"/>
    </row>
    <row r="38" spans="1:15" ht="11.25" customHeight="1" x14ac:dyDescent="0.2">
      <c r="A38" s="98" t="s">
        <v>98</v>
      </c>
      <c r="B38" s="88" t="s">
        <v>100</v>
      </c>
      <c r="G38" s="52"/>
      <c r="H38" s="324"/>
      <c r="I38" s="313"/>
      <c r="J38" s="313"/>
      <c r="K38" s="313"/>
      <c r="L38" s="313"/>
      <c r="M38" s="313"/>
      <c r="N38" s="313"/>
      <c r="O38" s="19"/>
    </row>
    <row r="39" spans="1:15" ht="11.25" customHeight="1" x14ac:dyDescent="0.2">
      <c r="A39" s="98" t="s">
        <v>99</v>
      </c>
      <c r="B39" s="88" t="s">
        <v>229</v>
      </c>
      <c r="G39" s="97" t="s">
        <v>32</v>
      </c>
      <c r="H39" s="308">
        <f>T8</f>
        <v>0</v>
      </c>
      <c r="I39" s="323">
        <f>VLOOKUP(A39,'[1]TAB OGU JUN18'!$A:$G,6,"falso")</f>
        <v>9.77</v>
      </c>
      <c r="J39" s="323">
        <f>VLOOKUP(A39,'[1]TAB OGU JUN18'!$A:$G,4,"falso")</f>
        <v>9.77</v>
      </c>
      <c r="K39" s="308">
        <f>H39*J39</f>
        <v>0</v>
      </c>
      <c r="L39" s="323">
        <f>VLOOKUP(A39,'[1]TAB OGU JUN18'!$A:$G,5,"falso")</f>
        <v>0</v>
      </c>
      <c r="M39" s="308"/>
      <c r="N39" s="308">
        <f>H39*I39</f>
        <v>0</v>
      </c>
      <c r="O39" s="25" t="e">
        <f>N39/N42</f>
        <v>#DIV/0!</v>
      </c>
    </row>
    <row r="40" spans="1:15" ht="11.25" customHeight="1" x14ac:dyDescent="0.2">
      <c r="A40" s="98" t="s">
        <v>232</v>
      </c>
      <c r="B40" s="88" t="s">
        <v>558</v>
      </c>
      <c r="G40" s="97" t="s">
        <v>32</v>
      </c>
      <c r="H40" s="308">
        <f>T9</f>
        <v>0</v>
      </c>
      <c r="I40" s="323">
        <f>VLOOKUP(A40,'[1]TAB OGU JUN18'!$A:$G,6,"falso")</f>
        <v>11.16</v>
      </c>
      <c r="J40" s="323">
        <f>VLOOKUP(A40,'[1]TAB OGU JUN18'!$A:$G,4,"falso")</f>
        <v>11.16</v>
      </c>
      <c r="K40" s="308">
        <f>H40*J40</f>
        <v>0</v>
      </c>
      <c r="L40" s="323">
        <f>VLOOKUP(A40,'[1]TAB OGU JUN18'!$A:$G,5,"falso")</f>
        <v>0</v>
      </c>
      <c r="M40" s="308"/>
      <c r="N40" s="308">
        <f>H40*I40</f>
        <v>0</v>
      </c>
      <c r="O40" s="25" t="e">
        <f>N40/N42</f>
        <v>#DIV/0!</v>
      </c>
    </row>
    <row r="41" spans="1:15" ht="11.25" customHeight="1" x14ac:dyDescent="0.2">
      <c r="G41" s="52"/>
      <c r="H41" s="324"/>
      <c r="I41" s="313"/>
      <c r="J41" s="313"/>
      <c r="K41" s="313"/>
      <c r="L41" s="313"/>
      <c r="M41" s="313"/>
      <c r="N41" s="313"/>
      <c r="O41" s="19"/>
    </row>
    <row r="42" spans="1:15" ht="11.25" customHeight="1" x14ac:dyDescent="0.2">
      <c r="B42" s="130" t="s">
        <v>18</v>
      </c>
      <c r="C42" s="131"/>
      <c r="D42" s="131"/>
      <c r="E42" s="131"/>
      <c r="F42" s="131"/>
      <c r="G42" s="53"/>
      <c r="H42" s="325"/>
      <c r="I42" s="326"/>
      <c r="J42" s="326"/>
      <c r="K42" s="326"/>
      <c r="L42" s="326"/>
      <c r="M42" s="326"/>
      <c r="N42" s="308">
        <f>N39+N40</f>
        <v>0</v>
      </c>
      <c r="O42" s="25" t="e">
        <f>N42/N66</f>
        <v>#DIV/0!</v>
      </c>
    </row>
    <row r="43" spans="1:15" ht="11.25" customHeight="1" x14ac:dyDescent="0.2">
      <c r="B43" s="130"/>
      <c r="G43" s="52"/>
      <c r="H43" s="324"/>
      <c r="I43" s="313"/>
      <c r="J43" s="313"/>
      <c r="K43" s="313"/>
      <c r="L43" s="313"/>
      <c r="M43" s="313"/>
      <c r="N43" s="308"/>
      <c r="O43" s="25"/>
    </row>
    <row r="44" spans="1:15" ht="11.25" customHeight="1" x14ac:dyDescent="0.2">
      <c r="A44" s="98" t="s">
        <v>101</v>
      </c>
      <c r="B44" s="88" t="s">
        <v>21</v>
      </c>
      <c r="G44" s="97"/>
      <c r="H44" s="308"/>
      <c r="I44" s="308"/>
      <c r="J44" s="308"/>
      <c r="K44" s="308"/>
      <c r="L44" s="308"/>
      <c r="M44" s="308"/>
      <c r="N44" s="308"/>
      <c r="O44" s="25"/>
    </row>
    <row r="45" spans="1:15" ht="11.25" customHeight="1" x14ac:dyDescent="0.2">
      <c r="A45" s="98" t="s">
        <v>102</v>
      </c>
      <c r="B45" s="88" t="s">
        <v>104</v>
      </c>
      <c r="G45" s="97" t="s">
        <v>32</v>
      </c>
      <c r="H45" s="308">
        <f>T10</f>
        <v>0</v>
      </c>
      <c r="I45" s="323">
        <f>VLOOKUP(A45,'[1]TAB OGU JUN18'!$A:$G,6,"falso")</f>
        <v>7.4</v>
      </c>
      <c r="J45" s="323">
        <f>VLOOKUP(A45,'[1]TAB OGU JUN18'!$A:$G,4,"falso")</f>
        <v>7.4</v>
      </c>
      <c r="K45" s="308">
        <f>H45*J45</f>
        <v>0</v>
      </c>
      <c r="L45" s="323">
        <f>VLOOKUP(A45,'[1]TAB OGU JUN18'!$A:$G,5,"falso")</f>
        <v>0</v>
      </c>
      <c r="M45" s="308"/>
      <c r="N45" s="308">
        <f>H45*I45</f>
        <v>0</v>
      </c>
      <c r="O45" s="25" t="e">
        <f>N45/N48</f>
        <v>#DIV/0!</v>
      </c>
    </row>
    <row r="46" spans="1:15" ht="11.25" customHeight="1" x14ac:dyDescent="0.2">
      <c r="A46" s="98" t="s">
        <v>103</v>
      </c>
      <c r="B46" s="88" t="s">
        <v>105</v>
      </c>
      <c r="G46" s="97" t="s">
        <v>32</v>
      </c>
      <c r="H46" s="308">
        <f>T11</f>
        <v>0</v>
      </c>
      <c r="I46" s="323">
        <f>VLOOKUP(A46,'[1]TAB OGU JUN18'!$A:$G,6,"falso")</f>
        <v>1.32</v>
      </c>
      <c r="J46" s="323">
        <f>VLOOKUP(A46,'[1]TAB OGU JUN18'!$A:$G,4,"falso")</f>
        <v>1.32</v>
      </c>
      <c r="K46" s="308">
        <f>H46*J46</f>
        <v>0</v>
      </c>
      <c r="L46" s="323">
        <f>VLOOKUP(A46,'[1]TAB OGU JUN18'!$A:$G,5,"falso")</f>
        <v>0</v>
      </c>
      <c r="M46" s="308"/>
      <c r="N46" s="308">
        <f>H46*I46</f>
        <v>0</v>
      </c>
      <c r="O46" s="25" t="e">
        <f>N46/N48</f>
        <v>#DIV/0!</v>
      </c>
    </row>
    <row r="47" spans="1:15" ht="11.25" customHeight="1" x14ac:dyDescent="0.2">
      <c r="B47" s="130"/>
      <c r="G47" s="52"/>
      <c r="H47" s="324"/>
      <c r="I47" s="313"/>
      <c r="J47" s="313"/>
      <c r="K47" s="313"/>
      <c r="L47" s="313"/>
      <c r="M47" s="313"/>
      <c r="N47" s="308"/>
      <c r="O47" s="25"/>
    </row>
    <row r="48" spans="1:15" ht="11.25" customHeight="1" x14ac:dyDescent="0.2">
      <c r="B48" s="130" t="s">
        <v>18</v>
      </c>
      <c r="C48" s="131"/>
      <c r="D48" s="131"/>
      <c r="E48" s="131"/>
      <c r="F48" s="131"/>
      <c r="G48" s="53"/>
      <c r="H48" s="325"/>
      <c r="I48" s="326"/>
      <c r="J48" s="326"/>
      <c r="K48" s="326"/>
      <c r="L48" s="326"/>
      <c r="M48" s="326"/>
      <c r="N48" s="308">
        <f>N46+N45</f>
        <v>0</v>
      </c>
      <c r="O48" s="25" t="e">
        <f>N48/N66</f>
        <v>#DIV/0!</v>
      </c>
    </row>
    <row r="49" spans="1:15" ht="11.25" customHeight="1" x14ac:dyDescent="0.2">
      <c r="B49" s="130"/>
      <c r="G49" s="52"/>
      <c r="H49" s="324"/>
      <c r="I49" s="313"/>
      <c r="J49" s="313"/>
      <c r="K49" s="313"/>
      <c r="L49" s="313"/>
      <c r="M49" s="313"/>
      <c r="N49" s="308"/>
      <c r="O49" s="25"/>
    </row>
    <row r="50" spans="1:15" ht="11.25" customHeight="1" x14ac:dyDescent="0.2">
      <c r="A50" s="98" t="s">
        <v>106</v>
      </c>
      <c r="B50" s="88" t="s">
        <v>109</v>
      </c>
      <c r="G50" s="97"/>
      <c r="H50" s="308"/>
      <c r="I50" s="308"/>
      <c r="J50" s="308"/>
      <c r="K50" s="308"/>
      <c r="L50" s="308"/>
      <c r="M50" s="308"/>
      <c r="N50" s="308"/>
      <c r="O50" s="25"/>
    </row>
    <row r="51" spans="1:15" ht="11.25" customHeight="1" x14ac:dyDescent="0.2">
      <c r="A51" s="98" t="s">
        <v>107</v>
      </c>
      <c r="B51" s="88" t="s">
        <v>104</v>
      </c>
      <c r="G51" s="97" t="s">
        <v>32</v>
      </c>
      <c r="H51" s="308">
        <f>H45</f>
        <v>0</v>
      </c>
      <c r="I51" s="323">
        <f>VLOOKUP(A51,'[1]TAB OGU JUN18'!$A:$G,6,"falso")</f>
        <v>20.56</v>
      </c>
      <c r="J51" s="323">
        <f>VLOOKUP(A51,'[1]TAB OGU JUN18'!$A:$G,4,"falso")</f>
        <v>20.56</v>
      </c>
      <c r="K51" s="308">
        <f>H51*J51</f>
        <v>0</v>
      </c>
      <c r="L51" s="323">
        <f>VLOOKUP(A51,'[1]TAB OGU JUN18'!$A:$G,5,"falso")</f>
        <v>0</v>
      </c>
      <c r="M51" s="308"/>
      <c r="N51" s="308">
        <f>H51*I51</f>
        <v>0</v>
      </c>
      <c r="O51" s="25" t="e">
        <f>N51/N54</f>
        <v>#DIV/0!</v>
      </c>
    </row>
    <row r="52" spans="1:15" ht="11.25" customHeight="1" x14ac:dyDescent="0.2">
      <c r="A52" s="98" t="s">
        <v>108</v>
      </c>
      <c r="B52" s="88" t="s">
        <v>105</v>
      </c>
      <c r="G52" s="97" t="s">
        <v>32</v>
      </c>
      <c r="H52" s="308">
        <f>H46</f>
        <v>0</v>
      </c>
      <c r="I52" s="323">
        <f>VLOOKUP(A52,'[1]TAB OGU JUN18'!$A:$G,6,"falso")</f>
        <v>4.05</v>
      </c>
      <c r="J52" s="323">
        <f>VLOOKUP(A52,'[1]TAB OGU JUN18'!$A:$G,4,"falso")</f>
        <v>4.05</v>
      </c>
      <c r="K52" s="308">
        <f>H52*J52</f>
        <v>0</v>
      </c>
      <c r="L52" s="323">
        <f>VLOOKUP(A52,'[1]TAB OGU JUN18'!$A:$G,5,"falso")</f>
        <v>0</v>
      </c>
      <c r="M52" s="308"/>
      <c r="N52" s="308">
        <f>H52*I52</f>
        <v>0</v>
      </c>
      <c r="O52" s="25" t="e">
        <f>N52/N54</f>
        <v>#DIV/0!</v>
      </c>
    </row>
    <row r="53" spans="1:15" ht="11.25" customHeight="1" x14ac:dyDescent="0.2">
      <c r="B53" s="130"/>
      <c r="G53" s="52"/>
      <c r="H53" s="324"/>
      <c r="I53" s="313"/>
      <c r="J53" s="313"/>
      <c r="K53" s="313"/>
      <c r="L53" s="313"/>
      <c r="M53" s="313"/>
      <c r="N53" s="308"/>
      <c r="O53" s="25"/>
    </row>
    <row r="54" spans="1:15" ht="11.25" customHeight="1" x14ac:dyDescent="0.2">
      <c r="B54" s="130" t="s">
        <v>18</v>
      </c>
      <c r="C54" s="131"/>
      <c r="D54" s="131"/>
      <c r="E54" s="131"/>
      <c r="F54" s="131"/>
      <c r="G54" s="53"/>
      <c r="H54" s="325"/>
      <c r="I54" s="326"/>
      <c r="J54" s="326"/>
      <c r="K54" s="326"/>
      <c r="L54" s="326"/>
      <c r="M54" s="326"/>
      <c r="N54" s="308">
        <f>N52+N51</f>
        <v>0</v>
      </c>
      <c r="O54" s="25" t="e">
        <f>N54/N66</f>
        <v>#DIV/0!</v>
      </c>
    </row>
    <row r="55" spans="1:15" ht="11.25" customHeight="1" x14ac:dyDescent="0.2">
      <c r="B55" s="130"/>
      <c r="G55" s="52"/>
      <c r="H55" s="324"/>
      <c r="I55" s="313"/>
      <c r="J55" s="313"/>
      <c r="K55" s="313"/>
      <c r="L55" s="313"/>
      <c r="M55" s="313"/>
      <c r="N55" s="308"/>
      <c r="O55" s="25"/>
    </row>
    <row r="56" spans="1:15" ht="11.25" customHeight="1" x14ac:dyDescent="0.2">
      <c r="A56" s="98" t="s">
        <v>110</v>
      </c>
      <c r="B56" s="88" t="s">
        <v>112</v>
      </c>
      <c r="G56" s="52"/>
      <c r="H56" s="324"/>
      <c r="I56" s="313"/>
      <c r="J56" s="313"/>
      <c r="K56" s="313"/>
      <c r="L56" s="313"/>
      <c r="M56" s="313"/>
      <c r="N56" s="313"/>
      <c r="O56" s="19"/>
    </row>
    <row r="57" spans="1:15" ht="11.25" customHeight="1" x14ac:dyDescent="0.2">
      <c r="A57" s="98" t="s">
        <v>111</v>
      </c>
      <c r="B57" s="88" t="s">
        <v>113</v>
      </c>
      <c r="G57" s="97" t="s">
        <v>32</v>
      </c>
      <c r="H57" s="308">
        <f>T12</f>
        <v>0</v>
      </c>
      <c r="I57" s="323">
        <f>VLOOKUP(A57,'[1]TAB OGU JUN18'!$A:$G,6,"falso")</f>
        <v>1.85</v>
      </c>
      <c r="J57" s="323">
        <f>VLOOKUP(A57,'[1]TAB OGU JUN18'!$A:$G,4,"falso")</f>
        <v>1.85</v>
      </c>
      <c r="K57" s="308">
        <f>H57*J57</f>
        <v>0</v>
      </c>
      <c r="L57" s="323">
        <f>VLOOKUP(A57,'[1]TAB OGU JUN18'!$A:$G,5,"falso")</f>
        <v>0</v>
      </c>
      <c r="M57" s="308"/>
      <c r="N57" s="308">
        <f>H57*I57</f>
        <v>0</v>
      </c>
      <c r="O57" s="25" t="e">
        <f>N57/N59</f>
        <v>#DIV/0!</v>
      </c>
    </row>
    <row r="58" spans="1:15" ht="11.25" customHeight="1" x14ac:dyDescent="0.2">
      <c r="G58" s="52"/>
      <c r="H58" s="324"/>
      <c r="I58" s="313"/>
      <c r="J58" s="313"/>
      <c r="K58" s="313"/>
      <c r="L58" s="313"/>
      <c r="M58" s="313"/>
      <c r="N58" s="313"/>
      <c r="O58" s="19"/>
    </row>
    <row r="59" spans="1:15" ht="11.25" customHeight="1" x14ac:dyDescent="0.2">
      <c r="B59" s="130" t="s">
        <v>18</v>
      </c>
      <c r="C59" s="131"/>
      <c r="D59" s="131"/>
      <c r="E59" s="131"/>
      <c r="F59" s="131"/>
      <c r="G59" s="53"/>
      <c r="H59" s="325"/>
      <c r="I59" s="326"/>
      <c r="J59" s="326"/>
      <c r="K59" s="326"/>
      <c r="L59" s="326"/>
      <c r="M59" s="326"/>
      <c r="N59" s="308">
        <f>N57</f>
        <v>0</v>
      </c>
      <c r="O59" s="25" t="e">
        <f>N59/N66</f>
        <v>#DIV/0!</v>
      </c>
    </row>
    <row r="60" spans="1:15" ht="11.25" customHeight="1" x14ac:dyDescent="0.2">
      <c r="B60" s="130"/>
      <c r="G60" s="52"/>
      <c r="H60" s="324"/>
      <c r="I60" s="313"/>
      <c r="J60" s="313"/>
      <c r="K60" s="313"/>
      <c r="L60" s="313"/>
      <c r="M60" s="313"/>
      <c r="N60" s="308"/>
      <c r="O60" s="25"/>
    </row>
    <row r="61" spans="1:15" ht="11.25" customHeight="1" x14ac:dyDescent="0.2">
      <c r="A61" s="98" t="s">
        <v>114</v>
      </c>
      <c r="B61" s="88" t="s">
        <v>737</v>
      </c>
      <c r="G61" s="52"/>
      <c r="H61" s="324"/>
      <c r="I61" s="313"/>
      <c r="J61" s="313"/>
      <c r="K61" s="313"/>
      <c r="L61" s="313"/>
      <c r="M61" s="313"/>
      <c r="N61" s="313"/>
      <c r="O61" s="19"/>
    </row>
    <row r="62" spans="1:15" ht="11.25" customHeight="1" x14ac:dyDescent="0.2">
      <c r="A62" s="98" t="s">
        <v>115</v>
      </c>
      <c r="B62" s="88" t="s">
        <v>116</v>
      </c>
      <c r="G62" s="97" t="s">
        <v>180</v>
      </c>
      <c r="H62" s="308">
        <f>H57*3</f>
        <v>0</v>
      </c>
      <c r="I62" s="323">
        <f>VLOOKUP(A62,'[1]TAB OGU JUN18'!$A:$G,6,"falso")</f>
        <v>1</v>
      </c>
      <c r="J62" s="323">
        <f>VLOOKUP(A62,'[1]TAB OGU JUN18'!$A:$G,4,"falso")</f>
        <v>1</v>
      </c>
      <c r="K62" s="308">
        <f>H62*J62</f>
        <v>0</v>
      </c>
      <c r="L62" s="323">
        <f>VLOOKUP(A62,'[1]TAB OGU JUN18'!$A:$G,5,"falso")</f>
        <v>0</v>
      </c>
      <c r="M62" s="308"/>
      <c r="N62" s="308">
        <f>H62*I62</f>
        <v>0</v>
      </c>
      <c r="O62" s="25" t="e">
        <f>N62/N64</f>
        <v>#DIV/0!</v>
      </c>
    </row>
    <row r="63" spans="1:15" ht="11.25" customHeight="1" x14ac:dyDescent="0.2">
      <c r="G63" s="52"/>
      <c r="H63" s="324"/>
      <c r="I63" s="313"/>
      <c r="J63" s="313"/>
      <c r="K63" s="313"/>
      <c r="L63" s="313"/>
      <c r="M63" s="313"/>
      <c r="N63" s="313"/>
      <c r="O63" s="19"/>
    </row>
    <row r="64" spans="1:15" ht="11.25" customHeight="1" x14ac:dyDescent="0.2">
      <c r="B64" s="130" t="s">
        <v>18</v>
      </c>
      <c r="C64" s="131"/>
      <c r="D64" s="131"/>
      <c r="E64" s="131"/>
      <c r="F64" s="131"/>
      <c r="G64" s="53"/>
      <c r="H64" s="325"/>
      <c r="I64" s="326"/>
      <c r="J64" s="326"/>
      <c r="K64" s="326"/>
      <c r="L64" s="326"/>
      <c r="M64" s="326"/>
      <c r="N64" s="308">
        <f>N62</f>
        <v>0</v>
      </c>
      <c r="O64" s="25" t="e">
        <f>N64/N66</f>
        <v>#DIV/0!</v>
      </c>
    </row>
    <row r="65" spans="1:17" ht="11.25" customHeight="1" x14ac:dyDescent="0.2">
      <c r="B65" s="130"/>
      <c r="G65" s="52"/>
      <c r="H65" s="324"/>
      <c r="I65" s="313"/>
      <c r="J65" s="313"/>
      <c r="K65" s="313"/>
      <c r="L65" s="313"/>
      <c r="M65" s="313"/>
      <c r="N65" s="308"/>
      <c r="O65" s="25"/>
    </row>
    <row r="66" spans="1:17" s="132" customFormat="1" ht="11.25" customHeight="1" x14ac:dyDescent="0.2">
      <c r="B66" s="133" t="s">
        <v>20</v>
      </c>
      <c r="C66" s="134"/>
      <c r="D66" s="134"/>
      <c r="E66" s="134"/>
      <c r="F66" s="134"/>
      <c r="G66" s="78"/>
      <c r="H66" s="327"/>
      <c r="I66" s="328"/>
      <c r="J66" s="328"/>
      <c r="K66" s="328"/>
      <c r="L66" s="328"/>
      <c r="M66" s="328"/>
      <c r="N66" s="310">
        <f>N64+N59+N54+N48+N42+N36</f>
        <v>0</v>
      </c>
      <c r="O66" s="77" t="e">
        <f>N66/N118</f>
        <v>#DIV/0!</v>
      </c>
    </row>
    <row r="67" spans="1:17" ht="11.25" customHeight="1" x14ac:dyDescent="0.2">
      <c r="B67" s="130"/>
      <c r="G67" s="52"/>
      <c r="H67" s="324"/>
      <c r="I67" s="313"/>
      <c r="J67" s="313"/>
      <c r="K67" s="313"/>
      <c r="L67" s="313"/>
      <c r="M67" s="313"/>
      <c r="N67" s="308"/>
      <c r="O67" s="25"/>
    </row>
    <row r="68" spans="1:17" ht="11.25" customHeight="1" x14ac:dyDescent="0.2">
      <c r="A68" s="129" t="s">
        <v>117</v>
      </c>
      <c r="B68" s="88" t="s">
        <v>22</v>
      </c>
      <c r="H68" s="329"/>
      <c r="I68" s="311"/>
      <c r="J68" s="311"/>
      <c r="K68" s="311"/>
      <c r="L68" s="311"/>
      <c r="M68" s="311"/>
      <c r="N68" s="311"/>
      <c r="O68" s="19"/>
    </row>
    <row r="69" spans="1:17" ht="11.25" customHeight="1" x14ac:dyDescent="0.2">
      <c r="A69" s="129" t="s">
        <v>118</v>
      </c>
      <c r="B69" s="88" t="s">
        <v>23</v>
      </c>
      <c r="H69" s="329"/>
      <c r="I69" s="311"/>
      <c r="J69" s="311"/>
      <c r="K69" s="311"/>
      <c r="L69" s="311"/>
      <c r="M69" s="311"/>
      <c r="N69" s="311"/>
      <c r="O69" s="19"/>
    </row>
    <row r="70" spans="1:17" ht="11.25" customHeight="1" x14ac:dyDescent="0.2">
      <c r="A70" s="129" t="s">
        <v>119</v>
      </c>
      <c r="B70" s="88" t="s">
        <v>120</v>
      </c>
      <c r="G70" s="97" t="s">
        <v>31</v>
      </c>
      <c r="H70" s="308">
        <f>0.95*S6</f>
        <v>0</v>
      </c>
      <c r="I70" s="323">
        <f>VLOOKUP(A70,'[1]TAB OGU JUN18'!$A:$G,6,"falso")</f>
        <v>14.81</v>
      </c>
      <c r="J70" s="323">
        <f>VLOOKUP(A70,'[1]TAB OGU JUN18'!$A:$G,4,"falso")</f>
        <v>13.63</v>
      </c>
      <c r="K70" s="308">
        <f>H70*J70</f>
        <v>0</v>
      </c>
      <c r="L70" s="323">
        <f>VLOOKUP(A70,'[1]TAB OGU JUN18'!$A:$G,5,"falso")</f>
        <v>1.18</v>
      </c>
      <c r="M70" s="308">
        <f>H70*L70</f>
        <v>0</v>
      </c>
      <c r="N70" s="308">
        <f>H70*I70</f>
        <v>0</v>
      </c>
      <c r="O70" s="25" t="e">
        <f>N70/N73</f>
        <v>#DIV/0!</v>
      </c>
    </row>
    <row r="71" spans="1:17" ht="11.25" customHeight="1" x14ac:dyDescent="0.2">
      <c r="A71" s="129" t="s">
        <v>224</v>
      </c>
      <c r="B71" s="88" t="s">
        <v>225</v>
      </c>
      <c r="G71" s="97" t="s">
        <v>31</v>
      </c>
      <c r="H71" s="308">
        <f>0.05*S6</f>
        <v>0</v>
      </c>
      <c r="I71" s="323">
        <f>VLOOKUP(A71,'[1]TAB OGU JUN18'!$A:$G,6,"falso")</f>
        <v>23.06</v>
      </c>
      <c r="J71" s="323">
        <f>VLOOKUP(A71,'[1]TAB OGU JUN18'!$A:$G,4,"falso")</f>
        <v>22.37</v>
      </c>
      <c r="K71" s="308">
        <f>H71*J71</f>
        <v>0</v>
      </c>
      <c r="L71" s="323">
        <f>VLOOKUP(A71,'[1]TAB OGU JUN18'!$A:$G,5,"falso")-0.01</f>
        <v>0.67999999999999994</v>
      </c>
      <c r="M71" s="308">
        <f>H71*L71</f>
        <v>0</v>
      </c>
      <c r="N71" s="308">
        <f>H71*I71</f>
        <v>0</v>
      </c>
      <c r="O71" s="25" t="e">
        <f>N71/N73</f>
        <v>#DIV/0!</v>
      </c>
    </row>
    <row r="72" spans="1:17" ht="11.25" customHeight="1" x14ac:dyDescent="0.2">
      <c r="B72" s="130"/>
      <c r="G72" s="52"/>
      <c r="H72" s="324"/>
      <c r="I72" s="313"/>
      <c r="J72" s="313"/>
      <c r="K72" s="313"/>
      <c r="L72" s="313"/>
      <c r="M72" s="313"/>
      <c r="N72" s="308"/>
      <c r="O72" s="25"/>
    </row>
    <row r="73" spans="1:17" ht="11.25" customHeight="1" x14ac:dyDescent="0.2">
      <c r="B73" s="130" t="s">
        <v>18</v>
      </c>
      <c r="C73" s="131"/>
      <c r="D73" s="131"/>
      <c r="E73" s="131"/>
      <c r="F73" s="131"/>
      <c r="G73" s="53"/>
      <c r="H73" s="325"/>
      <c r="I73" s="326"/>
      <c r="J73" s="326"/>
      <c r="K73" s="326"/>
      <c r="L73" s="326"/>
      <c r="M73" s="326"/>
      <c r="N73" s="308">
        <f>N70+N71</f>
        <v>0</v>
      </c>
      <c r="O73" s="25" t="e">
        <f>N73/N80</f>
        <v>#DIV/0!</v>
      </c>
    </row>
    <row r="74" spans="1:17" ht="12.75" hidden="1" x14ac:dyDescent="0.2">
      <c r="B74" s="130"/>
      <c r="G74" s="52"/>
      <c r="H74" s="324"/>
      <c r="I74" s="324"/>
      <c r="J74" s="313"/>
      <c r="K74" s="313"/>
      <c r="L74" s="313"/>
      <c r="M74" s="313"/>
      <c r="N74" s="308"/>
      <c r="O74" s="25"/>
      <c r="Q74" s="311"/>
    </row>
    <row r="75" spans="1:17" ht="12.75" hidden="1" x14ac:dyDescent="0.2">
      <c r="A75" s="129" t="s">
        <v>304</v>
      </c>
      <c r="B75" s="88" t="s">
        <v>305</v>
      </c>
      <c r="H75" s="329"/>
      <c r="I75" s="329"/>
      <c r="J75" s="311"/>
      <c r="K75" s="311"/>
      <c r="L75" s="311"/>
      <c r="M75" s="311"/>
      <c r="N75" s="311"/>
      <c r="O75" s="19"/>
      <c r="Q75" s="311"/>
    </row>
    <row r="76" spans="1:17" ht="12.75" hidden="1" x14ac:dyDescent="0.2">
      <c r="A76" s="129" t="s">
        <v>306</v>
      </c>
      <c r="B76" s="88" t="s">
        <v>307</v>
      </c>
      <c r="G76" s="97" t="s">
        <v>31</v>
      </c>
      <c r="H76" s="308"/>
      <c r="I76" s="323">
        <f>VLOOKUP(A76,'[1]TAB OGU JUN18'!$A:$G,6,"falso")</f>
        <v>144.25</v>
      </c>
      <c r="J76" s="323">
        <f>VLOOKUP(A76,'[1]TAB OGU JUN18'!$A:$G,4,"falso")</f>
        <v>134.15</v>
      </c>
      <c r="K76" s="308">
        <f>H76*J76</f>
        <v>0</v>
      </c>
      <c r="L76" s="323">
        <f>VLOOKUP(A76,'[1]TAB OGU JUN18'!$A:$G,5,"falso")</f>
        <v>10.1</v>
      </c>
      <c r="M76" s="308">
        <f>H76*L76</f>
        <v>0</v>
      </c>
      <c r="N76" s="308">
        <f>H76*I76</f>
        <v>0</v>
      </c>
      <c r="O76" s="25" t="e">
        <f>N76/N78</f>
        <v>#DIV/0!</v>
      </c>
      <c r="Q76" s="311"/>
    </row>
    <row r="77" spans="1:17" ht="12.75" hidden="1" x14ac:dyDescent="0.2">
      <c r="B77" s="130"/>
      <c r="G77" s="52"/>
      <c r="H77" s="324"/>
      <c r="I77" s="324"/>
      <c r="J77" s="313"/>
      <c r="K77" s="313"/>
      <c r="L77" s="313"/>
      <c r="M77" s="313"/>
      <c r="N77" s="308"/>
      <c r="O77" s="25"/>
      <c r="Q77" s="311"/>
    </row>
    <row r="78" spans="1:17" ht="12.75" hidden="1" x14ac:dyDescent="0.2">
      <c r="B78" s="130" t="s">
        <v>18</v>
      </c>
      <c r="C78" s="131"/>
      <c r="D78" s="131"/>
      <c r="E78" s="131"/>
      <c r="F78" s="131"/>
      <c r="G78" s="53"/>
      <c r="H78" s="325"/>
      <c r="I78" s="325"/>
      <c r="J78" s="326"/>
      <c r="K78" s="326"/>
      <c r="L78" s="326"/>
      <c r="M78" s="326"/>
      <c r="N78" s="308">
        <f>N76</f>
        <v>0</v>
      </c>
      <c r="O78" s="25" t="e">
        <f>N78/N80</f>
        <v>#DIV/0!</v>
      </c>
      <c r="Q78" s="311"/>
    </row>
    <row r="79" spans="1:17" ht="11.25" customHeight="1" x14ac:dyDescent="0.2">
      <c r="B79" s="130"/>
      <c r="G79" s="52"/>
      <c r="H79" s="324"/>
      <c r="I79" s="313"/>
      <c r="J79" s="313"/>
      <c r="K79" s="313"/>
      <c r="L79" s="313"/>
      <c r="M79" s="313"/>
      <c r="N79" s="308"/>
      <c r="O79" s="25"/>
    </row>
    <row r="80" spans="1:17" s="132" customFormat="1" ht="11.25" customHeight="1" x14ac:dyDescent="0.2">
      <c r="B80" s="133" t="s">
        <v>20</v>
      </c>
      <c r="C80" s="134"/>
      <c r="D80" s="134"/>
      <c r="E80" s="134"/>
      <c r="F80" s="134"/>
      <c r="G80" s="78"/>
      <c r="H80" s="327"/>
      <c r="I80" s="328"/>
      <c r="J80" s="328"/>
      <c r="K80" s="328"/>
      <c r="L80" s="328"/>
      <c r="M80" s="328"/>
      <c r="N80" s="310">
        <f>N73+N78</f>
        <v>0</v>
      </c>
      <c r="O80" s="77" t="e">
        <f>N80/N118</f>
        <v>#DIV/0!</v>
      </c>
    </row>
    <row r="81" spans="1:17" ht="11.25" customHeight="1" x14ac:dyDescent="0.2">
      <c r="B81" s="130"/>
      <c r="G81" s="52"/>
      <c r="H81" s="324"/>
      <c r="I81" s="313"/>
      <c r="J81" s="313"/>
      <c r="K81" s="313"/>
      <c r="L81" s="313"/>
      <c r="M81" s="313"/>
      <c r="N81" s="308"/>
      <c r="O81" s="25"/>
    </row>
    <row r="82" spans="1:17" ht="11.25" customHeight="1" x14ac:dyDescent="0.2">
      <c r="A82" s="129" t="s">
        <v>124</v>
      </c>
      <c r="B82" s="88" t="s">
        <v>121</v>
      </c>
      <c r="H82" s="329"/>
      <c r="I82" s="311"/>
      <c r="J82" s="311"/>
      <c r="K82" s="311"/>
      <c r="L82" s="311"/>
      <c r="M82" s="311"/>
      <c r="N82" s="311"/>
      <c r="O82" s="19"/>
    </row>
    <row r="83" spans="1:17" ht="11.25" customHeight="1" x14ac:dyDescent="0.2">
      <c r="A83" s="129" t="s">
        <v>125</v>
      </c>
      <c r="B83" s="88" t="s">
        <v>122</v>
      </c>
      <c r="H83" s="329"/>
      <c r="I83" s="311"/>
      <c r="J83" s="311"/>
      <c r="K83" s="311"/>
      <c r="L83" s="311"/>
      <c r="M83" s="311"/>
      <c r="N83" s="311"/>
      <c r="O83" s="19"/>
    </row>
    <row r="84" spans="1:17" ht="11.25" customHeight="1" x14ac:dyDescent="0.2">
      <c r="A84" s="129" t="s">
        <v>126</v>
      </c>
      <c r="B84" s="88" t="s">
        <v>189</v>
      </c>
      <c r="G84" s="97" t="s">
        <v>123</v>
      </c>
      <c r="H84" s="308">
        <f>((H14*R6*Q6)*0.06*1000)/20000</f>
        <v>0</v>
      </c>
      <c r="I84" s="323">
        <f>VLOOKUP(A84,'[1]TAB OGU JUN18'!$A:$G,6,"falso")</f>
        <v>5.52</v>
      </c>
      <c r="J84" s="323">
        <f>VLOOKUP(A84,'[1]TAB OGU JUN18'!$A:$G,4,"falso")</f>
        <v>5.52</v>
      </c>
      <c r="K84" s="308">
        <f>H84*J84</f>
        <v>0</v>
      </c>
      <c r="L84" s="323">
        <f>VLOOKUP(A84,'[1]TAB OGU JUN18'!$A:$G,5,"falso")</f>
        <v>0</v>
      </c>
      <c r="M84" s="308"/>
      <c r="N84" s="308">
        <f>H84*I84</f>
        <v>0</v>
      </c>
      <c r="O84" s="25" t="e">
        <f>N84/N86</f>
        <v>#DIV/0!</v>
      </c>
    </row>
    <row r="85" spans="1:17" ht="11.25" customHeight="1" x14ac:dyDescent="0.2">
      <c r="B85" s="130"/>
      <c r="G85" s="52"/>
      <c r="H85" s="324"/>
      <c r="I85" s="313"/>
      <c r="J85" s="313"/>
      <c r="K85" s="313"/>
      <c r="L85" s="313"/>
      <c r="M85" s="313"/>
      <c r="N85" s="308"/>
      <c r="O85" s="25"/>
    </row>
    <row r="86" spans="1:17" ht="11.25" customHeight="1" x14ac:dyDescent="0.2">
      <c r="B86" s="130" t="s">
        <v>18</v>
      </c>
      <c r="C86" s="131"/>
      <c r="D86" s="131"/>
      <c r="E86" s="131"/>
      <c r="F86" s="131"/>
      <c r="G86" s="53"/>
      <c r="H86" s="325"/>
      <c r="I86" s="326"/>
      <c r="J86" s="326"/>
      <c r="K86" s="326"/>
      <c r="L86" s="326"/>
      <c r="M86" s="326"/>
      <c r="N86" s="308">
        <f>N84</f>
        <v>0</v>
      </c>
      <c r="O86" s="25" t="e">
        <f>N86/N88</f>
        <v>#DIV/0!</v>
      </c>
    </row>
    <row r="87" spans="1:17" ht="11.25" customHeight="1" x14ac:dyDescent="0.2">
      <c r="B87" s="130"/>
      <c r="G87" s="52"/>
      <c r="H87" s="324"/>
      <c r="I87" s="313"/>
      <c r="J87" s="313"/>
      <c r="K87" s="313"/>
      <c r="L87" s="313"/>
      <c r="M87" s="313"/>
      <c r="N87" s="308"/>
      <c r="O87" s="25"/>
    </row>
    <row r="88" spans="1:17" s="132" customFormat="1" ht="11.25" customHeight="1" x14ac:dyDescent="0.2">
      <c r="B88" s="133" t="s">
        <v>20</v>
      </c>
      <c r="C88" s="134"/>
      <c r="D88" s="134"/>
      <c r="E88" s="134"/>
      <c r="F88" s="134"/>
      <c r="G88" s="78"/>
      <c r="H88" s="327"/>
      <c r="I88" s="328"/>
      <c r="J88" s="328"/>
      <c r="K88" s="328"/>
      <c r="L88" s="328"/>
      <c r="M88" s="328"/>
      <c r="N88" s="310">
        <f>N86</f>
        <v>0</v>
      </c>
      <c r="O88" s="77" t="e">
        <f>N88/N118</f>
        <v>#DIV/0!</v>
      </c>
    </row>
    <row r="89" spans="1:17" ht="11.25" customHeight="1" x14ac:dyDescent="0.2">
      <c r="B89" s="130"/>
      <c r="G89" s="52"/>
      <c r="H89" s="324"/>
      <c r="I89" s="313"/>
      <c r="J89" s="313"/>
      <c r="K89" s="313"/>
      <c r="L89" s="313"/>
      <c r="M89" s="313"/>
      <c r="N89" s="308"/>
      <c r="O89" s="25"/>
    </row>
    <row r="90" spans="1:17" ht="11.25" customHeight="1" x14ac:dyDescent="0.2">
      <c r="A90" s="129" t="s">
        <v>127</v>
      </c>
      <c r="B90" s="88" t="s">
        <v>130</v>
      </c>
      <c r="H90" s="329"/>
      <c r="I90" s="311"/>
      <c r="J90" s="311"/>
      <c r="K90" s="311"/>
      <c r="L90" s="311"/>
      <c r="M90" s="311"/>
      <c r="N90" s="311"/>
      <c r="O90" s="19"/>
    </row>
    <row r="91" spans="1:17" ht="11.25" customHeight="1" x14ac:dyDescent="0.2">
      <c r="A91" s="129" t="s">
        <v>128</v>
      </c>
      <c r="B91" s="88" t="s">
        <v>131</v>
      </c>
      <c r="H91" s="329"/>
      <c r="I91" s="311"/>
      <c r="J91" s="311"/>
      <c r="K91" s="311"/>
      <c r="L91" s="311"/>
      <c r="M91" s="311"/>
      <c r="N91" s="311"/>
      <c r="O91" s="19"/>
    </row>
    <row r="92" spans="1:17" ht="11.25" customHeight="1" x14ac:dyDescent="0.2">
      <c r="A92" s="129" t="s">
        <v>129</v>
      </c>
      <c r="B92" s="88" t="s">
        <v>132</v>
      </c>
      <c r="G92" s="97" t="s">
        <v>17</v>
      </c>
      <c r="H92" s="308">
        <f>H14-H93</f>
        <v>0</v>
      </c>
      <c r="I92" s="323">
        <f>VLOOKUP(A92,'[1]TAB OGU JUN18'!$A:$G,6,"falso")</f>
        <v>2.64</v>
      </c>
      <c r="J92" s="323">
        <f>VLOOKUP(A92,'[1]TAB OGU JUN18'!$A:$G,4,"falso")</f>
        <v>2.56</v>
      </c>
      <c r="K92" s="308">
        <f>H92*J92</f>
        <v>0</v>
      </c>
      <c r="L92" s="323">
        <f>VLOOKUP(A92,'[1]TAB OGU JUN18'!$A:$G,5,"falso")</f>
        <v>0.08</v>
      </c>
      <c r="M92" s="308">
        <f>H92*L92</f>
        <v>0</v>
      </c>
      <c r="N92" s="308">
        <f>H92*I92</f>
        <v>0</v>
      </c>
      <c r="O92" s="25" t="e">
        <f>N92/$N$95</f>
        <v>#DIV/0!</v>
      </c>
    </row>
    <row r="93" spans="1:17" ht="12.75" x14ac:dyDescent="0.2">
      <c r="A93" s="129" t="s">
        <v>207</v>
      </c>
      <c r="B93" s="88" t="s">
        <v>206</v>
      </c>
      <c r="G93" s="97" t="s">
        <v>17</v>
      </c>
      <c r="H93" s="308">
        <v>0</v>
      </c>
      <c r="I93" s="323">
        <f>VLOOKUP(A93,'[1]TAB OGU JUN18'!$A:$G,6,"falso")</f>
        <v>3.14</v>
      </c>
      <c r="J93" s="323">
        <f>VLOOKUP(A93,'[1]TAB OGU JUN18'!$A:$G,4,"falso")</f>
        <v>3.01</v>
      </c>
      <c r="K93" s="308">
        <f>H93*J93</f>
        <v>0</v>
      </c>
      <c r="L93" s="323">
        <f>VLOOKUP(A93,'[1]TAB OGU JUN18'!$A:$G,5,"falso")</f>
        <v>0.13</v>
      </c>
      <c r="M93" s="308">
        <f>H93*L93</f>
        <v>0</v>
      </c>
      <c r="N93" s="308">
        <f>H93*I93</f>
        <v>0</v>
      </c>
      <c r="O93" s="25" t="e">
        <f>N93/$N$95</f>
        <v>#DIV/0!</v>
      </c>
      <c r="Q93" s="311"/>
    </row>
    <row r="94" spans="1:17" ht="11.25" customHeight="1" x14ac:dyDescent="0.2">
      <c r="B94" s="130"/>
      <c r="G94" s="52"/>
      <c r="H94" s="324"/>
      <c r="I94" s="313"/>
      <c r="J94" s="313"/>
      <c r="K94" s="313"/>
      <c r="L94" s="313"/>
      <c r="M94" s="313"/>
      <c r="N94" s="308"/>
      <c r="O94" s="25"/>
    </row>
    <row r="95" spans="1:17" ht="11.25" customHeight="1" x14ac:dyDescent="0.2">
      <c r="B95" s="130" t="s">
        <v>18</v>
      </c>
      <c r="C95" s="131"/>
      <c r="D95" s="131"/>
      <c r="E95" s="131"/>
      <c r="F95" s="131"/>
      <c r="G95" s="53"/>
      <c r="H95" s="325"/>
      <c r="I95" s="326"/>
      <c r="J95" s="326"/>
      <c r="K95" s="326"/>
      <c r="L95" s="326"/>
      <c r="M95" s="326"/>
      <c r="N95" s="308">
        <f>SUM(N92:N93)</f>
        <v>0</v>
      </c>
      <c r="O95" s="25" t="e">
        <f>N95/N108</f>
        <v>#DIV/0!</v>
      </c>
    </row>
    <row r="96" spans="1:17" ht="11.25" customHeight="1" x14ac:dyDescent="0.2">
      <c r="B96" s="130"/>
      <c r="G96" s="52"/>
      <c r="H96" s="324"/>
      <c r="I96" s="313"/>
      <c r="J96" s="313"/>
      <c r="K96" s="313"/>
      <c r="L96" s="313"/>
      <c r="M96" s="313"/>
      <c r="N96" s="308"/>
      <c r="O96" s="25"/>
    </row>
    <row r="97" spans="1:15" ht="11.25" customHeight="1" x14ac:dyDescent="0.2">
      <c r="A97" s="98" t="s">
        <v>139</v>
      </c>
      <c r="B97" s="88" t="s">
        <v>142</v>
      </c>
      <c r="G97" s="97"/>
      <c r="H97" s="308"/>
      <c r="I97" s="308"/>
      <c r="J97" s="308"/>
      <c r="K97" s="308"/>
      <c r="L97" s="308"/>
      <c r="M97" s="308"/>
      <c r="N97" s="308"/>
      <c r="O97" s="25"/>
    </row>
    <row r="98" spans="1:15" ht="11.25" customHeight="1" x14ac:dyDescent="0.2">
      <c r="A98" s="98" t="s">
        <v>140</v>
      </c>
      <c r="B98" s="88" t="s">
        <v>143</v>
      </c>
      <c r="G98" s="97" t="s">
        <v>24</v>
      </c>
      <c r="H98" s="308">
        <f>U6</f>
        <v>0</v>
      </c>
      <c r="I98" s="323">
        <f>VLOOKUP(A98,'[1]TAB OGU JUN18'!$A:$G,6,"falso")</f>
        <v>466.82</v>
      </c>
      <c r="J98" s="323">
        <f>VLOOKUP(A98,'[1]TAB OGU JUN18'!$A:$G,4,"falso")</f>
        <v>143.97</v>
      </c>
      <c r="K98" s="308">
        <f>H98*J98</f>
        <v>0</v>
      </c>
      <c r="L98" s="323">
        <f>VLOOKUP(A98,'[1]TAB OGU JUN18'!$A:$G,5,"falso")</f>
        <v>322.85000000000002</v>
      </c>
      <c r="M98" s="308">
        <f>H98*L98</f>
        <v>0</v>
      </c>
      <c r="N98" s="308">
        <f>H98*I98</f>
        <v>0</v>
      </c>
      <c r="O98" s="25" t="e">
        <f>N98/N101</f>
        <v>#DIV/0!</v>
      </c>
    </row>
    <row r="99" spans="1:15" ht="11.25" customHeight="1" x14ac:dyDescent="0.2">
      <c r="A99" s="98" t="s">
        <v>141</v>
      </c>
      <c r="B99" s="88" t="s">
        <v>144</v>
      </c>
      <c r="G99" s="97" t="s">
        <v>17</v>
      </c>
      <c r="H99" s="308">
        <f>(Q6-1.1)*H98</f>
        <v>0</v>
      </c>
      <c r="I99" s="323">
        <f>VLOOKUP(A99,'[1]TAB OGU JUN18'!$A:$G,6,"falso")</f>
        <v>252.88</v>
      </c>
      <c r="J99" s="323">
        <f>VLOOKUP(A99,'[1]TAB OGU JUN18'!$A:$G,4,"falso")</f>
        <v>47.83</v>
      </c>
      <c r="K99" s="308">
        <f>H99*J99</f>
        <v>0</v>
      </c>
      <c r="L99" s="323">
        <f>VLOOKUP(A99,'[1]TAB OGU JUN18'!$A:$G,5,"falso")</f>
        <v>205.05</v>
      </c>
      <c r="M99" s="308">
        <f>H99*L99</f>
        <v>0</v>
      </c>
      <c r="N99" s="308">
        <f>H99*I99</f>
        <v>0</v>
      </c>
      <c r="O99" s="25" t="e">
        <f>N99/N101</f>
        <v>#DIV/0!</v>
      </c>
    </row>
    <row r="100" spans="1:15" ht="11.25" customHeight="1" x14ac:dyDescent="0.2">
      <c r="B100" s="130"/>
      <c r="G100" s="52"/>
      <c r="H100" s="324"/>
      <c r="I100" s="313"/>
      <c r="J100" s="313"/>
      <c r="K100" s="313"/>
      <c r="L100" s="313"/>
      <c r="M100" s="313"/>
      <c r="N100" s="308"/>
      <c r="O100" s="25"/>
    </row>
    <row r="101" spans="1:15" ht="11.25" customHeight="1" x14ac:dyDescent="0.2">
      <c r="B101" s="130" t="s">
        <v>18</v>
      </c>
      <c r="C101" s="131"/>
      <c r="D101" s="131"/>
      <c r="E101" s="131"/>
      <c r="F101" s="131"/>
      <c r="G101" s="53"/>
      <c r="H101" s="325"/>
      <c r="I101" s="326"/>
      <c r="J101" s="326"/>
      <c r="K101" s="326"/>
      <c r="L101" s="326"/>
      <c r="M101" s="326"/>
      <c r="N101" s="308">
        <f>N99+N98</f>
        <v>0</v>
      </c>
      <c r="O101" s="25" t="e">
        <f>N101/N108</f>
        <v>#DIV/0!</v>
      </c>
    </row>
    <row r="102" spans="1:15" ht="11.25" customHeight="1" x14ac:dyDescent="0.2">
      <c r="B102" s="130"/>
      <c r="G102" s="52"/>
      <c r="H102" s="324"/>
      <c r="I102" s="313"/>
      <c r="J102" s="313"/>
      <c r="K102" s="313"/>
      <c r="L102" s="313"/>
      <c r="M102" s="313"/>
      <c r="N102" s="308"/>
      <c r="O102" s="25"/>
    </row>
    <row r="103" spans="1:15" ht="11.25" customHeight="1" x14ac:dyDescent="0.2">
      <c r="A103" s="129" t="s">
        <v>145</v>
      </c>
      <c r="B103" s="88" t="s">
        <v>26</v>
      </c>
      <c r="H103" s="329"/>
      <c r="I103" s="311"/>
      <c r="J103" s="311"/>
      <c r="K103" s="311"/>
      <c r="L103" s="311"/>
      <c r="M103" s="311"/>
      <c r="N103" s="311"/>
      <c r="O103" s="19"/>
    </row>
    <row r="104" spans="1:15" ht="11.25" customHeight="1" x14ac:dyDescent="0.2">
      <c r="A104" s="129" t="s">
        <v>146</v>
      </c>
      <c r="B104" s="88" t="s">
        <v>147</v>
      </c>
      <c r="G104" s="97" t="s">
        <v>32</v>
      </c>
      <c r="H104" s="308">
        <f>H14*R6*0.1</f>
        <v>0</v>
      </c>
      <c r="I104" s="323">
        <f>VLOOKUP(A104,'[1]TAB OGU JUN18'!$A:$G,6,"falso")</f>
        <v>157.99</v>
      </c>
      <c r="J104" s="323">
        <f>VLOOKUP(A104,'[1]TAB OGU JUN18'!$A:$G,4,"falso")</f>
        <v>39.5</v>
      </c>
      <c r="K104" s="308">
        <f>H104*J104</f>
        <v>0</v>
      </c>
      <c r="L104" s="323">
        <f>VLOOKUP(A104,'[1]TAB OGU JUN18'!$A:$G,5,"falso")</f>
        <v>118.49</v>
      </c>
      <c r="M104" s="308">
        <f>H104*L104</f>
        <v>0</v>
      </c>
      <c r="N104" s="308">
        <f>H104*I104</f>
        <v>0</v>
      </c>
      <c r="O104" s="25" t="e">
        <f>N104/N106</f>
        <v>#DIV/0!</v>
      </c>
    </row>
    <row r="105" spans="1:15" ht="11.25" customHeight="1" x14ac:dyDescent="0.2">
      <c r="B105" s="130"/>
      <c r="G105" s="52"/>
      <c r="H105" s="324"/>
      <c r="I105" s="313"/>
      <c r="J105" s="313"/>
      <c r="K105" s="313"/>
      <c r="L105" s="313"/>
      <c r="M105" s="313"/>
      <c r="N105" s="308"/>
      <c r="O105" s="25"/>
    </row>
    <row r="106" spans="1:15" ht="11.25" customHeight="1" x14ac:dyDescent="0.2">
      <c r="B106" s="130" t="s">
        <v>18</v>
      </c>
      <c r="C106" s="131"/>
      <c r="D106" s="131"/>
      <c r="E106" s="131"/>
      <c r="F106" s="131"/>
      <c r="G106" s="53"/>
      <c r="H106" s="325"/>
      <c r="I106" s="326"/>
      <c r="J106" s="326"/>
      <c r="K106" s="326"/>
      <c r="L106" s="326"/>
      <c r="M106" s="326"/>
      <c r="N106" s="308">
        <f>N104</f>
        <v>0</v>
      </c>
      <c r="O106" s="25" t="e">
        <f>N106/N108</f>
        <v>#DIV/0!</v>
      </c>
    </row>
    <row r="107" spans="1:15" ht="11.25" customHeight="1" x14ac:dyDescent="0.2">
      <c r="B107" s="130"/>
      <c r="G107" s="52"/>
      <c r="H107" s="324"/>
      <c r="I107" s="313"/>
      <c r="J107" s="313"/>
      <c r="K107" s="313"/>
      <c r="L107" s="313"/>
      <c r="M107" s="313"/>
      <c r="N107" s="308"/>
      <c r="O107" s="25"/>
    </row>
    <row r="108" spans="1:15" s="132" customFormat="1" ht="11.25" customHeight="1" x14ac:dyDescent="0.2">
      <c r="B108" s="133" t="s">
        <v>20</v>
      </c>
      <c r="C108" s="134"/>
      <c r="D108" s="134"/>
      <c r="E108" s="134"/>
      <c r="F108" s="134"/>
      <c r="G108" s="78"/>
      <c r="H108" s="327"/>
      <c r="I108" s="328"/>
      <c r="J108" s="328"/>
      <c r="K108" s="328"/>
      <c r="L108" s="328"/>
      <c r="M108" s="328"/>
      <c r="N108" s="310">
        <f>N106+N101+N95</f>
        <v>0</v>
      </c>
      <c r="O108" s="77" t="e">
        <f>N108/N118</f>
        <v>#DIV/0!</v>
      </c>
    </row>
    <row r="109" spans="1:15" ht="11.25" customHeight="1" x14ac:dyDescent="0.2">
      <c r="B109" s="130"/>
      <c r="G109" s="52"/>
      <c r="H109" s="324"/>
      <c r="I109" s="313"/>
      <c r="J109" s="313"/>
      <c r="K109" s="313"/>
      <c r="L109" s="313"/>
      <c r="M109" s="313"/>
      <c r="N109" s="308"/>
      <c r="O109" s="25"/>
    </row>
    <row r="110" spans="1:15" ht="11.25" customHeight="1" x14ac:dyDescent="0.2">
      <c r="A110" s="98" t="s">
        <v>169</v>
      </c>
      <c r="B110" s="88" t="s">
        <v>172</v>
      </c>
      <c r="G110" s="97"/>
      <c r="H110" s="308"/>
      <c r="I110" s="308"/>
      <c r="J110" s="308"/>
      <c r="K110" s="308"/>
      <c r="L110" s="308"/>
      <c r="M110" s="308"/>
      <c r="N110" s="308"/>
      <c r="O110" s="25"/>
    </row>
    <row r="111" spans="1:15" ht="11.25" customHeight="1" x14ac:dyDescent="0.2">
      <c r="A111" s="98" t="s">
        <v>170</v>
      </c>
      <c r="B111" s="88" t="s">
        <v>173</v>
      </c>
      <c r="G111" s="97"/>
      <c r="H111" s="308"/>
      <c r="I111" s="308"/>
      <c r="J111" s="308"/>
      <c r="K111" s="308"/>
      <c r="L111" s="308"/>
      <c r="M111" s="308"/>
      <c r="N111" s="308"/>
      <c r="O111" s="25"/>
    </row>
    <row r="112" spans="1:15" ht="11.25" customHeight="1" x14ac:dyDescent="0.2">
      <c r="A112" s="98" t="s">
        <v>171</v>
      </c>
      <c r="B112" s="88" t="s">
        <v>174</v>
      </c>
      <c r="G112" s="97" t="s">
        <v>17</v>
      </c>
      <c r="H112" s="308">
        <f>H14</f>
        <v>0</v>
      </c>
      <c r="I112" s="323">
        <f>VLOOKUP(A112,'[1]TAB OGU JUN18'!$A:$G,6,"falso")</f>
        <v>1.31</v>
      </c>
      <c r="J112" s="323">
        <f>VLOOKUP(A112,'[1]TAB OGU JUN18'!$A:$G,4,"falso")</f>
        <v>1.1399999999999999</v>
      </c>
      <c r="K112" s="308">
        <f>H112*J112</f>
        <v>0</v>
      </c>
      <c r="L112" s="323">
        <f>VLOOKUP(A112,'[1]TAB OGU JUN18'!$A:$G,5,"falso")</f>
        <v>0.17</v>
      </c>
      <c r="M112" s="308">
        <f>H112*L112</f>
        <v>0</v>
      </c>
      <c r="N112" s="308">
        <f>H112*I112</f>
        <v>0</v>
      </c>
      <c r="O112" s="25" t="e">
        <f>N112/N114</f>
        <v>#DIV/0!</v>
      </c>
    </row>
    <row r="113" spans="1:16" ht="11.25" customHeight="1" x14ac:dyDescent="0.2">
      <c r="B113" s="130"/>
      <c r="G113" s="52"/>
      <c r="H113" s="324"/>
      <c r="I113" s="313"/>
      <c r="J113" s="313"/>
      <c r="K113" s="313"/>
      <c r="L113" s="313"/>
      <c r="M113" s="313"/>
      <c r="N113" s="308"/>
      <c r="O113" s="25"/>
    </row>
    <row r="114" spans="1:16" ht="11.25" customHeight="1" x14ac:dyDescent="0.2">
      <c r="B114" s="130" t="s">
        <v>18</v>
      </c>
      <c r="C114" s="131"/>
      <c r="D114" s="131"/>
      <c r="E114" s="131"/>
      <c r="F114" s="131"/>
      <c r="G114" s="53"/>
      <c r="H114" s="325"/>
      <c r="I114" s="326"/>
      <c r="J114" s="326"/>
      <c r="K114" s="326"/>
      <c r="L114" s="326"/>
      <c r="M114" s="326"/>
      <c r="N114" s="308">
        <f>N112</f>
        <v>0</v>
      </c>
      <c r="O114" s="25" t="e">
        <f>N114/N116</f>
        <v>#DIV/0!</v>
      </c>
    </row>
    <row r="115" spans="1:16" ht="11.25" customHeight="1" x14ac:dyDescent="0.2">
      <c r="A115" s="98"/>
      <c r="B115" s="88"/>
      <c r="G115" s="97"/>
      <c r="H115" s="308"/>
      <c r="I115" s="308"/>
      <c r="J115" s="308"/>
      <c r="K115" s="308"/>
      <c r="L115" s="308"/>
      <c r="M115" s="308"/>
      <c r="N115" s="308"/>
      <c r="O115" s="25"/>
    </row>
    <row r="116" spans="1:16" s="132" customFormat="1" ht="11.25" customHeight="1" x14ac:dyDescent="0.2">
      <c r="A116" s="145"/>
      <c r="B116" s="133" t="s">
        <v>20</v>
      </c>
      <c r="C116" s="134"/>
      <c r="D116" s="134"/>
      <c r="E116" s="134"/>
      <c r="F116" s="134"/>
      <c r="G116" s="78"/>
      <c r="H116" s="327"/>
      <c r="I116" s="328"/>
      <c r="J116" s="328"/>
      <c r="K116" s="328"/>
      <c r="L116" s="328"/>
      <c r="M116" s="328"/>
      <c r="N116" s="310">
        <f>N114</f>
        <v>0</v>
      </c>
      <c r="O116" s="77" t="e">
        <f>N116/N118</f>
        <v>#DIV/0!</v>
      </c>
    </row>
    <row r="117" spans="1:16" ht="6.75" customHeight="1" x14ac:dyDescent="0.2">
      <c r="A117" s="98"/>
      <c r="B117" s="88"/>
      <c r="G117" s="97"/>
      <c r="H117" s="308"/>
      <c r="I117" s="308"/>
      <c r="J117" s="308"/>
      <c r="K117" s="308"/>
      <c r="L117" s="308"/>
      <c r="M117" s="308"/>
      <c r="N117" s="308"/>
      <c r="O117" s="25"/>
    </row>
    <row r="118" spans="1:16" ht="12" customHeight="1" x14ac:dyDescent="0.2">
      <c r="A118" s="146"/>
      <c r="B118" s="147" t="s">
        <v>30</v>
      </c>
      <c r="C118" s="146"/>
      <c r="D118" s="146"/>
      <c r="E118" s="146"/>
      <c r="F118" s="146"/>
      <c r="G118" s="146"/>
      <c r="H118" s="342"/>
      <c r="I118" s="345"/>
      <c r="J118" s="345"/>
      <c r="K118" s="275">
        <f>SUM(K12:K117)</f>
        <v>0</v>
      </c>
      <c r="L118" s="275"/>
      <c r="M118" s="275">
        <f>SUM(M12:M117)</f>
        <v>0</v>
      </c>
      <c r="N118" s="343">
        <f>N116+N108+N88+N80+N66+N29</f>
        <v>0</v>
      </c>
      <c r="O118" s="322"/>
      <c r="P118" s="149"/>
    </row>
    <row r="119" spans="1:16" ht="4.5" customHeight="1" x14ac:dyDescent="0.2">
      <c r="A119" s="98"/>
      <c r="B119" s="88"/>
      <c r="G119" s="97"/>
      <c r="H119" s="308"/>
      <c r="I119" s="308"/>
      <c r="J119" s="308"/>
      <c r="K119" s="308"/>
      <c r="L119" s="308"/>
      <c r="M119" s="308"/>
      <c r="N119" s="308"/>
      <c r="O119" s="25"/>
    </row>
    <row r="120" spans="1:16" ht="12" customHeight="1" x14ac:dyDescent="0.2">
      <c r="A120" s="146"/>
      <c r="B120" s="147" t="s">
        <v>265</v>
      </c>
      <c r="C120" s="146"/>
      <c r="D120" s="146"/>
      <c r="E120" s="146"/>
      <c r="F120" s="146"/>
      <c r="G120" s="146"/>
      <c r="H120" s="342"/>
      <c r="I120" s="342"/>
      <c r="J120" s="342"/>
      <c r="K120" s="274">
        <f>K118+(K118*O5)</f>
        <v>0</v>
      </c>
      <c r="L120" s="274"/>
      <c r="M120" s="275">
        <f>M118+(M118*O7)</f>
        <v>0</v>
      </c>
      <c r="N120" s="343">
        <f>K120+M120</f>
        <v>0</v>
      </c>
      <c r="O120" s="29">
        <f>N120/RESUMO!H95</f>
        <v>0</v>
      </c>
      <c r="P120" s="149"/>
    </row>
    <row r="122" spans="1:16" ht="12" customHeight="1" x14ac:dyDescent="0.2">
      <c r="M122" s="311"/>
    </row>
    <row r="125" spans="1:16" s="150" customFormat="1" ht="12" customHeight="1" x14ac:dyDescent="0.2">
      <c r="A125" s="51"/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2"/>
    </row>
    <row r="126" spans="1:16" s="150" customFormat="1" ht="12" customHeight="1" x14ac:dyDescent="0.2">
      <c r="A126" s="51"/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2"/>
    </row>
  </sheetData>
  <mergeCells count="9">
    <mergeCell ref="T4:T5"/>
    <mergeCell ref="U4:U5"/>
    <mergeCell ref="A5:B6"/>
    <mergeCell ref="A2:O2"/>
    <mergeCell ref="N4:O4"/>
    <mergeCell ref="P4:P5"/>
    <mergeCell ref="Q4:Q5"/>
    <mergeCell ref="R4:R5"/>
    <mergeCell ref="S4:S5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rowBreaks count="1" manualBreakCount="1">
    <brk id="30" max="12" man="1"/>
  </rowBreaks>
  <legacyDrawingHF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theme="6" tint="0.39997558519241921"/>
    <pageSetUpPr fitToPage="1"/>
  </sheetPr>
  <dimension ref="A1:P44"/>
  <sheetViews>
    <sheetView view="pageBreakPreview" zoomScale="90" zoomScaleNormal="90" zoomScaleSheetLayoutView="90" workbookViewId="0">
      <selection activeCell="Q51" sqref="Q51"/>
    </sheetView>
  </sheetViews>
  <sheetFormatPr defaultColWidth="11.42578125" defaultRowHeight="12" customHeight="1" x14ac:dyDescent="0.2"/>
  <cols>
    <col min="1" max="5" width="11.42578125" style="51" customWidth="1"/>
    <col min="6" max="6" width="28.5703125" style="51" customWidth="1"/>
    <col min="7" max="9" width="11.42578125" style="51" customWidth="1"/>
    <col min="10" max="10" width="11.42578125" style="51" hidden="1" customWidth="1"/>
    <col min="11" max="11" width="14.28515625" style="51" customWidth="1"/>
    <col min="12" max="12" width="6" style="51" hidden="1" customWidth="1"/>
    <col min="13" max="13" width="14.28515625" style="51" customWidth="1"/>
    <col min="14" max="14" width="17.140625" style="51" customWidth="1"/>
    <col min="15" max="15" width="11.42578125" style="52" customWidth="1"/>
    <col min="16" max="16" width="6" style="51" bestFit="1" customWidth="1"/>
    <col min="17" max="16384" width="11.42578125" style="51"/>
  </cols>
  <sheetData>
    <row r="1" spans="1:16" ht="7.5" customHeight="1" x14ac:dyDescent="0.2"/>
    <row r="2" spans="1:16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6" ht="7.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95"/>
    </row>
    <row r="4" spans="1:16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6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6" ht="12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6" ht="12" customHeight="1" x14ac:dyDescent="0.2">
      <c r="A7" s="700"/>
      <c r="B7" s="700"/>
      <c r="C7" s="260" t="s">
        <v>6</v>
      </c>
      <c r="D7" s="263" t="str">
        <f>RESUMO!A38</f>
        <v>U.C. : 09</v>
      </c>
      <c r="E7" s="258"/>
      <c r="F7" s="258"/>
      <c r="G7" s="260" t="s">
        <v>9</v>
      </c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6" ht="12" customHeight="1" thickBot="1" x14ac:dyDescent="0.25">
      <c r="A8" s="124"/>
      <c r="B8" s="125"/>
      <c r="C8" s="266" t="s">
        <v>8</v>
      </c>
      <c r="D8" s="267" t="str">
        <f>RESUMO!B38</f>
        <v>COLETOR 07</v>
      </c>
      <c r="E8" s="268"/>
      <c r="F8" s="268"/>
      <c r="G8" s="266"/>
      <c r="H8" s="123"/>
      <c r="I8" s="278"/>
      <c r="J8" s="278"/>
      <c r="K8" s="278"/>
      <c r="L8" s="278"/>
      <c r="M8" s="278"/>
      <c r="N8" s="271"/>
      <c r="O8" s="427"/>
    </row>
    <row r="9" spans="1:16" ht="12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6" ht="7.5" customHeight="1" x14ac:dyDescent="0.2">
      <c r="O10" s="19"/>
    </row>
    <row r="11" spans="1:16" ht="12" customHeight="1" x14ac:dyDescent="0.2">
      <c r="A11" s="93">
        <f>RESUMO!A43</f>
        <v>2</v>
      </c>
      <c r="B11" s="93" t="str">
        <f>RESUMO!B40</f>
        <v>COLETOR 07 - MATERIAIS</v>
      </c>
      <c r="O11" s="19"/>
    </row>
    <row r="12" spans="1:16" ht="12" customHeight="1" x14ac:dyDescent="0.2">
      <c r="A12" s="98" t="s">
        <v>266</v>
      </c>
      <c r="B12" s="88" t="s">
        <v>71</v>
      </c>
      <c r="G12" s="52"/>
      <c r="H12" s="19"/>
      <c r="I12" s="52"/>
      <c r="J12" s="52"/>
      <c r="K12" s="52"/>
      <c r="L12" s="52"/>
      <c r="M12" s="52"/>
      <c r="N12" s="52"/>
      <c r="O12" s="19"/>
    </row>
    <row r="13" spans="1:16" ht="12" customHeight="1" x14ac:dyDescent="0.2">
      <c r="A13" s="98" t="s">
        <v>279</v>
      </c>
      <c r="B13" s="88" t="s">
        <v>280</v>
      </c>
      <c r="G13" s="52"/>
      <c r="H13" s="19"/>
      <c r="I13" s="52"/>
      <c r="J13" s="52"/>
      <c r="K13" s="52"/>
      <c r="L13" s="52"/>
      <c r="M13" s="52"/>
      <c r="N13" s="52"/>
      <c r="O13" s="19"/>
    </row>
    <row r="14" spans="1:16" ht="12" customHeight="1" x14ac:dyDescent="0.2">
      <c r="A14" s="98" t="s">
        <v>282</v>
      </c>
      <c r="B14" s="88" t="s">
        <v>260</v>
      </c>
      <c r="G14" s="97" t="s">
        <v>24</v>
      </c>
      <c r="H14" s="308">
        <f>'08 - 7'!H98</f>
        <v>0</v>
      </c>
      <c r="I14" s="308">
        <v>37.840000000000003</v>
      </c>
      <c r="J14" s="308"/>
      <c r="K14" s="308"/>
      <c r="L14" s="323">
        <v>37.840000000000003</v>
      </c>
      <c r="M14" s="308">
        <f>H14*L14</f>
        <v>0</v>
      </c>
      <c r="N14" s="308">
        <f>H14*I14</f>
        <v>0</v>
      </c>
      <c r="O14" s="25" t="e">
        <f>N14/N16</f>
        <v>#DIV/0!</v>
      </c>
      <c r="P14" s="51">
        <v>13255</v>
      </c>
    </row>
    <row r="15" spans="1:16" ht="12" customHeight="1" x14ac:dyDescent="0.2">
      <c r="G15" s="52"/>
      <c r="H15" s="324"/>
      <c r="I15" s="313"/>
      <c r="J15" s="313"/>
      <c r="K15" s="313"/>
      <c r="L15" s="313"/>
      <c r="M15" s="313"/>
      <c r="N15" s="313"/>
      <c r="O15" s="19"/>
    </row>
    <row r="16" spans="1:16" ht="12" customHeight="1" x14ac:dyDescent="0.2">
      <c r="B16" s="130" t="s">
        <v>18</v>
      </c>
      <c r="C16" s="131"/>
      <c r="D16" s="131"/>
      <c r="E16" s="131"/>
      <c r="F16" s="131"/>
      <c r="G16" s="53"/>
      <c r="H16" s="325"/>
      <c r="I16" s="326"/>
      <c r="J16" s="326"/>
      <c r="K16" s="326"/>
      <c r="L16" s="326"/>
      <c r="M16" s="326"/>
      <c r="N16" s="308">
        <f>N14</f>
        <v>0</v>
      </c>
      <c r="O16" s="25" t="e">
        <f>N16/N18</f>
        <v>#DIV/0!</v>
      </c>
    </row>
    <row r="17" spans="1:16" ht="12" customHeight="1" x14ac:dyDescent="0.2">
      <c r="B17" s="130"/>
      <c r="G17" s="52"/>
      <c r="H17" s="324"/>
      <c r="I17" s="313"/>
      <c r="J17" s="313"/>
      <c r="K17" s="313"/>
      <c r="L17" s="313"/>
      <c r="M17" s="313"/>
      <c r="N17" s="308"/>
      <c r="O17" s="25"/>
    </row>
    <row r="18" spans="1:16" s="132" customFormat="1" ht="12" customHeight="1" x14ac:dyDescent="0.2">
      <c r="B18" s="133" t="s">
        <v>20</v>
      </c>
      <c r="C18" s="134"/>
      <c r="D18" s="134"/>
      <c r="E18" s="134"/>
      <c r="F18" s="134"/>
      <c r="G18" s="78"/>
      <c r="H18" s="327"/>
      <c r="I18" s="328"/>
      <c r="J18" s="328"/>
      <c r="K18" s="328"/>
      <c r="L18" s="328"/>
      <c r="M18" s="328"/>
      <c r="N18" s="310">
        <f>N16</f>
        <v>0</v>
      </c>
      <c r="O18" s="77" t="e">
        <f>N18/N29</f>
        <v>#DIV/0!</v>
      </c>
    </row>
    <row r="19" spans="1:16" ht="12" customHeight="1" x14ac:dyDescent="0.2">
      <c r="G19" s="52"/>
      <c r="H19" s="324"/>
      <c r="I19" s="313"/>
      <c r="J19" s="313"/>
      <c r="K19" s="313"/>
      <c r="L19" s="313"/>
      <c r="M19" s="313"/>
      <c r="N19" s="313"/>
      <c r="O19" s="19"/>
    </row>
    <row r="20" spans="1:16" ht="12" customHeight="1" x14ac:dyDescent="0.2">
      <c r="A20" s="98" t="s">
        <v>270</v>
      </c>
      <c r="B20" s="88" t="s">
        <v>29</v>
      </c>
      <c r="G20" s="52"/>
      <c r="H20" s="324"/>
      <c r="I20" s="313"/>
      <c r="J20" s="313"/>
      <c r="K20" s="313"/>
      <c r="L20" s="313"/>
      <c r="M20" s="313"/>
      <c r="N20" s="313"/>
      <c r="O20" s="19"/>
    </row>
    <row r="21" spans="1:16" ht="12" customHeight="1" x14ac:dyDescent="0.2">
      <c r="A21" s="98" t="s">
        <v>275</v>
      </c>
      <c r="B21" s="88" t="s">
        <v>36</v>
      </c>
      <c r="G21" s="52"/>
      <c r="H21" s="324"/>
      <c r="I21" s="313"/>
      <c r="J21" s="313"/>
      <c r="K21" s="313"/>
      <c r="L21" s="313"/>
      <c r="M21" s="313"/>
      <c r="N21" s="313"/>
      <c r="O21" s="19"/>
    </row>
    <row r="22" spans="1:16" ht="12" customHeight="1" x14ac:dyDescent="0.2">
      <c r="A22" s="98" t="s">
        <v>276</v>
      </c>
      <c r="B22" s="88" t="s">
        <v>78</v>
      </c>
      <c r="G22" s="97" t="s">
        <v>17</v>
      </c>
      <c r="H22" s="308">
        <f>'08 - 7'!H92</f>
        <v>0</v>
      </c>
      <c r="I22" s="323">
        <f>VLOOKUP(A22,'[1]TAB OGU JUN18'!$A:$G,6,"falso")</f>
        <v>37.630000000000003</v>
      </c>
      <c r="J22" s="308"/>
      <c r="K22" s="308"/>
      <c r="L22" s="323">
        <f>VLOOKUP(A22,'[1]TAB OGU JUN18'!$A:$G,5,"falso")</f>
        <v>37.630000000000003</v>
      </c>
      <c r="M22" s="308">
        <f>H22*L22</f>
        <v>0</v>
      </c>
      <c r="N22" s="308">
        <f>H22*I22</f>
        <v>0</v>
      </c>
      <c r="O22" s="25" t="e">
        <f>N22/$N$25</f>
        <v>#DIV/0!</v>
      </c>
    </row>
    <row r="23" spans="1:16" ht="12" customHeight="1" x14ac:dyDescent="0.2">
      <c r="A23" s="98" t="s">
        <v>277</v>
      </c>
      <c r="B23" s="88" t="s">
        <v>205</v>
      </c>
      <c r="G23" s="97" t="s">
        <v>17</v>
      </c>
      <c r="H23" s="308">
        <f>'08 - 7'!H93</f>
        <v>0</v>
      </c>
      <c r="I23" s="323">
        <f>VLOOKUP(A23,'[1]TAB OGU JUN18'!$A:$G,6,"falso")</f>
        <v>58.74</v>
      </c>
      <c r="J23" s="308"/>
      <c r="K23" s="308"/>
      <c r="L23" s="323">
        <f>VLOOKUP(A23,'[1]TAB OGU JUN18'!$A:$G,5,"falso")</f>
        <v>58.74</v>
      </c>
      <c r="M23" s="308">
        <f>H23*L23</f>
        <v>0</v>
      </c>
      <c r="N23" s="308">
        <f>H23*I23</f>
        <v>0</v>
      </c>
      <c r="O23" s="25" t="e">
        <f>N23/$N$25</f>
        <v>#DIV/0!</v>
      </c>
    </row>
    <row r="24" spans="1:16" ht="12" customHeight="1" x14ac:dyDescent="0.2">
      <c r="G24" s="52"/>
      <c r="H24" s="324"/>
      <c r="I24" s="313"/>
      <c r="J24" s="313"/>
      <c r="K24" s="313"/>
      <c r="L24" s="313"/>
      <c r="M24" s="313"/>
      <c r="N24" s="313"/>
      <c r="O24" s="19"/>
    </row>
    <row r="25" spans="1:16" ht="12" customHeight="1" x14ac:dyDescent="0.2">
      <c r="B25" s="130" t="s">
        <v>18</v>
      </c>
      <c r="C25" s="131"/>
      <c r="D25" s="131"/>
      <c r="E25" s="131"/>
      <c r="F25" s="131"/>
      <c r="G25" s="53"/>
      <c r="H25" s="325"/>
      <c r="I25" s="326"/>
      <c r="J25" s="326"/>
      <c r="K25" s="326"/>
      <c r="L25" s="326"/>
      <c r="M25" s="326"/>
      <c r="N25" s="308">
        <f>N22+N23</f>
        <v>0</v>
      </c>
      <c r="O25" s="25" t="e">
        <f>N25/N27</f>
        <v>#DIV/0!</v>
      </c>
    </row>
    <row r="26" spans="1:16" ht="12" customHeight="1" x14ac:dyDescent="0.2">
      <c r="G26" s="52"/>
      <c r="H26" s="313"/>
      <c r="I26" s="313"/>
      <c r="J26" s="313"/>
      <c r="K26" s="313"/>
      <c r="L26" s="313"/>
      <c r="M26" s="313"/>
      <c r="N26" s="313"/>
      <c r="O26" s="19"/>
    </row>
    <row r="27" spans="1:16" s="132" customFormat="1" ht="12" customHeight="1" x14ac:dyDescent="0.2">
      <c r="B27" s="133" t="s">
        <v>20</v>
      </c>
      <c r="C27" s="134"/>
      <c r="D27" s="134"/>
      <c r="E27" s="134"/>
      <c r="F27" s="134"/>
      <c r="G27" s="78"/>
      <c r="H27" s="328"/>
      <c r="I27" s="328"/>
      <c r="J27" s="328"/>
      <c r="K27" s="328"/>
      <c r="L27" s="328"/>
      <c r="M27" s="328"/>
      <c r="N27" s="310">
        <f>N25</f>
        <v>0</v>
      </c>
      <c r="O27" s="77" t="e">
        <f>N27/N29</f>
        <v>#DIV/0!</v>
      </c>
    </row>
    <row r="28" spans="1:16" ht="7.5" customHeight="1" x14ac:dyDescent="0.2">
      <c r="G28" s="52"/>
      <c r="H28" s="313"/>
      <c r="I28" s="313"/>
      <c r="J28" s="313"/>
      <c r="K28" s="313"/>
      <c r="L28" s="313"/>
      <c r="M28" s="313"/>
      <c r="N28" s="313"/>
      <c r="O28" s="19"/>
    </row>
    <row r="29" spans="1:16" ht="12" customHeight="1" x14ac:dyDescent="0.2">
      <c r="A29" s="146"/>
      <c r="B29" s="147" t="s">
        <v>30</v>
      </c>
      <c r="C29" s="146"/>
      <c r="D29" s="146"/>
      <c r="E29" s="146"/>
      <c r="F29" s="146"/>
      <c r="G29" s="146"/>
      <c r="H29" s="342"/>
      <c r="I29" s="345"/>
      <c r="J29" s="345"/>
      <c r="K29" s="345"/>
      <c r="L29" s="345"/>
      <c r="M29" s="275">
        <f>SUM(M14:M28)</f>
        <v>0</v>
      </c>
      <c r="N29" s="316">
        <f>N27+N18</f>
        <v>0</v>
      </c>
      <c r="O29" s="322"/>
      <c r="P29" s="149"/>
    </row>
    <row r="30" spans="1:16" ht="7.5" customHeight="1" x14ac:dyDescent="0.2">
      <c r="G30" s="52"/>
      <c r="H30" s="313"/>
      <c r="I30" s="313"/>
      <c r="J30" s="313"/>
      <c r="K30" s="313"/>
      <c r="L30" s="313"/>
      <c r="M30" s="313"/>
      <c r="N30" s="313"/>
      <c r="O30" s="19"/>
    </row>
    <row r="31" spans="1:16" ht="12" customHeight="1" x14ac:dyDescent="0.2">
      <c r="A31" s="146"/>
      <c r="B31" s="147" t="s">
        <v>265</v>
      </c>
      <c r="C31" s="146"/>
      <c r="D31" s="146"/>
      <c r="E31" s="146"/>
      <c r="F31" s="146"/>
      <c r="G31" s="146"/>
      <c r="H31" s="342"/>
      <c r="I31" s="345"/>
      <c r="J31" s="345"/>
      <c r="K31" s="345"/>
      <c r="L31" s="345"/>
      <c r="M31" s="275">
        <f>M29+(M29*O7)</f>
        <v>0</v>
      </c>
      <c r="N31" s="316">
        <f>M31</f>
        <v>0</v>
      </c>
      <c r="O31" s="29">
        <f>N31/RESUMO!H95</f>
        <v>0</v>
      </c>
      <c r="P31" s="149"/>
    </row>
    <row r="43" spans="1:15" ht="12" customHeight="1" x14ac:dyDescent="0.2">
      <c r="A43" s="150"/>
      <c r="B43" s="150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211"/>
      <c r="O43" s="210"/>
    </row>
    <row r="44" spans="1:15" ht="12" customHeight="1" x14ac:dyDescent="0.2">
      <c r="A44" s="88"/>
      <c r="C44" s="184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184"/>
      <c r="O44" s="437"/>
    </row>
  </sheetData>
  <mergeCells count="3">
    <mergeCell ref="A2:O2"/>
    <mergeCell ref="N4:O4"/>
    <mergeCell ref="A5:B6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rowBreaks count="1" manualBreakCount="1">
    <brk id="20" max="12" man="1"/>
  </rowBreaks>
  <legacyDrawingHF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theme="6" tint="0.39997558519241921"/>
    <pageSetUpPr fitToPage="1"/>
  </sheetPr>
  <dimension ref="A1:U126"/>
  <sheetViews>
    <sheetView view="pageBreakPreview" topLeftCell="A43" zoomScale="85" zoomScaleNormal="90" zoomScaleSheetLayoutView="85" workbookViewId="0">
      <selection activeCell="U99" sqref="U99"/>
    </sheetView>
  </sheetViews>
  <sheetFormatPr defaultColWidth="11.42578125" defaultRowHeight="12" customHeight="1" x14ac:dyDescent="0.2"/>
  <cols>
    <col min="1" max="3" width="11.42578125" style="51"/>
    <col min="4" max="4" width="11.42578125" style="51" customWidth="1"/>
    <col min="5" max="5" width="11.42578125" style="51"/>
    <col min="6" max="6" width="28.5703125" style="51" customWidth="1"/>
    <col min="7" max="7" width="11.42578125" style="51"/>
    <col min="8" max="9" width="11.42578125" style="51" customWidth="1"/>
    <col min="10" max="10" width="5.7109375" style="51" hidden="1" customWidth="1"/>
    <col min="11" max="11" width="14.28515625" style="51" customWidth="1"/>
    <col min="12" max="12" width="6.7109375" style="51" hidden="1" customWidth="1"/>
    <col min="13" max="13" width="14.28515625" style="51" customWidth="1"/>
    <col min="14" max="14" width="17.28515625" style="51" customWidth="1"/>
    <col min="15" max="15" width="11.42578125" style="52" customWidth="1"/>
    <col min="16" max="19" width="11.42578125" style="51"/>
    <col min="20" max="20" width="13.42578125" style="51" customWidth="1"/>
    <col min="21" max="16384" width="11.42578125" style="51"/>
  </cols>
  <sheetData>
    <row r="1" spans="1:21" ht="6.75" customHeight="1" x14ac:dyDescent="0.2"/>
    <row r="2" spans="1:21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21" ht="6.7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95"/>
    </row>
    <row r="4" spans="1:21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K4" s="259"/>
      <c r="L4" s="259"/>
      <c r="M4" s="259">
        <f ca="1">RESUMO!G4</f>
        <v>43657</v>
      </c>
      <c r="N4" s="832" t="str">
        <f>RESUMO!H4</f>
        <v>BDI Aplicado</v>
      </c>
      <c r="O4" s="833"/>
      <c r="P4" s="831" t="s">
        <v>995</v>
      </c>
      <c r="Q4" s="831" t="s">
        <v>991</v>
      </c>
      <c r="R4" s="831" t="s">
        <v>992</v>
      </c>
      <c r="S4" s="831" t="s">
        <v>993</v>
      </c>
      <c r="T4" s="831" t="s">
        <v>994</v>
      </c>
      <c r="U4" s="831" t="s">
        <v>996</v>
      </c>
    </row>
    <row r="5" spans="1:21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K5" s="258"/>
      <c r="L5" s="258"/>
      <c r="M5" s="258"/>
      <c r="N5" s="261" t="str">
        <f>RESUMO!H5</f>
        <v>Serviços</v>
      </c>
      <c r="O5" s="234">
        <f>RESUMO!I5</f>
        <v>0.27579999999999999</v>
      </c>
      <c r="P5" s="831"/>
      <c r="Q5" s="831"/>
      <c r="R5" s="831"/>
      <c r="S5" s="831"/>
      <c r="T5" s="831"/>
      <c r="U5" s="831"/>
    </row>
    <row r="6" spans="1:21" ht="12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K6" s="258"/>
      <c r="L6" s="258"/>
      <c r="M6" s="258"/>
      <c r="N6" s="261" t="str">
        <f>RESUMO!H6</f>
        <v>Serv Terc:</v>
      </c>
      <c r="O6" s="234">
        <f>RESUMO!I6</f>
        <v>0.1772</v>
      </c>
      <c r="P6" s="486">
        <v>3136.2599999999998</v>
      </c>
      <c r="Q6" s="486">
        <v>1.8588111428899385</v>
      </c>
      <c r="R6" s="486">
        <v>0.62929540280461427</v>
      </c>
      <c r="S6" s="486">
        <v>2264.2732139999994</v>
      </c>
      <c r="T6" s="486">
        <v>657.87799999999982</v>
      </c>
      <c r="U6" s="486">
        <v>62</v>
      </c>
    </row>
    <row r="7" spans="1:21" ht="12" customHeight="1" x14ac:dyDescent="0.2">
      <c r="A7" s="253"/>
      <c r="B7" s="253"/>
      <c r="C7" s="260" t="s">
        <v>6</v>
      </c>
      <c r="D7" s="263" t="str">
        <f>RESUMO!A41</f>
        <v>U.C. : 11</v>
      </c>
      <c r="E7" s="258"/>
      <c r="F7" s="258"/>
      <c r="G7" s="260" t="s">
        <v>9</v>
      </c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  <c r="T7" s="486">
        <v>471.21116999999987</v>
      </c>
    </row>
    <row r="8" spans="1:21" ht="12" customHeight="1" thickBot="1" x14ac:dyDescent="0.25">
      <c r="A8" s="124"/>
      <c r="B8" s="125"/>
      <c r="C8" s="266" t="s">
        <v>8</v>
      </c>
      <c r="D8" s="267" t="str">
        <f>RESUMO!B41</f>
        <v>INTERCEPTOR</v>
      </c>
      <c r="E8" s="268"/>
      <c r="F8" s="268"/>
      <c r="G8" s="266"/>
      <c r="H8" s="123"/>
      <c r="I8" s="278"/>
      <c r="J8" s="278"/>
      <c r="K8" s="278"/>
      <c r="L8" s="278"/>
      <c r="M8" s="278"/>
      <c r="N8" s="271"/>
      <c r="O8" s="427"/>
      <c r="T8" s="486">
        <v>2258.1783399999995</v>
      </c>
    </row>
    <row r="9" spans="1:21" ht="12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  <c r="T9" s="486">
        <v>369.54202950000001</v>
      </c>
    </row>
    <row r="10" spans="1:21" ht="12.75" x14ac:dyDescent="0.2">
      <c r="O10" s="19"/>
      <c r="T10" s="486">
        <v>592.09019999999975</v>
      </c>
    </row>
    <row r="11" spans="1:21" ht="11.25" customHeight="1" x14ac:dyDescent="0.2">
      <c r="A11" s="93">
        <f>RESUMO!A42</f>
        <v>1</v>
      </c>
      <c r="B11" s="93" t="str">
        <f>RESUMO!B42</f>
        <v>INTERCEPTOR - SERVIÇOS</v>
      </c>
      <c r="H11" s="61"/>
      <c r="O11" s="19"/>
      <c r="T11" s="486">
        <v>2911.9382252999994</v>
      </c>
    </row>
    <row r="12" spans="1:21" ht="11.25" customHeight="1" x14ac:dyDescent="0.2">
      <c r="A12" s="129" t="s">
        <v>48</v>
      </c>
      <c r="B12" s="88" t="s">
        <v>16</v>
      </c>
      <c r="H12" s="61"/>
      <c r="O12" s="19"/>
      <c r="T12" s="486">
        <v>252.78111419999993</v>
      </c>
    </row>
    <row r="13" spans="1:21" ht="11.25" customHeight="1" x14ac:dyDescent="0.2">
      <c r="A13" s="129" t="s">
        <v>79</v>
      </c>
      <c r="B13" s="88" t="s">
        <v>80</v>
      </c>
      <c r="H13" s="61"/>
      <c r="O13" s="19"/>
    </row>
    <row r="14" spans="1:21" ht="11.25" customHeight="1" x14ac:dyDescent="0.2">
      <c r="A14" s="129" t="s">
        <v>209</v>
      </c>
      <c r="B14" s="88" t="s">
        <v>210</v>
      </c>
      <c r="G14" s="97" t="s">
        <v>17</v>
      </c>
      <c r="H14" s="308">
        <f>P6</f>
        <v>3136.2599999999998</v>
      </c>
      <c r="I14" s="323">
        <f>VLOOKUP(A14,'[1]TAB OGU JUN18'!$A:$G,6,"falso")</f>
        <v>1.2</v>
      </c>
      <c r="J14" s="323">
        <f>VLOOKUP(A14,'[1]TAB OGU JUN18'!$A:$G,4,"falso")</f>
        <v>0.82</v>
      </c>
      <c r="K14" s="308">
        <f>H14*J14</f>
        <v>2571.7331999999997</v>
      </c>
      <c r="L14" s="323">
        <f>VLOOKUP(A14,'[1]TAB OGU JUN18'!$A:$G,5,"falso")</f>
        <v>0.38</v>
      </c>
      <c r="M14" s="308">
        <f>H14*L14</f>
        <v>1191.7787999999998</v>
      </c>
      <c r="N14" s="308">
        <f>H14*I14</f>
        <v>3763.5119999999997</v>
      </c>
      <c r="O14" s="25">
        <f>N14/N17</f>
        <v>1</v>
      </c>
      <c r="Q14" s="311"/>
    </row>
    <row r="15" spans="1:21" ht="11.25" customHeight="1" x14ac:dyDescent="0.2">
      <c r="B15" s="258" t="s">
        <v>211</v>
      </c>
      <c r="G15" s="52"/>
      <c r="H15" s="324"/>
      <c r="I15" s="324"/>
      <c r="J15" s="313"/>
      <c r="K15" s="313"/>
      <c r="L15" s="313"/>
      <c r="M15" s="313"/>
      <c r="N15" s="309"/>
      <c r="O15" s="25"/>
      <c r="Q15" s="311"/>
    </row>
    <row r="16" spans="1:21" ht="11.25" customHeight="1" x14ac:dyDescent="0.2">
      <c r="G16" s="52"/>
      <c r="H16" s="324"/>
      <c r="I16" s="324"/>
      <c r="J16" s="313"/>
      <c r="K16" s="313"/>
      <c r="L16" s="313"/>
      <c r="M16" s="313"/>
      <c r="N16" s="309"/>
      <c r="O16" s="25"/>
      <c r="Q16" s="311"/>
    </row>
    <row r="17" spans="1:17" ht="11.25" customHeight="1" x14ac:dyDescent="0.2">
      <c r="B17" s="130" t="s">
        <v>18</v>
      </c>
      <c r="C17" s="131"/>
      <c r="D17" s="131"/>
      <c r="E17" s="131"/>
      <c r="F17" s="131"/>
      <c r="G17" s="53"/>
      <c r="H17" s="325"/>
      <c r="I17" s="325"/>
      <c r="J17" s="326"/>
      <c r="K17" s="326"/>
      <c r="L17" s="326"/>
      <c r="M17" s="326"/>
      <c r="N17" s="308">
        <f>SUM(N14:N14)</f>
        <v>3763.5119999999997</v>
      </c>
      <c r="O17" s="25">
        <f>N17/N29</f>
        <v>0.64516129032258063</v>
      </c>
      <c r="Q17" s="311"/>
    </row>
    <row r="18" spans="1:17" ht="11.25" customHeight="1" x14ac:dyDescent="0.2">
      <c r="B18" s="130"/>
      <c r="G18" s="52"/>
      <c r="H18" s="324"/>
      <c r="I18" s="324"/>
      <c r="J18" s="313"/>
      <c r="K18" s="313"/>
      <c r="L18" s="313"/>
      <c r="M18" s="313"/>
      <c r="N18" s="308"/>
      <c r="O18" s="25"/>
      <c r="Q18" s="311"/>
    </row>
    <row r="19" spans="1:17" ht="11.25" customHeight="1" x14ac:dyDescent="0.2">
      <c r="A19" s="98" t="s">
        <v>779</v>
      </c>
      <c r="B19" s="88" t="s">
        <v>780</v>
      </c>
      <c r="G19" s="52"/>
      <c r="H19" s="324"/>
      <c r="I19" s="324"/>
      <c r="J19" s="313"/>
      <c r="K19" s="313"/>
      <c r="L19" s="313"/>
      <c r="M19" s="313"/>
      <c r="N19" s="313"/>
      <c r="O19" s="19"/>
      <c r="Q19" s="311"/>
    </row>
    <row r="20" spans="1:17" ht="11.25" customHeight="1" x14ac:dyDescent="0.2">
      <c r="A20" s="98" t="s">
        <v>782</v>
      </c>
      <c r="B20" s="88" t="s">
        <v>781</v>
      </c>
      <c r="G20" s="97" t="s">
        <v>17</v>
      </c>
      <c r="H20" s="308">
        <f>H14</f>
        <v>3136.2599999999998</v>
      </c>
      <c r="I20" s="323">
        <f>VLOOKUP(A20,'[1]TAB OGU JUN18'!$A:$G,6,"falso")</f>
        <v>0.4</v>
      </c>
      <c r="J20" s="323">
        <f>VLOOKUP(A20,'[1]TAB OGU JUN18'!$A:$G,4,"falso")</f>
        <v>0.4</v>
      </c>
      <c r="K20" s="308">
        <f>H20*J20</f>
        <v>1254.5039999999999</v>
      </c>
      <c r="L20" s="323">
        <f>VLOOKUP(A20,'[1]TAB OGU JUN18'!$A:$G,5,"falso")</f>
        <v>0</v>
      </c>
      <c r="M20" s="308"/>
      <c r="N20" s="308">
        <f>H20*I20</f>
        <v>1254.5039999999999</v>
      </c>
      <c r="O20" s="25">
        <f>N20/N22</f>
        <v>1</v>
      </c>
      <c r="Q20" s="311"/>
    </row>
    <row r="21" spans="1:17" ht="11.25" customHeight="1" x14ac:dyDescent="0.2">
      <c r="G21" s="52"/>
      <c r="H21" s="324"/>
      <c r="I21" s="324"/>
      <c r="J21" s="313"/>
      <c r="K21" s="313"/>
      <c r="L21" s="313"/>
      <c r="M21" s="313"/>
      <c r="N21" s="313"/>
      <c r="O21" s="19"/>
      <c r="Q21" s="311"/>
    </row>
    <row r="22" spans="1:17" ht="11.25" customHeight="1" x14ac:dyDescent="0.2">
      <c r="B22" s="130" t="s">
        <v>18</v>
      </c>
      <c r="C22" s="131"/>
      <c r="D22" s="131"/>
      <c r="E22" s="131"/>
      <c r="F22" s="131"/>
      <c r="G22" s="53"/>
      <c r="H22" s="325"/>
      <c r="I22" s="325"/>
      <c r="J22" s="326"/>
      <c r="K22" s="326"/>
      <c r="L22" s="326"/>
      <c r="M22" s="326"/>
      <c r="N22" s="308">
        <f>N20</f>
        <v>1254.5039999999999</v>
      </c>
      <c r="O22" s="25">
        <f>N22/N29</f>
        <v>0.21505376344086022</v>
      </c>
      <c r="Q22" s="311"/>
    </row>
    <row r="23" spans="1:17" ht="11.25" customHeight="1" x14ac:dyDescent="0.2">
      <c r="B23" s="130"/>
      <c r="G23" s="52"/>
      <c r="H23" s="324"/>
      <c r="I23" s="324"/>
      <c r="J23" s="313"/>
      <c r="K23" s="313"/>
      <c r="L23" s="313"/>
      <c r="M23" s="313"/>
      <c r="N23" s="308"/>
      <c r="O23" s="25"/>
      <c r="Q23" s="311"/>
    </row>
    <row r="24" spans="1:17" ht="11.25" customHeight="1" x14ac:dyDescent="0.2">
      <c r="A24" s="98" t="s">
        <v>82</v>
      </c>
      <c r="B24" s="88" t="s">
        <v>19</v>
      </c>
      <c r="G24" s="52"/>
      <c r="H24" s="19"/>
      <c r="I24" s="52"/>
      <c r="J24" s="52"/>
      <c r="K24" s="52"/>
      <c r="L24" s="52"/>
      <c r="M24" s="52"/>
      <c r="N24" s="52"/>
      <c r="O24" s="19"/>
    </row>
    <row r="25" spans="1:17" ht="11.25" customHeight="1" x14ac:dyDescent="0.2">
      <c r="A25" s="98" t="s">
        <v>83</v>
      </c>
      <c r="B25" s="88" t="s">
        <v>81</v>
      </c>
      <c r="G25" s="97" t="s">
        <v>17</v>
      </c>
      <c r="H25" s="308">
        <f>H20</f>
        <v>3136.2599999999998</v>
      </c>
      <c r="I25" s="323">
        <f>VLOOKUP(A25,'[1]TAB OGU JUN18'!$A:$G,6,"falso")</f>
        <v>0.26</v>
      </c>
      <c r="J25" s="323">
        <f>VLOOKUP(A25,'[1]TAB OGU JUN18'!$A:$G,4,"falso")</f>
        <v>0.26</v>
      </c>
      <c r="K25" s="308">
        <f>H25*J25</f>
        <v>815.42759999999998</v>
      </c>
      <c r="L25" s="323">
        <f>VLOOKUP(A25,'[1]TAB OGU JUN18'!$A:$G,5,"falso")</f>
        <v>0</v>
      </c>
      <c r="M25" s="308"/>
      <c r="N25" s="308">
        <f>H25*I25</f>
        <v>815.42759999999998</v>
      </c>
      <c r="O25" s="25">
        <f>N25/N27</f>
        <v>1</v>
      </c>
    </row>
    <row r="26" spans="1:17" ht="11.25" customHeight="1" x14ac:dyDescent="0.2">
      <c r="G26" s="52"/>
      <c r="H26" s="324"/>
      <c r="I26" s="313"/>
      <c r="J26" s="313"/>
      <c r="K26" s="313"/>
      <c r="L26" s="313"/>
      <c r="M26" s="313"/>
      <c r="N26" s="313"/>
      <c r="O26" s="19"/>
    </row>
    <row r="27" spans="1:17" ht="11.25" customHeight="1" x14ac:dyDescent="0.2">
      <c r="B27" s="130" t="s">
        <v>18</v>
      </c>
      <c r="C27" s="131"/>
      <c r="D27" s="131"/>
      <c r="E27" s="131"/>
      <c r="F27" s="131"/>
      <c r="G27" s="53"/>
      <c r="H27" s="325"/>
      <c r="I27" s="326"/>
      <c r="J27" s="326"/>
      <c r="K27" s="326"/>
      <c r="L27" s="326"/>
      <c r="M27" s="326"/>
      <c r="N27" s="308">
        <f>N25</f>
        <v>815.42759999999998</v>
      </c>
      <c r="O27" s="25">
        <f>N27/N29</f>
        <v>0.13978494623655915</v>
      </c>
    </row>
    <row r="28" spans="1:17" ht="11.25" customHeight="1" x14ac:dyDescent="0.2">
      <c r="B28" s="130"/>
      <c r="G28" s="52"/>
      <c r="H28" s="324"/>
      <c r="I28" s="313"/>
      <c r="J28" s="313"/>
      <c r="K28" s="313"/>
      <c r="L28" s="313"/>
      <c r="M28" s="313"/>
      <c r="N28" s="308"/>
      <c r="O28" s="25"/>
    </row>
    <row r="29" spans="1:17" s="132" customFormat="1" ht="11.25" customHeight="1" x14ac:dyDescent="0.2">
      <c r="B29" s="133" t="s">
        <v>20</v>
      </c>
      <c r="C29" s="134"/>
      <c r="D29" s="134"/>
      <c r="E29" s="134"/>
      <c r="F29" s="134"/>
      <c r="G29" s="78"/>
      <c r="H29" s="327"/>
      <c r="I29" s="328"/>
      <c r="J29" s="328"/>
      <c r="K29" s="328"/>
      <c r="L29" s="328"/>
      <c r="M29" s="328"/>
      <c r="N29" s="310">
        <f>N27+N17+N22</f>
        <v>5833.4435999999996</v>
      </c>
      <c r="O29" s="77">
        <f>N29/N118</f>
        <v>2.5789073920365047E-2</v>
      </c>
    </row>
    <row r="30" spans="1:17" ht="11.25" customHeight="1" x14ac:dyDescent="0.2">
      <c r="G30" s="52"/>
      <c r="H30" s="324"/>
      <c r="I30" s="313"/>
      <c r="J30" s="313"/>
      <c r="K30" s="313"/>
      <c r="L30" s="313"/>
      <c r="M30" s="313"/>
      <c r="N30" s="313"/>
      <c r="O30" s="19"/>
    </row>
    <row r="31" spans="1:17" ht="11.25" customHeight="1" x14ac:dyDescent="0.2">
      <c r="A31" s="129" t="s">
        <v>93</v>
      </c>
      <c r="B31" s="88" t="s">
        <v>96</v>
      </c>
      <c r="H31" s="329"/>
      <c r="I31" s="311"/>
      <c r="J31" s="311"/>
      <c r="K31" s="311"/>
      <c r="L31" s="311"/>
      <c r="M31" s="311"/>
      <c r="N31" s="311"/>
      <c r="O31" s="19"/>
    </row>
    <row r="32" spans="1:17" ht="11.25" customHeight="1" x14ac:dyDescent="0.2">
      <c r="A32" s="129" t="s">
        <v>94</v>
      </c>
      <c r="B32" s="88" t="s">
        <v>97</v>
      </c>
      <c r="H32" s="329"/>
      <c r="I32" s="311"/>
      <c r="J32" s="311"/>
      <c r="K32" s="311"/>
      <c r="L32" s="311"/>
      <c r="M32" s="311"/>
      <c r="N32" s="311"/>
      <c r="O32" s="19"/>
    </row>
    <row r="33" spans="1:15" ht="11.25" customHeight="1" x14ac:dyDescent="0.2">
      <c r="A33" s="129" t="s">
        <v>95</v>
      </c>
      <c r="B33" s="88" t="s">
        <v>228</v>
      </c>
      <c r="G33" s="97" t="s">
        <v>32</v>
      </c>
      <c r="H33" s="308">
        <f>T6</f>
        <v>657.87799999999982</v>
      </c>
      <c r="I33" s="323">
        <f>VLOOKUP(A33,'[1]TAB OGU JUN18'!$A:$G,6,"falso")</f>
        <v>32.9</v>
      </c>
      <c r="J33" s="323">
        <f>VLOOKUP(A33,'[1]TAB OGU JUN18'!$A:$G,4,"falso")</f>
        <v>32.9</v>
      </c>
      <c r="K33" s="308">
        <f>H33*J33</f>
        <v>21644.186199999993</v>
      </c>
      <c r="L33" s="323">
        <f>VLOOKUP(A33,'[1]TAB OGU JUN18'!$A:$G,5,"falso")</f>
        <v>0</v>
      </c>
      <c r="M33" s="308"/>
      <c r="N33" s="308">
        <f>H33*I33</f>
        <v>21644.186199999993</v>
      </c>
      <c r="O33" s="25">
        <f>N33/N36</f>
        <v>0.52758397527869605</v>
      </c>
    </row>
    <row r="34" spans="1:15" ht="11.25" customHeight="1" x14ac:dyDescent="0.2">
      <c r="A34" s="129" t="s">
        <v>261</v>
      </c>
      <c r="B34" s="88" t="s">
        <v>643</v>
      </c>
      <c r="G34" s="97" t="s">
        <v>32</v>
      </c>
      <c r="H34" s="308">
        <f>T7</f>
        <v>471.21116999999987</v>
      </c>
      <c r="I34" s="323">
        <f>VLOOKUP(A34,'[1]TAB OGU JUN18'!$A:$G,6,"falso")</f>
        <v>41.13</v>
      </c>
      <c r="J34" s="323">
        <f>VLOOKUP(A34,'[1]TAB OGU JUN18'!$A:$G,4,"falso")</f>
        <v>41.13</v>
      </c>
      <c r="K34" s="308">
        <f>H34*J34</f>
        <v>19380.915422099995</v>
      </c>
      <c r="L34" s="323">
        <f>VLOOKUP(A34,'[1]TAB OGU JUN18'!$A:$G,5,"falso")</f>
        <v>0</v>
      </c>
      <c r="M34" s="308"/>
      <c r="N34" s="308">
        <f>H34*I34</f>
        <v>19380.915422099995</v>
      </c>
      <c r="O34" s="25">
        <f>N34/N36</f>
        <v>0.47241602472130395</v>
      </c>
    </row>
    <row r="35" spans="1:15" ht="11.25" customHeight="1" x14ac:dyDescent="0.2">
      <c r="G35" s="52"/>
      <c r="H35" s="324"/>
      <c r="I35" s="313"/>
      <c r="J35" s="313"/>
      <c r="K35" s="313"/>
      <c r="L35" s="313"/>
      <c r="M35" s="313"/>
      <c r="N35" s="309"/>
      <c r="O35" s="25"/>
    </row>
    <row r="36" spans="1:15" ht="11.25" customHeight="1" x14ac:dyDescent="0.2">
      <c r="B36" s="130" t="s">
        <v>18</v>
      </c>
      <c r="C36" s="131"/>
      <c r="D36" s="131"/>
      <c r="E36" s="131"/>
      <c r="F36" s="131"/>
      <c r="G36" s="53"/>
      <c r="H36" s="325"/>
      <c r="I36" s="326"/>
      <c r="J36" s="326"/>
      <c r="K36" s="326"/>
      <c r="L36" s="326"/>
      <c r="M36" s="326"/>
      <c r="N36" s="308">
        <f>SUM(N33:N34)</f>
        <v>41025.101622099988</v>
      </c>
      <c r="O36" s="25">
        <f>N36/N66</f>
        <v>0.40768451289945468</v>
      </c>
    </row>
    <row r="37" spans="1:15" ht="11.25" customHeight="1" x14ac:dyDescent="0.2">
      <c r="B37" s="130"/>
      <c r="G37" s="52"/>
      <c r="H37" s="324"/>
      <c r="I37" s="313"/>
      <c r="J37" s="313"/>
      <c r="K37" s="313"/>
      <c r="L37" s="313"/>
      <c r="M37" s="313"/>
      <c r="N37" s="308"/>
      <c r="O37" s="25"/>
    </row>
    <row r="38" spans="1:15" ht="11.25" customHeight="1" x14ac:dyDescent="0.2">
      <c r="A38" s="98" t="s">
        <v>98</v>
      </c>
      <c r="B38" s="88" t="s">
        <v>100</v>
      </c>
      <c r="G38" s="52"/>
      <c r="H38" s="324"/>
      <c r="I38" s="313"/>
      <c r="J38" s="313"/>
      <c r="K38" s="313"/>
      <c r="L38" s="313"/>
      <c r="M38" s="313"/>
      <c r="N38" s="313"/>
      <c r="O38" s="19"/>
    </row>
    <row r="39" spans="1:15" ht="11.25" customHeight="1" x14ac:dyDescent="0.2">
      <c r="A39" s="98" t="s">
        <v>99</v>
      </c>
      <c r="B39" s="88" t="s">
        <v>229</v>
      </c>
      <c r="G39" s="97" t="s">
        <v>32</v>
      </c>
      <c r="H39" s="308">
        <f>T8</f>
        <v>2258.1783399999995</v>
      </c>
      <c r="I39" s="323">
        <f>VLOOKUP(A39,'[1]TAB OGU JUN18'!$A:$G,6,"falso")</f>
        <v>9.77</v>
      </c>
      <c r="J39" s="323">
        <f>VLOOKUP(A39,'[1]TAB OGU JUN18'!$A:$G,4,"falso")</f>
        <v>9.77</v>
      </c>
      <c r="K39" s="308">
        <f>H39*J39</f>
        <v>22062.402381799995</v>
      </c>
      <c r="L39" s="323">
        <f>VLOOKUP(A39,'[1]TAB OGU JUN18'!$A:$G,5,"falso")</f>
        <v>0</v>
      </c>
      <c r="M39" s="308"/>
      <c r="N39" s="308">
        <f>H39*I39</f>
        <v>22062.402381799995</v>
      </c>
      <c r="O39" s="25">
        <f>N39/N42</f>
        <v>0.84251082050897863</v>
      </c>
    </row>
    <row r="40" spans="1:15" ht="11.25" customHeight="1" x14ac:dyDescent="0.2">
      <c r="A40" s="98" t="s">
        <v>232</v>
      </c>
      <c r="B40" s="88" t="s">
        <v>558</v>
      </c>
      <c r="G40" s="97" t="s">
        <v>32</v>
      </c>
      <c r="H40" s="308">
        <f>T9</f>
        <v>369.54202950000001</v>
      </c>
      <c r="I40" s="323">
        <f>VLOOKUP(A40,'[1]TAB OGU JUN18'!$A:$G,6,"falso")</f>
        <v>11.16</v>
      </c>
      <c r="J40" s="323">
        <f>VLOOKUP(A40,'[1]TAB OGU JUN18'!$A:$G,4,"falso")</f>
        <v>11.16</v>
      </c>
      <c r="K40" s="308">
        <f>H40*J40</f>
        <v>4124.0890492200006</v>
      </c>
      <c r="L40" s="323">
        <f>VLOOKUP(A40,'[1]TAB OGU JUN18'!$A:$G,5,"falso")</f>
        <v>0</v>
      </c>
      <c r="M40" s="308"/>
      <c r="N40" s="308">
        <f>H40*I40</f>
        <v>4124.0890492200006</v>
      </c>
      <c r="O40" s="25">
        <f>N40/N42</f>
        <v>0.15748917949102134</v>
      </c>
    </row>
    <row r="41" spans="1:15" ht="11.25" customHeight="1" x14ac:dyDescent="0.2">
      <c r="G41" s="52"/>
      <c r="H41" s="324"/>
      <c r="I41" s="313"/>
      <c r="J41" s="313"/>
      <c r="K41" s="313"/>
      <c r="L41" s="313"/>
      <c r="M41" s="313"/>
      <c r="N41" s="313"/>
      <c r="O41" s="19"/>
    </row>
    <row r="42" spans="1:15" ht="11.25" customHeight="1" x14ac:dyDescent="0.2">
      <c r="B42" s="130" t="s">
        <v>18</v>
      </c>
      <c r="C42" s="131"/>
      <c r="D42" s="131"/>
      <c r="E42" s="131"/>
      <c r="F42" s="131"/>
      <c r="G42" s="53"/>
      <c r="H42" s="325"/>
      <c r="I42" s="326"/>
      <c r="J42" s="326"/>
      <c r="K42" s="326"/>
      <c r="L42" s="326"/>
      <c r="M42" s="326"/>
      <c r="N42" s="308">
        <f>N39+N40</f>
        <v>26186.491431019997</v>
      </c>
      <c r="O42" s="25">
        <f>N42/N66</f>
        <v>0.26022670466342307</v>
      </c>
    </row>
    <row r="43" spans="1:15" ht="11.25" customHeight="1" x14ac:dyDescent="0.2">
      <c r="B43" s="130"/>
      <c r="G43" s="52"/>
      <c r="H43" s="324"/>
      <c r="I43" s="313"/>
      <c r="J43" s="313"/>
      <c r="K43" s="313"/>
      <c r="L43" s="313"/>
      <c r="M43" s="313"/>
      <c r="N43" s="308"/>
      <c r="O43" s="25"/>
    </row>
    <row r="44" spans="1:15" ht="11.25" customHeight="1" x14ac:dyDescent="0.2">
      <c r="A44" s="98" t="s">
        <v>101</v>
      </c>
      <c r="B44" s="88" t="s">
        <v>21</v>
      </c>
      <c r="G44" s="97"/>
      <c r="H44" s="308"/>
      <c r="I44" s="308"/>
      <c r="J44" s="308"/>
      <c r="K44" s="308"/>
      <c r="L44" s="308"/>
      <c r="M44" s="308"/>
      <c r="N44" s="308"/>
      <c r="O44" s="25"/>
    </row>
    <row r="45" spans="1:15" ht="11.25" customHeight="1" x14ac:dyDescent="0.2">
      <c r="A45" s="98" t="s">
        <v>102</v>
      </c>
      <c r="B45" s="88" t="s">
        <v>104</v>
      </c>
      <c r="G45" s="97" t="s">
        <v>32</v>
      </c>
      <c r="H45" s="308">
        <f>T10</f>
        <v>592.09019999999975</v>
      </c>
      <c r="I45" s="323">
        <f>VLOOKUP(A45,'[1]TAB OGU JUN18'!$A:$G,6,"falso")</f>
        <v>7.4</v>
      </c>
      <c r="J45" s="323">
        <f>VLOOKUP(A45,'[1]TAB OGU JUN18'!$A:$G,4,"falso")</f>
        <v>7.4</v>
      </c>
      <c r="K45" s="308">
        <f>H45*J45</f>
        <v>4381.4674799999984</v>
      </c>
      <c r="L45" s="323">
        <f>VLOOKUP(A45,'[1]TAB OGU JUN18'!$A:$G,5,"falso")</f>
        <v>0</v>
      </c>
      <c r="M45" s="308"/>
      <c r="N45" s="308">
        <f>H45*I45</f>
        <v>4381.4674799999984</v>
      </c>
      <c r="O45" s="25">
        <f>N45/N48</f>
        <v>0.53268658069070818</v>
      </c>
    </row>
    <row r="46" spans="1:15" ht="11.25" customHeight="1" x14ac:dyDescent="0.2">
      <c r="A46" s="98" t="s">
        <v>103</v>
      </c>
      <c r="B46" s="88" t="s">
        <v>105</v>
      </c>
      <c r="G46" s="97" t="s">
        <v>32</v>
      </c>
      <c r="H46" s="308">
        <f>T11</f>
        <v>2911.9382252999994</v>
      </c>
      <c r="I46" s="323">
        <f>VLOOKUP(A46,'[1]TAB OGU JUN18'!$A:$G,6,"falso")</f>
        <v>1.32</v>
      </c>
      <c r="J46" s="323">
        <f>VLOOKUP(A46,'[1]TAB OGU JUN18'!$A:$G,4,"falso")</f>
        <v>1.32</v>
      </c>
      <c r="K46" s="308">
        <f>H46*J46</f>
        <v>3843.7584573959994</v>
      </c>
      <c r="L46" s="323">
        <f>VLOOKUP(A46,'[1]TAB OGU JUN18'!$A:$G,5,"falso")</f>
        <v>0</v>
      </c>
      <c r="M46" s="308"/>
      <c r="N46" s="308">
        <f>H46*I46</f>
        <v>3843.7584573959994</v>
      </c>
      <c r="O46" s="25">
        <f>N46/N48</f>
        <v>0.46731341930929193</v>
      </c>
    </row>
    <row r="47" spans="1:15" ht="11.25" customHeight="1" x14ac:dyDescent="0.2">
      <c r="B47" s="130"/>
      <c r="G47" s="52"/>
      <c r="H47" s="324"/>
      <c r="I47" s="313"/>
      <c r="J47" s="313"/>
      <c r="K47" s="313"/>
      <c r="L47" s="313"/>
      <c r="M47" s="313"/>
      <c r="N47" s="308"/>
      <c r="O47" s="25"/>
    </row>
    <row r="48" spans="1:15" ht="11.25" customHeight="1" x14ac:dyDescent="0.2">
      <c r="B48" s="130" t="s">
        <v>18</v>
      </c>
      <c r="C48" s="131"/>
      <c r="D48" s="131"/>
      <c r="E48" s="131"/>
      <c r="F48" s="131"/>
      <c r="G48" s="53"/>
      <c r="H48" s="325"/>
      <c r="I48" s="326"/>
      <c r="J48" s="326"/>
      <c r="K48" s="326"/>
      <c r="L48" s="326"/>
      <c r="M48" s="326"/>
      <c r="N48" s="308">
        <f>N46+N45</f>
        <v>8225.2259373959969</v>
      </c>
      <c r="O48" s="25">
        <f>N48/N66</f>
        <v>8.1737694659818852E-2</v>
      </c>
    </row>
    <row r="49" spans="1:15" ht="11.25" customHeight="1" x14ac:dyDescent="0.2">
      <c r="B49" s="130"/>
      <c r="G49" s="52"/>
      <c r="H49" s="324"/>
      <c r="I49" s="313"/>
      <c r="J49" s="313"/>
      <c r="K49" s="313"/>
      <c r="L49" s="313"/>
      <c r="M49" s="313"/>
      <c r="N49" s="308"/>
      <c r="O49" s="25"/>
    </row>
    <row r="50" spans="1:15" ht="11.25" customHeight="1" x14ac:dyDescent="0.2">
      <c r="A50" s="98" t="s">
        <v>106</v>
      </c>
      <c r="B50" s="88" t="s">
        <v>109</v>
      </c>
      <c r="G50" s="97"/>
      <c r="H50" s="308"/>
      <c r="I50" s="308"/>
      <c r="J50" s="308"/>
      <c r="K50" s="308"/>
      <c r="L50" s="308"/>
      <c r="M50" s="308"/>
      <c r="N50" s="308"/>
      <c r="O50" s="25"/>
    </row>
    <row r="51" spans="1:15" ht="11.25" customHeight="1" x14ac:dyDescent="0.2">
      <c r="A51" s="98" t="s">
        <v>107</v>
      </c>
      <c r="B51" s="88" t="s">
        <v>104</v>
      </c>
      <c r="G51" s="97" t="s">
        <v>32</v>
      </c>
      <c r="H51" s="308">
        <f>H45</f>
        <v>592.09019999999975</v>
      </c>
      <c r="I51" s="323">
        <f>VLOOKUP(A51,'[1]TAB OGU JUN18'!$A:$G,6,"falso")</f>
        <v>20.56</v>
      </c>
      <c r="J51" s="323">
        <f>VLOOKUP(A51,'[1]TAB OGU JUN18'!$A:$G,4,"falso")</f>
        <v>20.56</v>
      </c>
      <c r="K51" s="308">
        <f>H51*J51</f>
        <v>12173.374511999995</v>
      </c>
      <c r="L51" s="323">
        <f>VLOOKUP(A51,'[1]TAB OGU JUN18'!$A:$G,5,"falso")</f>
        <v>0</v>
      </c>
      <c r="M51" s="308"/>
      <c r="N51" s="308">
        <f>H51*I51</f>
        <v>12173.374511999995</v>
      </c>
      <c r="O51" s="25">
        <f>N51/N54</f>
        <v>0.50792817354574959</v>
      </c>
    </row>
    <row r="52" spans="1:15" ht="11.25" customHeight="1" x14ac:dyDescent="0.2">
      <c r="A52" s="98" t="s">
        <v>108</v>
      </c>
      <c r="B52" s="88" t="s">
        <v>105</v>
      </c>
      <c r="G52" s="97" t="s">
        <v>32</v>
      </c>
      <c r="H52" s="308">
        <f>H46</f>
        <v>2911.9382252999994</v>
      </c>
      <c r="I52" s="323">
        <f>VLOOKUP(A52,'[1]TAB OGU JUN18'!$A:$G,6,"falso")</f>
        <v>4.05</v>
      </c>
      <c r="J52" s="323">
        <f>VLOOKUP(A52,'[1]TAB OGU JUN18'!$A:$G,4,"falso")</f>
        <v>4.05</v>
      </c>
      <c r="K52" s="308">
        <f>H52*J52</f>
        <v>11793.349812464998</v>
      </c>
      <c r="L52" s="323">
        <f>VLOOKUP(A52,'[1]TAB OGU JUN18'!$A:$G,5,"falso")</f>
        <v>0</v>
      </c>
      <c r="M52" s="308"/>
      <c r="N52" s="308">
        <f>H52*I52</f>
        <v>11793.349812464998</v>
      </c>
      <c r="O52" s="25">
        <f>N52/N54</f>
        <v>0.49207182645425029</v>
      </c>
    </row>
    <row r="53" spans="1:15" ht="11.25" customHeight="1" x14ac:dyDescent="0.2">
      <c r="B53" s="130"/>
      <c r="G53" s="52"/>
      <c r="H53" s="324"/>
      <c r="I53" s="313"/>
      <c r="J53" s="313"/>
      <c r="K53" s="313"/>
      <c r="L53" s="313"/>
      <c r="M53" s="313"/>
      <c r="N53" s="308"/>
      <c r="O53" s="25"/>
    </row>
    <row r="54" spans="1:15" ht="11.25" customHeight="1" x14ac:dyDescent="0.2">
      <c r="B54" s="130" t="s">
        <v>18</v>
      </c>
      <c r="C54" s="131"/>
      <c r="D54" s="131"/>
      <c r="E54" s="131"/>
      <c r="F54" s="131"/>
      <c r="G54" s="53"/>
      <c r="H54" s="325"/>
      <c r="I54" s="326"/>
      <c r="J54" s="326"/>
      <c r="K54" s="326"/>
      <c r="L54" s="326"/>
      <c r="M54" s="326"/>
      <c r="N54" s="308">
        <f>N52+N51</f>
        <v>23966.724324464994</v>
      </c>
      <c r="O54" s="25">
        <f>N54/N66</f>
        <v>0.23816790076521141</v>
      </c>
    </row>
    <row r="55" spans="1:15" ht="11.25" customHeight="1" x14ac:dyDescent="0.2">
      <c r="B55" s="130"/>
      <c r="G55" s="52"/>
      <c r="H55" s="324"/>
      <c r="I55" s="313"/>
      <c r="J55" s="313"/>
      <c r="K55" s="313"/>
      <c r="L55" s="313"/>
      <c r="M55" s="313"/>
      <c r="N55" s="308"/>
      <c r="O55" s="25"/>
    </row>
    <row r="56" spans="1:15" ht="11.25" customHeight="1" x14ac:dyDescent="0.2">
      <c r="A56" s="98" t="s">
        <v>110</v>
      </c>
      <c r="B56" s="88" t="s">
        <v>112</v>
      </c>
      <c r="G56" s="52"/>
      <c r="H56" s="324"/>
      <c r="I56" s="313"/>
      <c r="J56" s="313"/>
      <c r="K56" s="313"/>
      <c r="L56" s="313"/>
      <c r="M56" s="313"/>
      <c r="N56" s="313"/>
      <c r="O56" s="19"/>
    </row>
    <row r="57" spans="1:15" ht="11.25" customHeight="1" x14ac:dyDescent="0.2">
      <c r="A57" s="98" t="s">
        <v>111</v>
      </c>
      <c r="B57" s="88" t="s">
        <v>113</v>
      </c>
      <c r="G57" s="97" t="s">
        <v>32</v>
      </c>
      <c r="H57" s="308">
        <f>T12</f>
        <v>252.78111419999993</v>
      </c>
      <c r="I57" s="323">
        <f>VLOOKUP(A57,'[1]TAB OGU JUN18'!$A:$G,6,"falso")</f>
        <v>1.85</v>
      </c>
      <c r="J57" s="323">
        <f>VLOOKUP(A57,'[1]TAB OGU JUN18'!$A:$G,4,"falso")</f>
        <v>1.85</v>
      </c>
      <c r="K57" s="308">
        <f>H57*J57</f>
        <v>467.64506126999987</v>
      </c>
      <c r="L57" s="323">
        <f>VLOOKUP(A57,'[1]TAB OGU JUN18'!$A:$G,5,"falso")</f>
        <v>0</v>
      </c>
      <c r="M57" s="308"/>
      <c r="N57" s="308">
        <f>H57*I57</f>
        <v>467.64506126999987</v>
      </c>
      <c r="O57" s="25">
        <f>N57/N59</f>
        <v>1</v>
      </c>
    </row>
    <row r="58" spans="1:15" ht="11.25" customHeight="1" x14ac:dyDescent="0.2">
      <c r="G58" s="52"/>
      <c r="H58" s="324"/>
      <c r="I58" s="313"/>
      <c r="J58" s="313"/>
      <c r="K58" s="313"/>
      <c r="L58" s="313"/>
      <c r="M58" s="313"/>
      <c r="N58" s="313"/>
      <c r="O58" s="19"/>
    </row>
    <row r="59" spans="1:15" ht="11.25" customHeight="1" x14ac:dyDescent="0.2">
      <c r="B59" s="130" t="s">
        <v>18</v>
      </c>
      <c r="C59" s="131"/>
      <c r="D59" s="131"/>
      <c r="E59" s="131"/>
      <c r="F59" s="131"/>
      <c r="G59" s="53"/>
      <c r="H59" s="325"/>
      <c r="I59" s="326"/>
      <c r="J59" s="326"/>
      <c r="K59" s="326"/>
      <c r="L59" s="326"/>
      <c r="M59" s="326"/>
      <c r="N59" s="308">
        <f>N57</f>
        <v>467.64506126999987</v>
      </c>
      <c r="O59" s="25">
        <f>N59/N66</f>
        <v>4.6471950458495045E-3</v>
      </c>
    </row>
    <row r="60" spans="1:15" ht="11.25" customHeight="1" x14ac:dyDescent="0.2">
      <c r="B60" s="130"/>
      <c r="G60" s="52"/>
      <c r="H60" s="324"/>
      <c r="I60" s="313"/>
      <c r="J60" s="313"/>
      <c r="K60" s="313"/>
      <c r="L60" s="313"/>
      <c r="M60" s="313"/>
      <c r="N60" s="308"/>
      <c r="O60" s="25"/>
    </row>
    <row r="61" spans="1:15" ht="11.25" customHeight="1" x14ac:dyDescent="0.2">
      <c r="A61" s="98" t="s">
        <v>114</v>
      </c>
      <c r="B61" s="88" t="s">
        <v>737</v>
      </c>
      <c r="G61" s="52"/>
      <c r="H61" s="324"/>
      <c r="I61" s="313"/>
      <c r="J61" s="313"/>
      <c r="K61" s="313"/>
      <c r="L61" s="313"/>
      <c r="M61" s="313"/>
      <c r="N61" s="313"/>
      <c r="O61" s="19"/>
    </row>
    <row r="62" spans="1:15" ht="11.25" customHeight="1" x14ac:dyDescent="0.2">
      <c r="A62" s="98" t="s">
        <v>115</v>
      </c>
      <c r="B62" s="88" t="s">
        <v>116</v>
      </c>
      <c r="G62" s="97" t="s">
        <v>180</v>
      </c>
      <c r="H62" s="308">
        <f>H57*3</f>
        <v>758.3433425999998</v>
      </c>
      <c r="I62" s="323">
        <f>VLOOKUP(A62,'[1]TAB OGU JUN18'!$A:$G,6,"falso")</f>
        <v>1</v>
      </c>
      <c r="J62" s="323">
        <f>VLOOKUP(A62,'[1]TAB OGU JUN18'!$A:$G,4,"falso")</f>
        <v>1</v>
      </c>
      <c r="K62" s="308">
        <f>H62*J62</f>
        <v>758.3433425999998</v>
      </c>
      <c r="L62" s="323">
        <f>VLOOKUP(A62,'[1]TAB OGU JUN18'!$A:$G,5,"falso")</f>
        <v>0</v>
      </c>
      <c r="M62" s="308"/>
      <c r="N62" s="308">
        <f>H62*I62</f>
        <v>758.3433425999998</v>
      </c>
      <c r="O62" s="25">
        <f>N62/N64</f>
        <v>1</v>
      </c>
    </row>
    <row r="63" spans="1:15" ht="11.25" customHeight="1" x14ac:dyDescent="0.2">
      <c r="G63" s="52"/>
      <c r="H63" s="324"/>
      <c r="I63" s="313"/>
      <c r="J63" s="313"/>
      <c r="K63" s="313"/>
      <c r="L63" s="313"/>
      <c r="M63" s="313"/>
      <c r="N63" s="313"/>
      <c r="O63" s="19"/>
    </row>
    <row r="64" spans="1:15" ht="11.25" customHeight="1" x14ac:dyDescent="0.2">
      <c r="B64" s="130" t="s">
        <v>18</v>
      </c>
      <c r="C64" s="131"/>
      <c r="D64" s="131"/>
      <c r="E64" s="131"/>
      <c r="F64" s="131"/>
      <c r="G64" s="53"/>
      <c r="H64" s="325"/>
      <c r="I64" s="326"/>
      <c r="J64" s="326"/>
      <c r="K64" s="326"/>
      <c r="L64" s="326"/>
      <c r="M64" s="326"/>
      <c r="N64" s="308">
        <f>N62</f>
        <v>758.3433425999998</v>
      </c>
      <c r="O64" s="25">
        <f>N64/N66</f>
        <v>7.5359919662424399E-3</v>
      </c>
    </row>
    <row r="65" spans="1:17" ht="11.25" customHeight="1" x14ac:dyDescent="0.2">
      <c r="B65" s="130"/>
      <c r="G65" s="52"/>
      <c r="H65" s="324"/>
      <c r="I65" s="313"/>
      <c r="J65" s="313"/>
      <c r="K65" s="313"/>
      <c r="L65" s="313"/>
      <c r="M65" s="313"/>
      <c r="N65" s="308"/>
      <c r="O65" s="25"/>
    </row>
    <row r="66" spans="1:17" s="132" customFormat="1" ht="11.25" customHeight="1" x14ac:dyDescent="0.2">
      <c r="B66" s="133" t="s">
        <v>20</v>
      </c>
      <c r="C66" s="134"/>
      <c r="D66" s="134"/>
      <c r="E66" s="134"/>
      <c r="F66" s="134"/>
      <c r="G66" s="78"/>
      <c r="H66" s="327"/>
      <c r="I66" s="328"/>
      <c r="J66" s="328"/>
      <c r="K66" s="328"/>
      <c r="L66" s="328"/>
      <c r="M66" s="328"/>
      <c r="N66" s="310">
        <f>N64+N59+N54+N48+N42+N36</f>
        <v>100629.53171885098</v>
      </c>
      <c r="O66" s="77">
        <f>N66/N118</f>
        <v>0.44487315040967695</v>
      </c>
    </row>
    <row r="67" spans="1:17" ht="11.25" customHeight="1" x14ac:dyDescent="0.2">
      <c r="B67" s="130"/>
      <c r="G67" s="52"/>
      <c r="H67" s="324"/>
      <c r="I67" s="313"/>
      <c r="J67" s="313"/>
      <c r="K67" s="313"/>
      <c r="L67" s="313"/>
      <c r="M67" s="313"/>
      <c r="N67" s="308"/>
      <c r="O67" s="25"/>
    </row>
    <row r="68" spans="1:17" ht="11.25" customHeight="1" x14ac:dyDescent="0.2">
      <c r="A68" s="129" t="s">
        <v>117</v>
      </c>
      <c r="B68" s="88" t="s">
        <v>22</v>
      </c>
      <c r="H68" s="329"/>
      <c r="I68" s="311"/>
      <c r="J68" s="311"/>
      <c r="K68" s="311"/>
      <c r="L68" s="311"/>
      <c r="M68" s="311"/>
      <c r="N68" s="311"/>
      <c r="O68" s="19"/>
    </row>
    <row r="69" spans="1:17" ht="11.25" customHeight="1" x14ac:dyDescent="0.2">
      <c r="A69" s="129" t="s">
        <v>118</v>
      </c>
      <c r="B69" s="88" t="s">
        <v>23</v>
      </c>
      <c r="H69" s="329"/>
      <c r="I69" s="311"/>
      <c r="J69" s="311"/>
      <c r="K69" s="311"/>
      <c r="L69" s="311"/>
      <c r="M69" s="311"/>
      <c r="N69" s="311"/>
      <c r="O69" s="19"/>
    </row>
    <row r="70" spans="1:17" ht="11.25" customHeight="1" x14ac:dyDescent="0.2">
      <c r="A70" s="129" t="s">
        <v>119</v>
      </c>
      <c r="B70" s="88" t="s">
        <v>120</v>
      </c>
      <c r="G70" s="97" t="s">
        <v>31</v>
      </c>
      <c r="H70" s="308">
        <f>0.95*S6</f>
        <v>2151.0595532999992</v>
      </c>
      <c r="I70" s="323">
        <f>VLOOKUP(A70,'[1]TAB OGU JUN18'!$A:$G,6,"falso")</f>
        <v>14.81</v>
      </c>
      <c r="J70" s="323">
        <f>VLOOKUP(A70,'[1]TAB OGU JUN18'!$A:$G,4,"falso")</f>
        <v>13.63</v>
      </c>
      <c r="K70" s="308">
        <f>H70*J70</f>
        <v>29318.94171147899</v>
      </c>
      <c r="L70" s="323">
        <f>VLOOKUP(A70,'[1]TAB OGU JUN18'!$A:$G,5,"falso")</f>
        <v>1.18</v>
      </c>
      <c r="M70" s="308">
        <f>H70*L70</f>
        <v>2538.250272893999</v>
      </c>
      <c r="N70" s="308">
        <f>H70*I70</f>
        <v>31857.191984372988</v>
      </c>
      <c r="O70" s="25">
        <f>N70/N73</f>
        <v>0.92425685662670387</v>
      </c>
    </row>
    <row r="71" spans="1:17" ht="11.25" customHeight="1" x14ac:dyDescent="0.2">
      <c r="A71" s="129" t="s">
        <v>224</v>
      </c>
      <c r="B71" s="88" t="s">
        <v>225</v>
      </c>
      <c r="G71" s="97" t="s">
        <v>31</v>
      </c>
      <c r="H71" s="308">
        <f>0.05*S6</f>
        <v>113.21366069999998</v>
      </c>
      <c r="I71" s="323">
        <f>VLOOKUP(A71,'[1]TAB OGU JUN18'!$A:$G,6,"falso")</f>
        <v>23.06</v>
      </c>
      <c r="J71" s="323">
        <f>VLOOKUP(A71,'[1]TAB OGU JUN18'!$A:$G,4,"falso")</f>
        <v>22.37</v>
      </c>
      <c r="K71" s="308">
        <f>H71*J71</f>
        <v>2532.5895898589997</v>
      </c>
      <c r="L71" s="323">
        <f>VLOOKUP(A71,'[1]TAB OGU JUN18'!$A:$G,5,"falso")-0.01</f>
        <v>0.67999999999999994</v>
      </c>
      <c r="M71" s="308">
        <f>H71*L71</f>
        <v>76.985289275999975</v>
      </c>
      <c r="N71" s="308">
        <f>H71*I71</f>
        <v>2610.7070157419994</v>
      </c>
      <c r="O71" s="25">
        <f>N71/N73</f>
        <v>7.5743143373296115E-2</v>
      </c>
    </row>
    <row r="72" spans="1:17" ht="11.25" customHeight="1" x14ac:dyDescent="0.2">
      <c r="B72" s="130"/>
      <c r="G72" s="52"/>
      <c r="H72" s="324"/>
      <c r="I72" s="313"/>
      <c r="J72" s="313"/>
      <c r="K72" s="313"/>
      <c r="L72" s="313"/>
      <c r="M72" s="313"/>
      <c r="N72" s="308"/>
      <c r="O72" s="25"/>
    </row>
    <row r="73" spans="1:17" ht="11.25" customHeight="1" x14ac:dyDescent="0.2">
      <c r="B73" s="130" t="s">
        <v>18</v>
      </c>
      <c r="C73" s="131"/>
      <c r="D73" s="131"/>
      <c r="E73" s="131"/>
      <c r="F73" s="131"/>
      <c r="G73" s="53"/>
      <c r="H73" s="325"/>
      <c r="I73" s="326"/>
      <c r="J73" s="326"/>
      <c r="K73" s="326"/>
      <c r="L73" s="326"/>
      <c r="M73" s="326"/>
      <c r="N73" s="308">
        <f>N70+N71</f>
        <v>34467.899000114987</v>
      </c>
      <c r="O73" s="25">
        <f>N73/N80</f>
        <v>1</v>
      </c>
    </row>
    <row r="74" spans="1:17" ht="12.75" x14ac:dyDescent="0.2">
      <c r="B74" s="130"/>
      <c r="G74" s="52"/>
      <c r="H74" s="324"/>
      <c r="I74" s="324"/>
      <c r="J74" s="313"/>
      <c r="K74" s="313"/>
      <c r="L74" s="313"/>
      <c r="M74" s="313"/>
      <c r="N74" s="308"/>
      <c r="O74" s="25"/>
      <c r="Q74" s="311"/>
    </row>
    <row r="75" spans="1:17" ht="12.75" hidden="1" x14ac:dyDescent="0.2">
      <c r="A75" s="129" t="s">
        <v>304</v>
      </c>
      <c r="B75" s="88" t="s">
        <v>305</v>
      </c>
      <c r="H75" s="329"/>
      <c r="I75" s="329"/>
      <c r="J75" s="311"/>
      <c r="K75" s="311"/>
      <c r="L75" s="311"/>
      <c r="M75" s="311"/>
      <c r="N75" s="311"/>
      <c r="O75" s="19"/>
      <c r="Q75" s="311"/>
    </row>
    <row r="76" spans="1:17" ht="12.75" hidden="1" x14ac:dyDescent="0.2">
      <c r="A76" s="129" t="s">
        <v>306</v>
      </c>
      <c r="B76" s="88" t="s">
        <v>307</v>
      </c>
      <c r="G76" s="97" t="s">
        <v>31</v>
      </c>
      <c r="H76" s="308"/>
      <c r="I76" s="323">
        <f>VLOOKUP(A76,'[1]TAB OGU JUN18'!$A:$G,6,"falso")</f>
        <v>144.25</v>
      </c>
      <c r="J76" s="323">
        <f>VLOOKUP(A76,'[1]TAB OGU JUN18'!$A:$G,4,"falso")</f>
        <v>134.15</v>
      </c>
      <c r="K76" s="308">
        <f>H76*J76</f>
        <v>0</v>
      </c>
      <c r="L76" s="323">
        <f>VLOOKUP(A76,'[1]TAB OGU JUN18'!$A:$G,5,"falso")</f>
        <v>10.1</v>
      </c>
      <c r="M76" s="308">
        <f>H76*L76</f>
        <v>0</v>
      </c>
      <c r="N76" s="308">
        <f>H76*I76</f>
        <v>0</v>
      </c>
      <c r="O76" s="25" t="e">
        <f>N76/N78</f>
        <v>#DIV/0!</v>
      </c>
      <c r="Q76" s="311"/>
    </row>
    <row r="77" spans="1:17" ht="12.75" hidden="1" x14ac:dyDescent="0.2">
      <c r="B77" s="130"/>
      <c r="G77" s="52"/>
      <c r="H77" s="324"/>
      <c r="I77" s="324"/>
      <c r="J77" s="313"/>
      <c r="K77" s="313"/>
      <c r="L77" s="313"/>
      <c r="M77" s="313"/>
      <c r="N77" s="308"/>
      <c r="O77" s="25"/>
      <c r="Q77" s="311"/>
    </row>
    <row r="78" spans="1:17" ht="12.75" hidden="1" x14ac:dyDescent="0.2">
      <c r="B78" s="130" t="s">
        <v>18</v>
      </c>
      <c r="C78" s="131"/>
      <c r="D78" s="131"/>
      <c r="E78" s="131"/>
      <c r="F78" s="131"/>
      <c r="G78" s="53"/>
      <c r="H78" s="325"/>
      <c r="I78" s="325"/>
      <c r="J78" s="326"/>
      <c r="K78" s="326"/>
      <c r="L78" s="326"/>
      <c r="M78" s="326"/>
      <c r="N78" s="308">
        <f>N76</f>
        <v>0</v>
      </c>
      <c r="O78" s="25">
        <f>N78/N80</f>
        <v>0</v>
      </c>
      <c r="Q78" s="311"/>
    </row>
    <row r="79" spans="1:17" ht="11.25" hidden="1" customHeight="1" x14ac:dyDescent="0.2">
      <c r="B79" s="130"/>
      <c r="G79" s="52"/>
      <c r="H79" s="324"/>
      <c r="I79" s="313"/>
      <c r="J79" s="313"/>
      <c r="K79" s="313"/>
      <c r="L79" s="313"/>
      <c r="M79" s="313"/>
      <c r="N79" s="308"/>
      <c r="O79" s="25"/>
    </row>
    <row r="80" spans="1:17" s="132" customFormat="1" ht="11.25" customHeight="1" x14ac:dyDescent="0.2">
      <c r="B80" s="133" t="s">
        <v>20</v>
      </c>
      <c r="C80" s="134"/>
      <c r="D80" s="134"/>
      <c r="E80" s="134"/>
      <c r="F80" s="134"/>
      <c r="G80" s="78"/>
      <c r="H80" s="327"/>
      <c r="I80" s="328"/>
      <c r="J80" s="328"/>
      <c r="K80" s="328"/>
      <c r="L80" s="328"/>
      <c r="M80" s="328"/>
      <c r="N80" s="310">
        <f>N73+N78</f>
        <v>34467.899000114987</v>
      </c>
      <c r="O80" s="77">
        <f>N80/N118</f>
        <v>0.15237915306040534</v>
      </c>
    </row>
    <row r="81" spans="1:17" ht="11.25" customHeight="1" x14ac:dyDescent="0.2">
      <c r="B81" s="130"/>
      <c r="G81" s="52"/>
      <c r="H81" s="324"/>
      <c r="I81" s="313"/>
      <c r="J81" s="313"/>
      <c r="K81" s="313"/>
      <c r="L81" s="313"/>
      <c r="M81" s="313"/>
      <c r="N81" s="308"/>
      <c r="O81" s="25"/>
    </row>
    <row r="82" spans="1:17" ht="11.25" customHeight="1" x14ac:dyDescent="0.2">
      <c r="A82" s="129" t="s">
        <v>124</v>
      </c>
      <c r="B82" s="88" t="s">
        <v>121</v>
      </c>
      <c r="H82" s="329"/>
      <c r="I82" s="311"/>
      <c r="J82" s="311"/>
      <c r="K82" s="311"/>
      <c r="L82" s="311"/>
      <c r="M82" s="311"/>
      <c r="N82" s="311"/>
      <c r="O82" s="19"/>
    </row>
    <row r="83" spans="1:17" ht="11.25" customHeight="1" x14ac:dyDescent="0.2">
      <c r="A83" s="129" t="s">
        <v>125</v>
      </c>
      <c r="B83" s="88" t="s">
        <v>122</v>
      </c>
      <c r="H83" s="329"/>
      <c r="I83" s="311"/>
      <c r="J83" s="311"/>
      <c r="K83" s="311"/>
      <c r="L83" s="311"/>
      <c r="M83" s="311"/>
      <c r="N83" s="311"/>
      <c r="O83" s="19"/>
    </row>
    <row r="84" spans="1:17" ht="11.25" customHeight="1" x14ac:dyDescent="0.2">
      <c r="A84" s="129" t="s">
        <v>126</v>
      </c>
      <c r="B84" s="88" t="s">
        <v>189</v>
      </c>
      <c r="G84" s="97" t="s">
        <v>123</v>
      </c>
      <c r="H84" s="308">
        <f>((H14*R6*Q6)*0.06*1000)/20000</f>
        <v>11.00583861355932</v>
      </c>
      <c r="I84" s="323">
        <f>VLOOKUP(A84,'[1]TAB OGU JUN18'!$A:$G,6,"falso")</f>
        <v>5.52</v>
      </c>
      <c r="J84" s="323">
        <f>VLOOKUP(A84,'[1]TAB OGU JUN18'!$A:$G,4,"falso")</f>
        <v>5.52</v>
      </c>
      <c r="K84" s="308">
        <f>H84*J84</f>
        <v>60.752229146847441</v>
      </c>
      <c r="L84" s="323">
        <f>VLOOKUP(A84,'[1]TAB OGU JUN18'!$A:$G,5,"falso")</f>
        <v>0</v>
      </c>
      <c r="M84" s="308"/>
      <c r="N84" s="308">
        <f>H84*I84</f>
        <v>60.752229146847441</v>
      </c>
      <c r="O84" s="25">
        <f>N84/N86</f>
        <v>1</v>
      </c>
    </row>
    <row r="85" spans="1:17" ht="11.25" customHeight="1" x14ac:dyDescent="0.2">
      <c r="B85" s="130"/>
      <c r="G85" s="52"/>
      <c r="H85" s="324"/>
      <c r="I85" s="313"/>
      <c r="J85" s="313"/>
      <c r="K85" s="313"/>
      <c r="L85" s="313"/>
      <c r="M85" s="313"/>
      <c r="N85" s="308"/>
      <c r="O85" s="25"/>
    </row>
    <row r="86" spans="1:17" ht="11.25" customHeight="1" x14ac:dyDescent="0.2">
      <c r="B86" s="130" t="s">
        <v>18</v>
      </c>
      <c r="C86" s="131"/>
      <c r="D86" s="131"/>
      <c r="E86" s="131"/>
      <c r="F86" s="131"/>
      <c r="G86" s="53"/>
      <c r="H86" s="325"/>
      <c r="I86" s="326"/>
      <c r="J86" s="326"/>
      <c r="K86" s="326"/>
      <c r="L86" s="326"/>
      <c r="M86" s="326"/>
      <c r="N86" s="308">
        <f>N84</f>
        <v>60.752229146847441</v>
      </c>
      <c r="O86" s="25">
        <f>N86/N88</f>
        <v>1</v>
      </c>
    </row>
    <row r="87" spans="1:17" ht="11.25" customHeight="1" x14ac:dyDescent="0.2">
      <c r="B87" s="130"/>
      <c r="G87" s="52"/>
      <c r="H87" s="324"/>
      <c r="I87" s="313"/>
      <c r="J87" s="313"/>
      <c r="K87" s="313"/>
      <c r="L87" s="313"/>
      <c r="M87" s="313"/>
      <c r="N87" s="308"/>
      <c r="O87" s="25"/>
    </row>
    <row r="88" spans="1:17" s="132" customFormat="1" ht="11.25" customHeight="1" x14ac:dyDescent="0.2">
      <c r="B88" s="133" t="s">
        <v>20</v>
      </c>
      <c r="C88" s="134"/>
      <c r="D88" s="134"/>
      <c r="E88" s="134"/>
      <c r="F88" s="134"/>
      <c r="G88" s="78"/>
      <c r="H88" s="327"/>
      <c r="I88" s="328"/>
      <c r="J88" s="328"/>
      <c r="K88" s="328"/>
      <c r="L88" s="328"/>
      <c r="M88" s="328"/>
      <c r="N88" s="310">
        <f>N86</f>
        <v>60.752229146847441</v>
      </c>
      <c r="O88" s="77">
        <f>N88/N118</f>
        <v>2.6857956221519049E-4</v>
      </c>
    </row>
    <row r="89" spans="1:17" ht="11.25" customHeight="1" x14ac:dyDescent="0.2">
      <c r="B89" s="130"/>
      <c r="G89" s="52"/>
      <c r="H89" s="324"/>
      <c r="I89" s="313"/>
      <c r="J89" s="313"/>
      <c r="K89" s="313"/>
      <c r="L89" s="313"/>
      <c r="M89" s="313"/>
      <c r="N89" s="308"/>
      <c r="O89" s="25"/>
    </row>
    <row r="90" spans="1:17" ht="11.25" customHeight="1" x14ac:dyDescent="0.2">
      <c r="A90" s="129" t="s">
        <v>127</v>
      </c>
      <c r="B90" s="88" t="s">
        <v>130</v>
      </c>
      <c r="H90" s="329"/>
      <c r="I90" s="311"/>
      <c r="J90" s="311"/>
      <c r="K90" s="311"/>
      <c r="L90" s="311"/>
      <c r="M90" s="311"/>
      <c r="N90" s="311"/>
      <c r="O90" s="19"/>
    </row>
    <row r="91" spans="1:17" ht="11.25" customHeight="1" x14ac:dyDescent="0.2">
      <c r="A91" s="129" t="s">
        <v>128</v>
      </c>
      <c r="B91" s="88" t="s">
        <v>131</v>
      </c>
      <c r="H91" s="329"/>
      <c r="I91" s="311"/>
      <c r="J91" s="311"/>
      <c r="K91" s="311"/>
      <c r="L91" s="311"/>
      <c r="M91" s="311"/>
      <c r="N91" s="311"/>
      <c r="O91" s="19"/>
    </row>
    <row r="92" spans="1:17" ht="11.25" customHeight="1" x14ac:dyDescent="0.2">
      <c r="A92" s="129" t="s">
        <v>129</v>
      </c>
      <c r="B92" s="88" t="s">
        <v>132</v>
      </c>
      <c r="G92" s="97" t="s">
        <v>17</v>
      </c>
      <c r="H92" s="308">
        <f>H14-H93</f>
        <v>1542.1499999999999</v>
      </c>
      <c r="I92" s="323">
        <f>VLOOKUP(A92,'[1]TAB OGU JUN18'!$A:$G,6,"falso")</f>
        <v>2.64</v>
      </c>
      <c r="J92" s="323">
        <f>VLOOKUP(A92,'[1]TAB OGU JUN18'!$A:$G,4,"falso")</f>
        <v>2.56</v>
      </c>
      <c r="K92" s="308">
        <f>H92*J92</f>
        <v>3947.9039999999995</v>
      </c>
      <c r="L92" s="323">
        <f>VLOOKUP(A92,'[1]TAB OGU JUN18'!$A:$G,5,"falso")</f>
        <v>0.08</v>
      </c>
      <c r="M92" s="308">
        <f>H92*L92</f>
        <v>123.37199999999999</v>
      </c>
      <c r="N92" s="308">
        <f>H92*I92</f>
        <v>4071.2759999999998</v>
      </c>
      <c r="O92" s="25">
        <f>N92/$N$95</f>
        <v>0.44853740776438661</v>
      </c>
    </row>
    <row r="93" spans="1:17" ht="12.75" x14ac:dyDescent="0.2">
      <c r="A93" s="129" t="s">
        <v>207</v>
      </c>
      <c r="B93" s="88" t="s">
        <v>206</v>
      </c>
      <c r="G93" s="97" t="s">
        <v>17</v>
      </c>
      <c r="H93" s="308">
        <v>1594.11</v>
      </c>
      <c r="I93" s="323">
        <f>VLOOKUP(A93,'[1]TAB OGU JUN18'!$A:$G,6,"falso")</f>
        <v>3.14</v>
      </c>
      <c r="J93" s="323">
        <f>VLOOKUP(A93,'[1]TAB OGU JUN18'!$A:$G,4,"falso")</f>
        <v>3.01</v>
      </c>
      <c r="K93" s="308">
        <f>H93*J93</f>
        <v>4798.271099999999</v>
      </c>
      <c r="L93" s="323">
        <f>VLOOKUP(A93,'[1]TAB OGU JUN18'!$A:$G,5,"falso")</f>
        <v>0.13</v>
      </c>
      <c r="M93" s="308">
        <f>H93*L93</f>
        <v>207.23429999999999</v>
      </c>
      <c r="N93" s="308">
        <f>H93*I93</f>
        <v>5005.5054</v>
      </c>
      <c r="O93" s="25">
        <f>N93/$N$95</f>
        <v>0.55146259223561345</v>
      </c>
      <c r="Q93" s="311"/>
    </row>
    <row r="94" spans="1:17" ht="11.25" customHeight="1" x14ac:dyDescent="0.2">
      <c r="B94" s="130"/>
      <c r="G94" s="52"/>
      <c r="H94" s="324"/>
      <c r="I94" s="313"/>
      <c r="J94" s="313"/>
      <c r="K94" s="313"/>
      <c r="L94" s="313"/>
      <c r="M94" s="313"/>
      <c r="N94" s="308"/>
      <c r="O94" s="25"/>
    </row>
    <row r="95" spans="1:17" ht="11.25" customHeight="1" x14ac:dyDescent="0.2">
      <c r="B95" s="130" t="s">
        <v>18</v>
      </c>
      <c r="C95" s="131"/>
      <c r="D95" s="131"/>
      <c r="E95" s="131"/>
      <c r="F95" s="131"/>
      <c r="G95" s="53"/>
      <c r="H95" s="325"/>
      <c r="I95" s="326"/>
      <c r="J95" s="326"/>
      <c r="K95" s="326"/>
      <c r="L95" s="326"/>
      <c r="M95" s="326"/>
      <c r="N95" s="308">
        <f>SUM(N92:N93)</f>
        <v>9076.7813999999998</v>
      </c>
      <c r="O95" s="25">
        <f>N95/N108</f>
        <v>0.1119234350810306</v>
      </c>
    </row>
    <row r="96" spans="1:17" ht="11.25" customHeight="1" x14ac:dyDescent="0.2">
      <c r="B96" s="130"/>
      <c r="G96" s="52"/>
      <c r="H96" s="324"/>
      <c r="I96" s="313"/>
      <c r="J96" s="313"/>
      <c r="K96" s="313"/>
      <c r="L96" s="313"/>
      <c r="M96" s="313"/>
      <c r="N96" s="308"/>
      <c r="O96" s="25"/>
    </row>
    <row r="97" spans="1:15" ht="11.25" customHeight="1" x14ac:dyDescent="0.2">
      <c r="A97" s="98" t="s">
        <v>139</v>
      </c>
      <c r="B97" s="88" t="s">
        <v>142</v>
      </c>
      <c r="G97" s="97"/>
      <c r="H97" s="308"/>
      <c r="I97" s="308"/>
      <c r="J97" s="308"/>
      <c r="K97" s="308"/>
      <c r="L97" s="308"/>
      <c r="M97" s="308"/>
      <c r="N97" s="308"/>
      <c r="O97" s="25"/>
    </row>
    <row r="98" spans="1:15" ht="11.25" customHeight="1" x14ac:dyDescent="0.2">
      <c r="A98" s="98" t="s">
        <v>140</v>
      </c>
      <c r="B98" s="88" t="s">
        <v>143</v>
      </c>
      <c r="G98" s="97" t="s">
        <v>24</v>
      </c>
      <c r="H98" s="308">
        <f>U6</f>
        <v>62</v>
      </c>
      <c r="I98" s="323">
        <f>VLOOKUP(A98,'[1]TAB OGU JUN18'!$A:$G,6,"falso")</f>
        <v>466.82</v>
      </c>
      <c r="J98" s="323">
        <f>VLOOKUP(A98,'[1]TAB OGU JUN18'!$A:$G,4,"falso")</f>
        <v>143.97</v>
      </c>
      <c r="K98" s="308">
        <f>H98*J98</f>
        <v>8926.14</v>
      </c>
      <c r="L98" s="323">
        <f>VLOOKUP(A98,'[1]TAB OGU JUN18'!$A:$G,5,"falso")</f>
        <v>322.85000000000002</v>
      </c>
      <c r="M98" s="308">
        <f>H98*L98</f>
        <v>20016.7</v>
      </c>
      <c r="N98" s="308">
        <f>H98*I98</f>
        <v>28942.84</v>
      </c>
      <c r="O98" s="25">
        <f>N98/N101</f>
        <v>0.70869017125039213</v>
      </c>
    </row>
    <row r="99" spans="1:15" ht="11.25" customHeight="1" x14ac:dyDescent="0.2">
      <c r="A99" s="98" t="s">
        <v>141</v>
      </c>
      <c r="B99" s="88" t="s">
        <v>144</v>
      </c>
      <c r="G99" s="97" t="s">
        <v>17</v>
      </c>
      <c r="H99" s="308">
        <f>(Q6-1.1)*H98</f>
        <v>47.046290859176182</v>
      </c>
      <c r="I99" s="323">
        <f>VLOOKUP(A99,'[1]TAB OGU JUN18'!$A:$G,6,"falso")</f>
        <v>252.88</v>
      </c>
      <c r="J99" s="323">
        <f>VLOOKUP(A99,'[1]TAB OGU JUN18'!$A:$G,4,"falso")</f>
        <v>47.83</v>
      </c>
      <c r="K99" s="308">
        <f>H99*J99</f>
        <v>2250.2240917943968</v>
      </c>
      <c r="L99" s="323">
        <f>VLOOKUP(A99,'[1]TAB OGU JUN18'!$A:$G,5,"falso")</f>
        <v>205.05</v>
      </c>
      <c r="M99" s="308">
        <f>H99*L99</f>
        <v>9646.8419406740759</v>
      </c>
      <c r="N99" s="308">
        <f>H99*I99</f>
        <v>11897.066032468472</v>
      </c>
      <c r="O99" s="25">
        <f>N99/N101</f>
        <v>0.29130982874960798</v>
      </c>
    </row>
    <row r="100" spans="1:15" ht="11.25" customHeight="1" x14ac:dyDescent="0.2">
      <c r="B100" s="130"/>
      <c r="G100" s="52"/>
      <c r="H100" s="324"/>
      <c r="I100" s="313"/>
      <c r="J100" s="313"/>
      <c r="K100" s="313"/>
      <c r="L100" s="313"/>
      <c r="M100" s="313"/>
      <c r="N100" s="308"/>
      <c r="O100" s="25"/>
    </row>
    <row r="101" spans="1:15" ht="11.25" customHeight="1" x14ac:dyDescent="0.2">
      <c r="B101" s="130" t="s">
        <v>18</v>
      </c>
      <c r="C101" s="131"/>
      <c r="D101" s="131"/>
      <c r="E101" s="131"/>
      <c r="F101" s="131"/>
      <c r="G101" s="53"/>
      <c r="H101" s="325"/>
      <c r="I101" s="326"/>
      <c r="J101" s="326"/>
      <c r="K101" s="326"/>
      <c r="L101" s="326"/>
      <c r="M101" s="326"/>
      <c r="N101" s="308">
        <f>N99+N98</f>
        <v>40839.906032468469</v>
      </c>
      <c r="O101" s="25">
        <f>N101/N108</f>
        <v>0.50358627911215026</v>
      </c>
    </row>
    <row r="102" spans="1:15" ht="11.25" customHeight="1" x14ac:dyDescent="0.2">
      <c r="B102" s="130"/>
      <c r="G102" s="52"/>
      <c r="H102" s="324"/>
      <c r="I102" s="313"/>
      <c r="J102" s="313"/>
      <c r="K102" s="313"/>
      <c r="L102" s="313"/>
      <c r="M102" s="313"/>
      <c r="N102" s="308"/>
      <c r="O102" s="25"/>
    </row>
    <row r="103" spans="1:15" ht="11.25" customHeight="1" x14ac:dyDescent="0.2">
      <c r="A103" s="129" t="s">
        <v>145</v>
      </c>
      <c r="B103" s="88" t="s">
        <v>26</v>
      </c>
      <c r="H103" s="329"/>
      <c r="I103" s="311"/>
      <c r="J103" s="311"/>
      <c r="K103" s="311"/>
      <c r="L103" s="311"/>
      <c r="M103" s="311"/>
      <c r="N103" s="311"/>
      <c r="O103" s="19"/>
    </row>
    <row r="104" spans="1:15" ht="11.25" customHeight="1" x14ac:dyDescent="0.2">
      <c r="A104" s="129" t="s">
        <v>146</v>
      </c>
      <c r="B104" s="88" t="s">
        <v>147</v>
      </c>
      <c r="G104" s="97" t="s">
        <v>32</v>
      </c>
      <c r="H104" s="308">
        <f>H14*R6*0.1</f>
        <v>197.36339999999996</v>
      </c>
      <c r="I104" s="323">
        <f>VLOOKUP(A104,'[1]TAB OGU JUN18'!$A:$G,6,"falso")</f>
        <v>157.99</v>
      </c>
      <c r="J104" s="323">
        <f>VLOOKUP(A104,'[1]TAB OGU JUN18'!$A:$G,4,"falso")</f>
        <v>39.5</v>
      </c>
      <c r="K104" s="308">
        <f>H104*J104</f>
        <v>7795.8542999999981</v>
      </c>
      <c r="L104" s="323">
        <f>VLOOKUP(A104,'[1]TAB OGU JUN18'!$A:$G,5,"falso")</f>
        <v>118.49</v>
      </c>
      <c r="M104" s="308">
        <f>H104*L104</f>
        <v>23385.589265999995</v>
      </c>
      <c r="N104" s="308">
        <f>H104*I104</f>
        <v>31181.443565999994</v>
      </c>
      <c r="O104" s="25">
        <f>N104/N106</f>
        <v>1</v>
      </c>
    </row>
    <row r="105" spans="1:15" ht="11.25" customHeight="1" x14ac:dyDescent="0.2">
      <c r="B105" s="130"/>
      <c r="G105" s="52"/>
      <c r="H105" s="324"/>
      <c r="I105" s="313"/>
      <c r="J105" s="313"/>
      <c r="K105" s="313"/>
      <c r="L105" s="313"/>
      <c r="M105" s="313"/>
      <c r="N105" s="308"/>
      <c r="O105" s="25"/>
    </row>
    <row r="106" spans="1:15" ht="11.25" customHeight="1" x14ac:dyDescent="0.2">
      <c r="B106" s="130" t="s">
        <v>18</v>
      </c>
      <c r="C106" s="131"/>
      <c r="D106" s="131"/>
      <c r="E106" s="131"/>
      <c r="F106" s="131"/>
      <c r="G106" s="53"/>
      <c r="H106" s="325"/>
      <c r="I106" s="326"/>
      <c r="J106" s="326"/>
      <c r="K106" s="326"/>
      <c r="L106" s="326"/>
      <c r="M106" s="326"/>
      <c r="N106" s="308">
        <f>N104</f>
        <v>31181.443565999994</v>
      </c>
      <c r="O106" s="25">
        <f>N106/N108</f>
        <v>0.3844902858068191</v>
      </c>
    </row>
    <row r="107" spans="1:15" ht="11.25" customHeight="1" x14ac:dyDescent="0.2">
      <c r="B107" s="130"/>
      <c r="G107" s="52"/>
      <c r="H107" s="324"/>
      <c r="I107" s="313"/>
      <c r="J107" s="313"/>
      <c r="K107" s="313"/>
      <c r="L107" s="313"/>
      <c r="M107" s="313"/>
      <c r="N107" s="308"/>
      <c r="O107" s="25"/>
    </row>
    <row r="108" spans="1:15" s="132" customFormat="1" ht="11.25" customHeight="1" x14ac:dyDescent="0.2">
      <c r="B108" s="133" t="s">
        <v>20</v>
      </c>
      <c r="C108" s="134"/>
      <c r="D108" s="134"/>
      <c r="E108" s="134"/>
      <c r="F108" s="134"/>
      <c r="G108" s="78"/>
      <c r="H108" s="327"/>
      <c r="I108" s="328"/>
      <c r="J108" s="328"/>
      <c r="K108" s="328"/>
      <c r="L108" s="328"/>
      <c r="M108" s="328"/>
      <c r="N108" s="310">
        <f>N106+N101+N95</f>
        <v>81098.130998468463</v>
      </c>
      <c r="O108" s="77">
        <f>N108/N118</f>
        <v>0.3585267705550374</v>
      </c>
    </row>
    <row r="109" spans="1:15" ht="11.25" customHeight="1" x14ac:dyDescent="0.2">
      <c r="B109" s="130"/>
      <c r="G109" s="52"/>
      <c r="H109" s="324"/>
      <c r="I109" s="313"/>
      <c r="J109" s="313"/>
      <c r="K109" s="313"/>
      <c r="L109" s="313"/>
      <c r="M109" s="313"/>
      <c r="N109" s="308"/>
      <c r="O109" s="25"/>
    </row>
    <row r="110" spans="1:15" ht="11.25" customHeight="1" x14ac:dyDescent="0.2">
      <c r="A110" s="98" t="s">
        <v>169</v>
      </c>
      <c r="B110" s="88" t="s">
        <v>172</v>
      </c>
      <c r="G110" s="97"/>
      <c r="H110" s="308"/>
      <c r="I110" s="308"/>
      <c r="J110" s="308"/>
      <c r="K110" s="308"/>
      <c r="L110" s="308"/>
      <c r="M110" s="308"/>
      <c r="N110" s="308"/>
      <c r="O110" s="25"/>
    </row>
    <row r="111" spans="1:15" ht="11.25" customHeight="1" x14ac:dyDescent="0.2">
      <c r="A111" s="98" t="s">
        <v>170</v>
      </c>
      <c r="B111" s="88" t="s">
        <v>173</v>
      </c>
      <c r="G111" s="97"/>
      <c r="H111" s="308"/>
      <c r="I111" s="308"/>
      <c r="J111" s="308"/>
      <c r="K111" s="308"/>
      <c r="L111" s="308"/>
      <c r="M111" s="308"/>
      <c r="N111" s="308"/>
      <c r="O111" s="25"/>
    </row>
    <row r="112" spans="1:15" ht="11.25" customHeight="1" x14ac:dyDescent="0.2">
      <c r="A112" s="98" t="s">
        <v>171</v>
      </c>
      <c r="B112" s="88" t="s">
        <v>174</v>
      </c>
      <c r="G112" s="97" t="s">
        <v>17</v>
      </c>
      <c r="H112" s="308">
        <f>H14</f>
        <v>3136.2599999999998</v>
      </c>
      <c r="I112" s="323">
        <f>VLOOKUP(A112,'[1]TAB OGU JUN18'!$A:$G,6,"falso")</f>
        <v>1.31</v>
      </c>
      <c r="J112" s="323">
        <f>VLOOKUP(A112,'[1]TAB OGU JUN18'!$A:$G,4,"falso")</f>
        <v>1.1399999999999999</v>
      </c>
      <c r="K112" s="308">
        <f>H112*J112</f>
        <v>3575.3363999999992</v>
      </c>
      <c r="L112" s="323">
        <f>VLOOKUP(A112,'[1]TAB OGU JUN18'!$A:$G,5,"falso")</f>
        <v>0.17</v>
      </c>
      <c r="M112" s="308">
        <f>H112*L112</f>
        <v>533.16420000000005</v>
      </c>
      <c r="N112" s="308">
        <f>H112*I112</f>
        <v>4108.5006000000003</v>
      </c>
      <c r="O112" s="25">
        <f>N112/N114</f>
        <v>1</v>
      </c>
    </row>
    <row r="113" spans="1:16" ht="11.25" customHeight="1" x14ac:dyDescent="0.2">
      <c r="B113" s="130"/>
      <c r="G113" s="52"/>
      <c r="H113" s="324"/>
      <c r="I113" s="313"/>
      <c r="J113" s="313"/>
      <c r="K113" s="313"/>
      <c r="L113" s="313"/>
      <c r="M113" s="313"/>
      <c r="N113" s="308"/>
      <c r="O113" s="25"/>
    </row>
    <row r="114" spans="1:16" ht="11.25" customHeight="1" x14ac:dyDescent="0.2">
      <c r="B114" s="130" t="s">
        <v>18</v>
      </c>
      <c r="C114" s="131"/>
      <c r="D114" s="131"/>
      <c r="E114" s="131"/>
      <c r="F114" s="131"/>
      <c r="G114" s="53"/>
      <c r="H114" s="325"/>
      <c r="I114" s="326"/>
      <c r="J114" s="326"/>
      <c r="K114" s="326"/>
      <c r="L114" s="326"/>
      <c r="M114" s="326"/>
      <c r="N114" s="308">
        <f>N112</f>
        <v>4108.5006000000003</v>
      </c>
      <c r="O114" s="25">
        <f>N114/N116</f>
        <v>1</v>
      </c>
    </row>
    <row r="115" spans="1:16" ht="11.25" customHeight="1" x14ac:dyDescent="0.2">
      <c r="A115" s="98"/>
      <c r="B115" s="88"/>
      <c r="G115" s="97"/>
      <c r="H115" s="308"/>
      <c r="I115" s="308"/>
      <c r="J115" s="308"/>
      <c r="K115" s="308"/>
      <c r="L115" s="308"/>
      <c r="M115" s="308"/>
      <c r="N115" s="308"/>
      <c r="O115" s="25"/>
    </row>
    <row r="116" spans="1:16" s="132" customFormat="1" ht="11.25" customHeight="1" x14ac:dyDescent="0.2">
      <c r="A116" s="145"/>
      <c r="B116" s="133" t="s">
        <v>20</v>
      </c>
      <c r="C116" s="134"/>
      <c r="D116" s="134"/>
      <c r="E116" s="134"/>
      <c r="F116" s="134"/>
      <c r="G116" s="78"/>
      <c r="H116" s="327"/>
      <c r="I116" s="328"/>
      <c r="J116" s="328"/>
      <c r="K116" s="328"/>
      <c r="L116" s="328"/>
      <c r="M116" s="328"/>
      <c r="N116" s="310">
        <f>N114</f>
        <v>4108.5006000000003</v>
      </c>
      <c r="O116" s="77">
        <f>N116/N118</f>
        <v>1.8163272492300115E-2</v>
      </c>
    </row>
    <row r="117" spans="1:16" ht="6.75" customHeight="1" x14ac:dyDescent="0.2">
      <c r="A117" s="98"/>
      <c r="B117" s="88"/>
      <c r="G117" s="97"/>
      <c r="H117" s="308"/>
      <c r="I117" s="308"/>
      <c r="J117" s="308"/>
      <c r="K117" s="308"/>
      <c r="L117" s="308"/>
      <c r="M117" s="308"/>
      <c r="N117" s="308"/>
      <c r="O117" s="25"/>
    </row>
    <row r="118" spans="1:16" ht="12" customHeight="1" x14ac:dyDescent="0.2">
      <c r="A118" s="146"/>
      <c r="B118" s="147" t="s">
        <v>30</v>
      </c>
      <c r="C118" s="146"/>
      <c r="D118" s="146"/>
      <c r="E118" s="146"/>
      <c r="F118" s="146"/>
      <c r="G118" s="146"/>
      <c r="H118" s="342"/>
      <c r="I118" s="345"/>
      <c r="J118" s="345"/>
      <c r="K118" s="275">
        <f>SUM(K12:K117)</f>
        <v>168477.20994113022</v>
      </c>
      <c r="L118" s="275"/>
      <c r="M118" s="275">
        <f>SUM(M12:M117)</f>
        <v>57719.916068844075</v>
      </c>
      <c r="N118" s="343">
        <f>N116+N108+N88+N80+N66+N29</f>
        <v>226198.25814658127</v>
      </c>
      <c r="O118" s="322"/>
      <c r="P118" s="149"/>
    </row>
    <row r="119" spans="1:16" ht="4.5" customHeight="1" x14ac:dyDescent="0.2">
      <c r="A119" s="98"/>
      <c r="B119" s="88"/>
      <c r="G119" s="97"/>
      <c r="H119" s="308"/>
      <c r="I119" s="308"/>
      <c r="J119" s="308"/>
      <c r="K119" s="308"/>
      <c r="L119" s="308"/>
      <c r="M119" s="308"/>
      <c r="N119" s="308"/>
      <c r="O119" s="25"/>
    </row>
    <row r="120" spans="1:16" ht="12" customHeight="1" x14ac:dyDescent="0.2">
      <c r="A120" s="146"/>
      <c r="B120" s="147" t="s">
        <v>265</v>
      </c>
      <c r="C120" s="146"/>
      <c r="D120" s="146"/>
      <c r="E120" s="146"/>
      <c r="F120" s="146"/>
      <c r="G120" s="146"/>
      <c r="H120" s="342"/>
      <c r="I120" s="342"/>
      <c r="J120" s="342"/>
      <c r="K120" s="274">
        <f>K118+(K118*O5)</f>
        <v>214943.22444289393</v>
      </c>
      <c r="L120" s="274"/>
      <c r="M120" s="275">
        <f>M118+(M118*O7)</f>
        <v>67947.885196243238</v>
      </c>
      <c r="N120" s="343">
        <f>K120+M120</f>
        <v>282891.10963913717</v>
      </c>
      <c r="O120" s="29">
        <f>N120/RESUMO!H95</f>
        <v>3.9065348570427323E-2</v>
      </c>
      <c r="P120" s="149"/>
    </row>
    <row r="125" spans="1:16" s="150" customFormat="1" ht="12" customHeight="1" x14ac:dyDescent="0.2">
      <c r="A125" s="51"/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2"/>
    </row>
    <row r="126" spans="1:16" s="150" customFormat="1" ht="12" customHeight="1" x14ac:dyDescent="0.2">
      <c r="A126" s="51"/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2"/>
    </row>
  </sheetData>
  <mergeCells count="9">
    <mergeCell ref="T4:T5"/>
    <mergeCell ref="U4:U5"/>
    <mergeCell ref="A5:B6"/>
    <mergeCell ref="A2:O2"/>
    <mergeCell ref="N4:O4"/>
    <mergeCell ref="P4:P5"/>
    <mergeCell ref="Q4:Q5"/>
    <mergeCell ref="R4:R5"/>
    <mergeCell ref="S4:S5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rowBreaks count="1" manualBreakCount="1">
    <brk id="30" max="12" man="1"/>
  </rowBreaks>
  <legacyDrawingHF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theme="6" tint="0.39997558519241921"/>
    <pageSetUpPr fitToPage="1"/>
  </sheetPr>
  <dimension ref="A1:P44"/>
  <sheetViews>
    <sheetView view="pageBreakPreview" zoomScale="90" zoomScaleNormal="90" zoomScaleSheetLayoutView="90" workbookViewId="0">
      <selection activeCell="R5" sqref="R5"/>
    </sheetView>
  </sheetViews>
  <sheetFormatPr defaultColWidth="11.42578125" defaultRowHeight="12" customHeight="1" x14ac:dyDescent="0.2"/>
  <cols>
    <col min="1" max="5" width="11.42578125" style="51" customWidth="1"/>
    <col min="6" max="6" width="28.5703125" style="51" customWidth="1"/>
    <col min="7" max="9" width="11.42578125" style="51" customWidth="1"/>
    <col min="10" max="10" width="11.42578125" style="51" hidden="1" customWidth="1"/>
    <col min="11" max="11" width="14.28515625" style="51" customWidth="1"/>
    <col min="12" max="12" width="6" style="51" hidden="1" customWidth="1"/>
    <col min="13" max="13" width="14.28515625" style="51" customWidth="1"/>
    <col min="14" max="14" width="17.140625" style="51" customWidth="1"/>
    <col min="15" max="15" width="11.42578125" style="52" customWidth="1"/>
    <col min="16" max="16" width="6" style="51" bestFit="1" customWidth="1"/>
    <col min="17" max="16384" width="11.42578125" style="51"/>
  </cols>
  <sheetData>
    <row r="1" spans="1:16" ht="7.5" customHeight="1" x14ac:dyDescent="0.2"/>
    <row r="2" spans="1:16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6" ht="7.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95"/>
    </row>
    <row r="4" spans="1:16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6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6" ht="12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6" ht="12" customHeight="1" x14ac:dyDescent="0.2">
      <c r="A7" s="253"/>
      <c r="B7" s="253"/>
      <c r="C7" s="260" t="s">
        <v>6</v>
      </c>
      <c r="D7" s="263" t="str">
        <f>RESUMO!A41</f>
        <v>U.C. : 11</v>
      </c>
      <c r="E7" s="258"/>
      <c r="F7" s="258"/>
      <c r="G7" s="260" t="s">
        <v>9</v>
      </c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6" ht="12" customHeight="1" thickBot="1" x14ac:dyDescent="0.25">
      <c r="A8" s="124"/>
      <c r="B8" s="125"/>
      <c r="C8" s="266" t="s">
        <v>8</v>
      </c>
      <c r="D8" s="267" t="str">
        <f>RESUMO!B41</f>
        <v>INTERCEPTOR</v>
      </c>
      <c r="E8" s="268"/>
      <c r="F8" s="268"/>
      <c r="G8" s="266"/>
      <c r="H8" s="123"/>
      <c r="I8" s="278"/>
      <c r="J8" s="278"/>
      <c r="K8" s="278"/>
      <c r="L8" s="278"/>
      <c r="M8" s="278"/>
      <c r="N8" s="271"/>
      <c r="O8" s="427"/>
    </row>
    <row r="9" spans="1:16" ht="12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6" ht="7.5" customHeight="1" x14ac:dyDescent="0.2">
      <c r="O10" s="19"/>
    </row>
    <row r="11" spans="1:16" ht="12" customHeight="1" x14ac:dyDescent="0.2">
      <c r="A11" s="93">
        <f>RESUMO!A43</f>
        <v>2</v>
      </c>
      <c r="B11" s="93" t="str">
        <f>RESUMO!B43</f>
        <v>INTERCEPTOR - MATERIAIS</v>
      </c>
      <c r="O11" s="19"/>
    </row>
    <row r="12" spans="1:16" ht="12" customHeight="1" x14ac:dyDescent="0.2">
      <c r="A12" s="98" t="s">
        <v>266</v>
      </c>
      <c r="B12" s="88" t="s">
        <v>71</v>
      </c>
      <c r="G12" s="52"/>
      <c r="H12" s="19"/>
      <c r="I12" s="52"/>
      <c r="J12" s="52"/>
      <c r="K12" s="52"/>
      <c r="L12" s="52"/>
      <c r="M12" s="52"/>
      <c r="N12" s="52"/>
      <c r="O12" s="19"/>
    </row>
    <row r="13" spans="1:16" ht="12" customHeight="1" x14ac:dyDescent="0.2">
      <c r="A13" s="98" t="s">
        <v>279</v>
      </c>
      <c r="B13" s="88" t="s">
        <v>280</v>
      </c>
      <c r="G13" s="52"/>
      <c r="H13" s="19"/>
      <c r="I13" s="52"/>
      <c r="J13" s="52"/>
      <c r="K13" s="52"/>
      <c r="L13" s="52"/>
      <c r="M13" s="52"/>
      <c r="N13" s="52"/>
      <c r="O13" s="19"/>
    </row>
    <row r="14" spans="1:16" ht="12" customHeight="1" x14ac:dyDescent="0.2">
      <c r="A14" s="98" t="s">
        <v>282</v>
      </c>
      <c r="B14" s="88" t="s">
        <v>260</v>
      </c>
      <c r="G14" s="97" t="s">
        <v>24</v>
      </c>
      <c r="H14" s="308">
        <f>'08 - INT'!H98</f>
        <v>62</v>
      </c>
      <c r="I14" s="308">
        <v>37.840000000000003</v>
      </c>
      <c r="J14" s="308"/>
      <c r="K14" s="308"/>
      <c r="L14" s="323">
        <v>37.840000000000003</v>
      </c>
      <c r="M14" s="308">
        <f>H14*L14</f>
        <v>2346.0800000000004</v>
      </c>
      <c r="N14" s="308">
        <f>H14*I14</f>
        <v>2346.0800000000004</v>
      </c>
      <c r="O14" s="25">
        <f>N14/N16</f>
        <v>1</v>
      </c>
      <c r="P14" s="51">
        <v>13255</v>
      </c>
    </row>
    <row r="15" spans="1:16" ht="12" customHeight="1" x14ac:dyDescent="0.2">
      <c r="G15" s="52"/>
      <c r="H15" s="324"/>
      <c r="I15" s="313"/>
      <c r="J15" s="313"/>
      <c r="K15" s="313"/>
      <c r="L15" s="313"/>
      <c r="M15" s="313"/>
      <c r="N15" s="313"/>
      <c r="O15" s="19"/>
    </row>
    <row r="16" spans="1:16" ht="12" customHeight="1" x14ac:dyDescent="0.2">
      <c r="B16" s="130" t="s">
        <v>18</v>
      </c>
      <c r="C16" s="131"/>
      <c r="D16" s="131"/>
      <c r="E16" s="131"/>
      <c r="F16" s="131"/>
      <c r="G16" s="53"/>
      <c r="H16" s="325"/>
      <c r="I16" s="326"/>
      <c r="J16" s="326"/>
      <c r="K16" s="326"/>
      <c r="L16" s="326"/>
      <c r="M16" s="326"/>
      <c r="N16" s="308">
        <f>N14</f>
        <v>2346.0800000000004</v>
      </c>
      <c r="O16" s="25">
        <f>N16/N18</f>
        <v>1</v>
      </c>
    </row>
    <row r="17" spans="1:16" ht="12" customHeight="1" x14ac:dyDescent="0.2">
      <c r="B17" s="130"/>
      <c r="G17" s="52"/>
      <c r="H17" s="324"/>
      <c r="I17" s="313"/>
      <c r="J17" s="313"/>
      <c r="K17" s="313"/>
      <c r="L17" s="313"/>
      <c r="M17" s="313"/>
      <c r="N17" s="308"/>
      <c r="O17" s="25"/>
    </row>
    <row r="18" spans="1:16" s="132" customFormat="1" ht="12" customHeight="1" x14ac:dyDescent="0.2">
      <c r="B18" s="133" t="s">
        <v>20</v>
      </c>
      <c r="C18" s="134"/>
      <c r="D18" s="134"/>
      <c r="E18" s="134"/>
      <c r="F18" s="134"/>
      <c r="G18" s="78"/>
      <c r="H18" s="327"/>
      <c r="I18" s="328"/>
      <c r="J18" s="328"/>
      <c r="K18" s="328"/>
      <c r="L18" s="328"/>
      <c r="M18" s="328"/>
      <c r="N18" s="310">
        <f>N16</f>
        <v>2346.0800000000004</v>
      </c>
      <c r="O18" s="77">
        <f>N18/N29</f>
        <v>1.5232781635361894E-2</v>
      </c>
    </row>
    <row r="19" spans="1:16" ht="12" customHeight="1" x14ac:dyDescent="0.2">
      <c r="G19" s="52"/>
      <c r="H19" s="324"/>
      <c r="I19" s="313"/>
      <c r="J19" s="313"/>
      <c r="K19" s="313"/>
      <c r="L19" s="313"/>
      <c r="M19" s="313"/>
      <c r="N19" s="313"/>
      <c r="O19" s="19"/>
    </row>
    <row r="20" spans="1:16" ht="12" customHeight="1" x14ac:dyDescent="0.2">
      <c r="A20" s="98" t="s">
        <v>270</v>
      </c>
      <c r="B20" s="88" t="s">
        <v>29</v>
      </c>
      <c r="G20" s="52"/>
      <c r="H20" s="324"/>
      <c r="I20" s="313"/>
      <c r="J20" s="313"/>
      <c r="K20" s="313"/>
      <c r="L20" s="313"/>
      <c r="M20" s="313"/>
      <c r="N20" s="313"/>
      <c r="O20" s="19"/>
    </row>
    <row r="21" spans="1:16" ht="12" customHeight="1" x14ac:dyDescent="0.2">
      <c r="A21" s="98" t="s">
        <v>275</v>
      </c>
      <c r="B21" s="88" t="s">
        <v>36</v>
      </c>
      <c r="G21" s="52"/>
      <c r="H21" s="324"/>
      <c r="I21" s="313"/>
      <c r="J21" s="313"/>
      <c r="K21" s="313"/>
      <c r="L21" s="313"/>
      <c r="M21" s="313"/>
      <c r="N21" s="313"/>
      <c r="O21" s="19"/>
    </row>
    <row r="22" spans="1:16" ht="12" customHeight="1" x14ac:dyDescent="0.2">
      <c r="A22" s="98" t="s">
        <v>276</v>
      </c>
      <c r="B22" s="88" t="s">
        <v>78</v>
      </c>
      <c r="G22" s="97" t="s">
        <v>17</v>
      </c>
      <c r="H22" s="308">
        <f>'08 - INT'!H92</f>
        <v>1542.1499999999999</v>
      </c>
      <c r="I22" s="323">
        <f>VLOOKUP(A22,'[1]TAB OGU JUN18'!$A:$G,6,"falso")</f>
        <v>37.630000000000003</v>
      </c>
      <c r="J22" s="308"/>
      <c r="K22" s="308"/>
      <c r="L22" s="323">
        <f>VLOOKUP(A22,'[1]TAB OGU JUN18'!$A:$G,5,"falso")</f>
        <v>37.630000000000003</v>
      </c>
      <c r="M22" s="308">
        <f>H22*L22</f>
        <v>58031.104500000001</v>
      </c>
      <c r="N22" s="308">
        <f>H22*I22</f>
        <v>58031.104500000001</v>
      </c>
      <c r="O22" s="25">
        <f>N22/$N$25</f>
        <v>0.38261646301213376</v>
      </c>
    </row>
    <row r="23" spans="1:16" ht="12" customHeight="1" x14ac:dyDescent="0.2">
      <c r="A23" s="98" t="s">
        <v>277</v>
      </c>
      <c r="B23" s="88" t="s">
        <v>205</v>
      </c>
      <c r="G23" s="97" t="s">
        <v>17</v>
      </c>
      <c r="H23" s="308">
        <f>'08 - INT'!H93</f>
        <v>1594.11</v>
      </c>
      <c r="I23" s="323">
        <f>VLOOKUP(A23,'[1]TAB OGU JUN18'!$A:$G,6,"falso")</f>
        <v>58.74</v>
      </c>
      <c r="J23" s="308"/>
      <c r="K23" s="308"/>
      <c r="L23" s="323">
        <f>VLOOKUP(A23,'[1]TAB OGU JUN18'!$A:$G,5,"falso")</f>
        <v>58.74</v>
      </c>
      <c r="M23" s="308">
        <f>H23*L23</f>
        <v>93638.021399999998</v>
      </c>
      <c r="N23" s="308">
        <f>H23*I23</f>
        <v>93638.021399999998</v>
      </c>
      <c r="O23" s="25">
        <f>N23/$N$25</f>
        <v>0.6173835369878663</v>
      </c>
    </row>
    <row r="24" spans="1:16" ht="12" customHeight="1" x14ac:dyDescent="0.2">
      <c r="G24" s="52"/>
      <c r="H24" s="324"/>
      <c r="I24" s="313"/>
      <c r="J24" s="313"/>
      <c r="K24" s="313"/>
      <c r="L24" s="313"/>
      <c r="M24" s="313"/>
      <c r="N24" s="313"/>
      <c r="O24" s="19"/>
    </row>
    <row r="25" spans="1:16" ht="12" customHeight="1" x14ac:dyDescent="0.2">
      <c r="B25" s="130" t="s">
        <v>18</v>
      </c>
      <c r="C25" s="131"/>
      <c r="D25" s="131"/>
      <c r="E25" s="131"/>
      <c r="F25" s="131"/>
      <c r="G25" s="53"/>
      <c r="H25" s="325"/>
      <c r="I25" s="326"/>
      <c r="J25" s="326"/>
      <c r="K25" s="326"/>
      <c r="L25" s="326"/>
      <c r="M25" s="326"/>
      <c r="N25" s="308">
        <f>N22+N23</f>
        <v>151669.12589999998</v>
      </c>
      <c r="O25" s="25">
        <f>N25/N27</f>
        <v>1</v>
      </c>
    </row>
    <row r="26" spans="1:16" ht="12" customHeight="1" x14ac:dyDescent="0.2">
      <c r="G26" s="52"/>
      <c r="H26" s="313"/>
      <c r="I26" s="313"/>
      <c r="J26" s="313"/>
      <c r="K26" s="313"/>
      <c r="L26" s="313"/>
      <c r="M26" s="313"/>
      <c r="N26" s="313"/>
      <c r="O26" s="19"/>
    </row>
    <row r="27" spans="1:16" s="132" customFormat="1" ht="12" customHeight="1" x14ac:dyDescent="0.2">
      <c r="B27" s="133" t="s">
        <v>20</v>
      </c>
      <c r="C27" s="134"/>
      <c r="D27" s="134"/>
      <c r="E27" s="134"/>
      <c r="F27" s="134"/>
      <c r="G27" s="78"/>
      <c r="H27" s="328"/>
      <c r="I27" s="328"/>
      <c r="J27" s="328"/>
      <c r="K27" s="328"/>
      <c r="L27" s="328"/>
      <c r="M27" s="328"/>
      <c r="N27" s="310">
        <f>N25</f>
        <v>151669.12589999998</v>
      </c>
      <c r="O27" s="77">
        <f>N27/N29</f>
        <v>0.98476721836463821</v>
      </c>
    </row>
    <row r="28" spans="1:16" ht="7.5" customHeight="1" x14ac:dyDescent="0.2">
      <c r="G28" s="52"/>
      <c r="H28" s="313"/>
      <c r="I28" s="313"/>
      <c r="J28" s="313"/>
      <c r="K28" s="313"/>
      <c r="L28" s="313"/>
      <c r="M28" s="313"/>
      <c r="N28" s="313"/>
      <c r="O28" s="19"/>
    </row>
    <row r="29" spans="1:16" ht="12" customHeight="1" x14ac:dyDescent="0.2">
      <c r="A29" s="146"/>
      <c r="B29" s="147" t="s">
        <v>30</v>
      </c>
      <c r="C29" s="146"/>
      <c r="D29" s="146"/>
      <c r="E29" s="146"/>
      <c r="F29" s="146"/>
      <c r="G29" s="146"/>
      <c r="H29" s="342"/>
      <c r="I29" s="345"/>
      <c r="J29" s="345"/>
      <c r="K29" s="345"/>
      <c r="L29" s="345"/>
      <c r="M29" s="275">
        <f>SUM(M14:M28)</f>
        <v>154015.2059</v>
      </c>
      <c r="N29" s="316">
        <f>N27+N18</f>
        <v>154015.20589999997</v>
      </c>
      <c r="O29" s="322"/>
      <c r="P29" s="149"/>
    </row>
    <row r="30" spans="1:16" ht="7.5" customHeight="1" x14ac:dyDescent="0.2">
      <c r="G30" s="52"/>
      <c r="H30" s="313"/>
      <c r="I30" s="313"/>
      <c r="J30" s="313"/>
      <c r="K30" s="313"/>
      <c r="L30" s="313"/>
      <c r="M30" s="313"/>
      <c r="N30" s="313"/>
      <c r="O30" s="19"/>
    </row>
    <row r="31" spans="1:16" ht="12" customHeight="1" x14ac:dyDescent="0.2">
      <c r="A31" s="146"/>
      <c r="B31" s="147" t="s">
        <v>265</v>
      </c>
      <c r="C31" s="146"/>
      <c r="D31" s="146"/>
      <c r="E31" s="146"/>
      <c r="F31" s="146"/>
      <c r="G31" s="146"/>
      <c r="H31" s="342"/>
      <c r="I31" s="345"/>
      <c r="J31" s="345"/>
      <c r="K31" s="345"/>
      <c r="L31" s="345"/>
      <c r="M31" s="275">
        <f>M29+(M29*O7)</f>
        <v>181306.70038548001</v>
      </c>
      <c r="N31" s="316">
        <f>M31</f>
        <v>181306.70038548001</v>
      </c>
      <c r="O31" s="29">
        <f>N31/RESUMO!H95</f>
        <v>2.5037228839562376E-2</v>
      </c>
      <c r="P31" s="149"/>
    </row>
    <row r="43" spans="1:15" ht="12" customHeight="1" x14ac:dyDescent="0.2">
      <c r="A43" s="150"/>
      <c r="B43" s="150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211"/>
      <c r="O43" s="210"/>
    </row>
    <row r="44" spans="1:15" ht="12" customHeight="1" x14ac:dyDescent="0.2">
      <c r="A44" s="88"/>
      <c r="C44" s="184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184"/>
      <c r="O44" s="437"/>
    </row>
  </sheetData>
  <mergeCells count="3">
    <mergeCell ref="A2:O2"/>
    <mergeCell ref="N4:O4"/>
    <mergeCell ref="A5:B6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rowBreaks count="1" manualBreakCount="1">
    <brk id="20" max="12" man="1"/>
  </rowBreaks>
  <legacyDrawingHF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theme="6" tint="0.39997558519241921"/>
    <pageSetUpPr fitToPage="1"/>
  </sheetPr>
  <dimension ref="A1:U126"/>
  <sheetViews>
    <sheetView view="pageBreakPreview" topLeftCell="A31" zoomScale="85" zoomScaleNormal="90" zoomScaleSheetLayoutView="85" workbookViewId="0">
      <selection activeCell="P87" sqref="P87"/>
    </sheetView>
  </sheetViews>
  <sheetFormatPr defaultColWidth="11.42578125" defaultRowHeight="12" customHeight="1" x14ac:dyDescent="0.2"/>
  <cols>
    <col min="1" max="3" width="11.42578125" style="51"/>
    <col min="4" max="4" width="11.42578125" style="51" customWidth="1"/>
    <col min="5" max="5" width="11.42578125" style="51"/>
    <col min="6" max="6" width="28.5703125" style="51" customWidth="1"/>
    <col min="7" max="7" width="11.42578125" style="51"/>
    <col min="8" max="9" width="11.42578125" style="51" customWidth="1"/>
    <col min="10" max="10" width="5.7109375" style="51" hidden="1" customWidth="1"/>
    <col min="11" max="11" width="14.28515625" style="51" customWidth="1"/>
    <col min="12" max="12" width="6.7109375" style="51" hidden="1" customWidth="1"/>
    <col min="13" max="13" width="14.28515625" style="51" customWidth="1"/>
    <col min="14" max="14" width="17.28515625" style="51" customWidth="1"/>
    <col min="15" max="15" width="11.42578125" style="52" customWidth="1"/>
    <col min="16" max="19" width="11.42578125" style="51"/>
    <col min="20" max="20" width="13.42578125" style="51" customWidth="1"/>
    <col min="21" max="16384" width="11.42578125" style="51"/>
  </cols>
  <sheetData>
    <row r="1" spans="1:21" ht="6.75" customHeight="1" x14ac:dyDescent="0.2"/>
    <row r="2" spans="1:21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21" ht="6.7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95"/>
    </row>
    <row r="4" spans="1:21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K4" s="259"/>
      <c r="L4" s="259"/>
      <c r="M4" s="259">
        <f ca="1">RESUMO!G4</f>
        <v>43657</v>
      </c>
      <c r="N4" s="832" t="str">
        <f>RESUMO!H4</f>
        <v>BDI Aplicado</v>
      </c>
      <c r="O4" s="833"/>
      <c r="P4" s="831" t="s">
        <v>995</v>
      </c>
      <c r="Q4" s="831" t="s">
        <v>991</v>
      </c>
      <c r="R4" s="831" t="s">
        <v>992</v>
      </c>
      <c r="S4" s="831" t="s">
        <v>993</v>
      </c>
      <c r="T4" s="831" t="s">
        <v>994</v>
      </c>
      <c r="U4" s="831" t="s">
        <v>996</v>
      </c>
    </row>
    <row r="5" spans="1:21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K5" s="258"/>
      <c r="L5" s="258"/>
      <c r="M5" s="258"/>
      <c r="N5" s="261" t="str">
        <f>RESUMO!H5</f>
        <v>Serviços</v>
      </c>
      <c r="O5" s="234">
        <f>RESUMO!I5</f>
        <v>0.27579999999999999</v>
      </c>
      <c r="P5" s="831"/>
      <c r="Q5" s="831"/>
      <c r="R5" s="831"/>
      <c r="S5" s="831"/>
      <c r="T5" s="831"/>
      <c r="U5" s="831"/>
    </row>
    <row r="6" spans="1:21" ht="12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K6" s="258"/>
      <c r="L6" s="258"/>
      <c r="M6" s="258"/>
      <c r="N6" s="261" t="str">
        <f>RESUMO!H6</f>
        <v>Serv Terc:</v>
      </c>
      <c r="O6" s="234">
        <f>RESUMO!I6</f>
        <v>0.1772</v>
      </c>
      <c r="P6" s="486">
        <v>182.04000000000002</v>
      </c>
      <c r="Q6" s="486">
        <v>2.3074027686222811</v>
      </c>
      <c r="R6" s="486">
        <v>0.64251263458580532</v>
      </c>
      <c r="S6" s="486">
        <v>168.01584000000003</v>
      </c>
      <c r="T6" s="486">
        <v>38.987666666666669</v>
      </c>
      <c r="U6" s="486">
        <v>4</v>
      </c>
    </row>
    <row r="7" spans="1:21" ht="12" customHeight="1" x14ac:dyDescent="0.2">
      <c r="A7" s="253"/>
      <c r="B7" s="253"/>
      <c r="C7" s="260" t="s">
        <v>6</v>
      </c>
      <c r="D7" s="263" t="str">
        <f>RESUMO!A44</f>
        <v>U.C. : 12</v>
      </c>
      <c r="E7" s="258"/>
      <c r="F7" s="258"/>
      <c r="G7" s="260" t="s">
        <v>9</v>
      </c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  <c r="T7" s="486">
        <v>35.324916666666674</v>
      </c>
    </row>
    <row r="8" spans="1:21" ht="12" customHeight="1" thickBot="1" x14ac:dyDescent="0.25">
      <c r="A8" s="124"/>
      <c r="B8" s="125"/>
      <c r="C8" s="266" t="s">
        <v>8</v>
      </c>
      <c r="D8" s="267" t="str">
        <f>RESUMO!B44</f>
        <v>EMISSÁRIO</v>
      </c>
      <c r="E8" s="268"/>
      <c r="F8" s="268"/>
      <c r="G8" s="266"/>
      <c r="H8" s="123"/>
      <c r="I8" s="278"/>
      <c r="J8" s="278"/>
      <c r="K8" s="278"/>
      <c r="L8" s="278"/>
      <c r="M8" s="278"/>
      <c r="N8" s="271"/>
      <c r="O8" s="427"/>
      <c r="T8" s="486">
        <v>148.6251666666667</v>
      </c>
    </row>
    <row r="9" spans="1:21" ht="12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  <c r="T9" s="486">
        <v>51.99134500000001</v>
      </c>
    </row>
    <row r="10" spans="1:21" ht="12.75" x14ac:dyDescent="0.2">
      <c r="O10" s="19"/>
      <c r="T10" s="486">
        <v>35.088900000000002</v>
      </c>
    </row>
    <row r="11" spans="1:21" ht="11.25" customHeight="1" x14ac:dyDescent="0.2">
      <c r="A11" s="93">
        <f>RESUMO!A42</f>
        <v>1</v>
      </c>
      <c r="B11" s="93" t="str">
        <f>RESUMO!B45</f>
        <v>EMISSARIO- SERVIÇOS</v>
      </c>
      <c r="H11" s="61"/>
      <c r="O11" s="19"/>
      <c r="T11" s="486">
        <v>224.92724820000007</v>
      </c>
    </row>
    <row r="12" spans="1:21" ht="11.25" customHeight="1" x14ac:dyDescent="0.2">
      <c r="A12" s="129" t="s">
        <v>48</v>
      </c>
      <c r="B12" s="88" t="s">
        <v>16</v>
      </c>
      <c r="H12" s="61"/>
      <c r="O12" s="19"/>
      <c r="T12" s="486">
        <v>14.912946800000004</v>
      </c>
    </row>
    <row r="13" spans="1:21" ht="11.25" customHeight="1" x14ac:dyDescent="0.2">
      <c r="A13" s="129" t="s">
        <v>79</v>
      </c>
      <c r="B13" s="88" t="s">
        <v>80</v>
      </c>
      <c r="H13" s="61"/>
      <c r="O13" s="19"/>
    </row>
    <row r="14" spans="1:21" ht="11.25" customHeight="1" x14ac:dyDescent="0.2">
      <c r="A14" s="129" t="s">
        <v>209</v>
      </c>
      <c r="B14" s="88" t="s">
        <v>210</v>
      </c>
      <c r="G14" s="97" t="s">
        <v>17</v>
      </c>
      <c r="H14" s="308">
        <f>P6</f>
        <v>182.04000000000002</v>
      </c>
      <c r="I14" s="323">
        <f>VLOOKUP(A14,'[1]TAB OGU JUN18'!$A:$G,6,"falso")</f>
        <v>1.2</v>
      </c>
      <c r="J14" s="323">
        <f>VLOOKUP(A14,'[1]TAB OGU JUN18'!$A:$G,4,"falso")</f>
        <v>0.82</v>
      </c>
      <c r="K14" s="308">
        <f>H14*J14</f>
        <v>149.27280000000002</v>
      </c>
      <c r="L14" s="323">
        <f>VLOOKUP(A14,'[1]TAB OGU JUN18'!$A:$G,5,"falso")</f>
        <v>0.38</v>
      </c>
      <c r="M14" s="308">
        <f>H14*L14</f>
        <v>69.175200000000004</v>
      </c>
      <c r="N14" s="308">
        <f>H14*I14</f>
        <v>218.44800000000001</v>
      </c>
      <c r="O14" s="25">
        <f>N14/N17</f>
        <v>1</v>
      </c>
      <c r="Q14" s="311"/>
    </row>
    <row r="15" spans="1:21" ht="11.25" customHeight="1" x14ac:dyDescent="0.2">
      <c r="B15" s="258" t="s">
        <v>211</v>
      </c>
      <c r="G15" s="52"/>
      <c r="H15" s="324"/>
      <c r="I15" s="324"/>
      <c r="J15" s="313"/>
      <c r="K15" s="313"/>
      <c r="L15" s="313"/>
      <c r="M15" s="313"/>
      <c r="N15" s="309"/>
      <c r="O15" s="25"/>
      <c r="Q15" s="311"/>
    </row>
    <row r="16" spans="1:21" ht="11.25" customHeight="1" x14ac:dyDescent="0.2">
      <c r="G16" s="52"/>
      <c r="H16" s="324"/>
      <c r="I16" s="324"/>
      <c r="J16" s="313"/>
      <c r="K16" s="313"/>
      <c r="L16" s="313"/>
      <c r="M16" s="313"/>
      <c r="N16" s="309"/>
      <c r="O16" s="25"/>
      <c r="Q16" s="311"/>
    </row>
    <row r="17" spans="1:17" ht="11.25" customHeight="1" x14ac:dyDescent="0.2">
      <c r="B17" s="130" t="s">
        <v>18</v>
      </c>
      <c r="C17" s="131"/>
      <c r="D17" s="131"/>
      <c r="E17" s="131"/>
      <c r="F17" s="131"/>
      <c r="G17" s="53"/>
      <c r="H17" s="325"/>
      <c r="I17" s="325"/>
      <c r="J17" s="326"/>
      <c r="K17" s="326"/>
      <c r="L17" s="326"/>
      <c r="M17" s="326"/>
      <c r="N17" s="308">
        <f>SUM(N14:N14)</f>
        <v>218.44800000000001</v>
      </c>
      <c r="O17" s="25">
        <f>N17/N29</f>
        <v>0.64516129032258052</v>
      </c>
      <c r="Q17" s="311"/>
    </row>
    <row r="18" spans="1:17" ht="11.25" customHeight="1" x14ac:dyDescent="0.2">
      <c r="B18" s="130"/>
      <c r="G18" s="52"/>
      <c r="H18" s="324"/>
      <c r="I18" s="324"/>
      <c r="J18" s="313"/>
      <c r="K18" s="313"/>
      <c r="L18" s="313"/>
      <c r="M18" s="313"/>
      <c r="N18" s="308"/>
      <c r="O18" s="25"/>
      <c r="Q18" s="311"/>
    </row>
    <row r="19" spans="1:17" ht="11.25" customHeight="1" x14ac:dyDescent="0.2">
      <c r="A19" s="98" t="s">
        <v>779</v>
      </c>
      <c r="B19" s="88" t="s">
        <v>780</v>
      </c>
      <c r="G19" s="52"/>
      <c r="H19" s="324"/>
      <c r="I19" s="324"/>
      <c r="J19" s="313"/>
      <c r="K19" s="313"/>
      <c r="L19" s="313"/>
      <c r="M19" s="313"/>
      <c r="N19" s="313"/>
      <c r="O19" s="19"/>
      <c r="Q19" s="311"/>
    </row>
    <row r="20" spans="1:17" ht="11.25" customHeight="1" x14ac:dyDescent="0.2">
      <c r="A20" s="98" t="s">
        <v>782</v>
      </c>
      <c r="B20" s="88" t="s">
        <v>781</v>
      </c>
      <c r="G20" s="97" t="s">
        <v>17</v>
      </c>
      <c r="H20" s="308">
        <f>H14</f>
        <v>182.04000000000002</v>
      </c>
      <c r="I20" s="323">
        <f>VLOOKUP(A20,'[1]TAB OGU JUN18'!$A:$G,6,"falso")</f>
        <v>0.4</v>
      </c>
      <c r="J20" s="323">
        <f>VLOOKUP(A20,'[1]TAB OGU JUN18'!$A:$G,4,"falso")</f>
        <v>0.4</v>
      </c>
      <c r="K20" s="308">
        <f>H20*J20</f>
        <v>72.816000000000017</v>
      </c>
      <c r="L20" s="323">
        <f>VLOOKUP(A20,'[1]TAB OGU JUN18'!$A:$G,5,"falso")</f>
        <v>0</v>
      </c>
      <c r="M20" s="308"/>
      <c r="N20" s="308">
        <f>H20*I20</f>
        <v>72.816000000000017</v>
      </c>
      <c r="O20" s="25">
        <f>N20/N22</f>
        <v>1</v>
      </c>
      <c r="Q20" s="311"/>
    </row>
    <row r="21" spans="1:17" ht="11.25" customHeight="1" x14ac:dyDescent="0.2">
      <c r="G21" s="52"/>
      <c r="H21" s="324"/>
      <c r="I21" s="324"/>
      <c r="J21" s="313"/>
      <c r="K21" s="313"/>
      <c r="L21" s="313"/>
      <c r="M21" s="313"/>
      <c r="N21" s="313"/>
      <c r="O21" s="19"/>
      <c r="Q21" s="311"/>
    </row>
    <row r="22" spans="1:17" ht="11.25" customHeight="1" x14ac:dyDescent="0.2">
      <c r="B22" s="130" t="s">
        <v>18</v>
      </c>
      <c r="C22" s="131"/>
      <c r="D22" s="131"/>
      <c r="E22" s="131"/>
      <c r="F22" s="131"/>
      <c r="G22" s="53"/>
      <c r="H22" s="325"/>
      <c r="I22" s="325"/>
      <c r="J22" s="326"/>
      <c r="K22" s="326"/>
      <c r="L22" s="326"/>
      <c r="M22" s="326"/>
      <c r="N22" s="308">
        <f>N20</f>
        <v>72.816000000000017</v>
      </c>
      <c r="O22" s="25">
        <f>N22/N29</f>
        <v>0.21505376344086022</v>
      </c>
      <c r="Q22" s="311"/>
    </row>
    <row r="23" spans="1:17" ht="11.25" customHeight="1" x14ac:dyDescent="0.2">
      <c r="B23" s="130"/>
      <c r="G23" s="52"/>
      <c r="H23" s="324"/>
      <c r="I23" s="324"/>
      <c r="J23" s="313"/>
      <c r="K23" s="313"/>
      <c r="L23" s="313"/>
      <c r="M23" s="313"/>
      <c r="N23" s="308"/>
      <c r="O23" s="25"/>
      <c r="Q23" s="311"/>
    </row>
    <row r="24" spans="1:17" ht="11.25" customHeight="1" x14ac:dyDescent="0.2">
      <c r="A24" s="98" t="s">
        <v>82</v>
      </c>
      <c r="B24" s="88" t="s">
        <v>19</v>
      </c>
      <c r="G24" s="52"/>
      <c r="H24" s="19"/>
      <c r="I24" s="52"/>
      <c r="J24" s="52"/>
      <c r="K24" s="52"/>
      <c r="L24" s="52"/>
      <c r="M24" s="52"/>
      <c r="N24" s="52"/>
      <c r="O24" s="19"/>
    </row>
    <row r="25" spans="1:17" ht="11.25" customHeight="1" x14ac:dyDescent="0.2">
      <c r="A25" s="98" t="s">
        <v>83</v>
      </c>
      <c r="B25" s="88" t="s">
        <v>81</v>
      </c>
      <c r="G25" s="97" t="s">
        <v>17</v>
      </c>
      <c r="H25" s="308">
        <f>H20</f>
        <v>182.04000000000002</v>
      </c>
      <c r="I25" s="323">
        <f>VLOOKUP(A25,'[1]TAB OGU JUN18'!$A:$G,6,"falso")</f>
        <v>0.26</v>
      </c>
      <c r="J25" s="323">
        <f>VLOOKUP(A25,'[1]TAB OGU JUN18'!$A:$G,4,"falso")</f>
        <v>0.26</v>
      </c>
      <c r="K25" s="308">
        <f>H25*J25</f>
        <v>47.330400000000004</v>
      </c>
      <c r="L25" s="323">
        <f>VLOOKUP(A25,'[1]TAB OGU JUN18'!$A:$G,5,"falso")</f>
        <v>0</v>
      </c>
      <c r="M25" s="308"/>
      <c r="N25" s="308">
        <f>H25*I25</f>
        <v>47.330400000000004</v>
      </c>
      <c r="O25" s="25">
        <f>N25/N27</f>
        <v>1</v>
      </c>
    </row>
    <row r="26" spans="1:17" ht="11.25" customHeight="1" x14ac:dyDescent="0.2">
      <c r="G26" s="52"/>
      <c r="H26" s="324"/>
      <c r="I26" s="313"/>
      <c r="J26" s="313"/>
      <c r="K26" s="313"/>
      <c r="L26" s="313"/>
      <c r="M26" s="313"/>
      <c r="N26" s="313"/>
      <c r="O26" s="19"/>
    </row>
    <row r="27" spans="1:17" ht="11.25" customHeight="1" x14ac:dyDescent="0.2">
      <c r="B27" s="130" t="s">
        <v>18</v>
      </c>
      <c r="C27" s="131"/>
      <c r="D27" s="131"/>
      <c r="E27" s="131"/>
      <c r="F27" s="131"/>
      <c r="G27" s="53"/>
      <c r="H27" s="325"/>
      <c r="I27" s="326"/>
      <c r="J27" s="326"/>
      <c r="K27" s="326"/>
      <c r="L27" s="326"/>
      <c r="M27" s="326"/>
      <c r="N27" s="308">
        <f>N25</f>
        <v>47.330400000000004</v>
      </c>
      <c r="O27" s="25">
        <f>N27/N29</f>
        <v>0.13978494623655913</v>
      </c>
    </row>
    <row r="28" spans="1:17" ht="11.25" customHeight="1" x14ac:dyDescent="0.2">
      <c r="B28" s="130"/>
      <c r="G28" s="52"/>
      <c r="H28" s="324"/>
      <c r="I28" s="313"/>
      <c r="J28" s="313"/>
      <c r="K28" s="313"/>
      <c r="L28" s="313"/>
      <c r="M28" s="313"/>
      <c r="N28" s="308"/>
      <c r="O28" s="25"/>
    </row>
    <row r="29" spans="1:17" s="132" customFormat="1" ht="11.25" customHeight="1" x14ac:dyDescent="0.2">
      <c r="B29" s="133" t="s">
        <v>20</v>
      </c>
      <c r="C29" s="134"/>
      <c r="D29" s="134"/>
      <c r="E29" s="134"/>
      <c r="F29" s="134"/>
      <c r="G29" s="78"/>
      <c r="H29" s="327"/>
      <c r="I29" s="328"/>
      <c r="J29" s="328"/>
      <c r="K29" s="328"/>
      <c r="L29" s="328"/>
      <c r="M29" s="328"/>
      <c r="N29" s="310">
        <f>N27+N17+N22</f>
        <v>338.59440000000006</v>
      </c>
      <c r="O29" s="77">
        <f>N29/N118</f>
        <v>2.1725094256454129E-2</v>
      </c>
    </row>
    <row r="30" spans="1:17" ht="11.25" customHeight="1" x14ac:dyDescent="0.2">
      <c r="G30" s="52"/>
      <c r="H30" s="324"/>
      <c r="I30" s="313"/>
      <c r="J30" s="313"/>
      <c r="K30" s="313"/>
      <c r="L30" s="313"/>
      <c r="M30" s="313"/>
      <c r="N30" s="313"/>
      <c r="O30" s="19"/>
    </row>
    <row r="31" spans="1:17" ht="11.25" customHeight="1" x14ac:dyDescent="0.2">
      <c r="A31" s="129" t="s">
        <v>93</v>
      </c>
      <c r="B31" s="88" t="s">
        <v>96</v>
      </c>
      <c r="H31" s="329"/>
      <c r="I31" s="311"/>
      <c r="J31" s="311"/>
      <c r="K31" s="311"/>
      <c r="L31" s="311"/>
      <c r="M31" s="311"/>
      <c r="N31" s="311"/>
      <c r="O31" s="19"/>
    </row>
    <row r="32" spans="1:17" ht="11.25" customHeight="1" x14ac:dyDescent="0.2">
      <c r="A32" s="129" t="s">
        <v>94</v>
      </c>
      <c r="B32" s="88" t="s">
        <v>97</v>
      </c>
      <c r="H32" s="329"/>
      <c r="I32" s="311"/>
      <c r="J32" s="311"/>
      <c r="K32" s="311"/>
      <c r="L32" s="311"/>
      <c r="M32" s="311"/>
      <c r="N32" s="311"/>
      <c r="O32" s="19"/>
    </row>
    <row r="33" spans="1:15" ht="11.25" customHeight="1" x14ac:dyDescent="0.2">
      <c r="A33" s="129" t="s">
        <v>95</v>
      </c>
      <c r="B33" s="88" t="s">
        <v>228</v>
      </c>
      <c r="G33" s="97" t="s">
        <v>32</v>
      </c>
      <c r="H33" s="308">
        <f>T6</f>
        <v>38.987666666666669</v>
      </c>
      <c r="I33" s="323">
        <f>VLOOKUP(A33,'[1]TAB OGU JUN18'!$A:$G,6,"falso")</f>
        <v>32.9</v>
      </c>
      <c r="J33" s="323">
        <f>VLOOKUP(A33,'[1]TAB OGU JUN18'!$A:$G,4,"falso")</f>
        <v>32.9</v>
      </c>
      <c r="K33" s="308">
        <f>H33*J33</f>
        <v>1282.6942333333334</v>
      </c>
      <c r="L33" s="323">
        <f>VLOOKUP(A33,'[1]TAB OGU JUN18'!$A:$G,5,"falso")</f>
        <v>0</v>
      </c>
      <c r="M33" s="308"/>
      <c r="N33" s="308">
        <f>H33*I33</f>
        <v>1282.6942333333334</v>
      </c>
      <c r="O33" s="25">
        <f>N33/N36</f>
        <v>0.46888816202970024</v>
      </c>
    </row>
    <row r="34" spans="1:15" ht="11.25" customHeight="1" x14ac:dyDescent="0.2">
      <c r="A34" s="129" t="s">
        <v>261</v>
      </c>
      <c r="B34" s="88" t="s">
        <v>643</v>
      </c>
      <c r="G34" s="97" t="s">
        <v>32</v>
      </c>
      <c r="H34" s="308">
        <f>T7</f>
        <v>35.324916666666674</v>
      </c>
      <c r="I34" s="323">
        <f>VLOOKUP(A34,'[1]TAB OGU JUN18'!$A:$G,6,"falso")</f>
        <v>41.13</v>
      </c>
      <c r="J34" s="323">
        <f>VLOOKUP(A34,'[1]TAB OGU JUN18'!$A:$G,4,"falso")</f>
        <v>41.13</v>
      </c>
      <c r="K34" s="308">
        <f>H34*J34</f>
        <v>1452.9138225000004</v>
      </c>
      <c r="L34" s="323">
        <f>VLOOKUP(A34,'[1]TAB OGU JUN18'!$A:$G,5,"falso")</f>
        <v>0</v>
      </c>
      <c r="M34" s="308"/>
      <c r="N34" s="308">
        <f>H34*I34</f>
        <v>1452.9138225000004</v>
      </c>
      <c r="O34" s="25">
        <f>N34/N36</f>
        <v>0.53111183797029982</v>
      </c>
    </row>
    <row r="35" spans="1:15" ht="11.25" customHeight="1" x14ac:dyDescent="0.2">
      <c r="G35" s="52"/>
      <c r="H35" s="324"/>
      <c r="I35" s="313"/>
      <c r="J35" s="313"/>
      <c r="K35" s="313"/>
      <c r="L35" s="313"/>
      <c r="M35" s="313"/>
      <c r="N35" s="309"/>
      <c r="O35" s="25"/>
    </row>
    <row r="36" spans="1:15" ht="11.25" customHeight="1" x14ac:dyDescent="0.2">
      <c r="B36" s="130" t="s">
        <v>18</v>
      </c>
      <c r="C36" s="131"/>
      <c r="D36" s="131"/>
      <c r="E36" s="131"/>
      <c r="F36" s="131"/>
      <c r="G36" s="53"/>
      <c r="H36" s="325"/>
      <c r="I36" s="326"/>
      <c r="J36" s="326"/>
      <c r="K36" s="326"/>
      <c r="L36" s="326"/>
      <c r="M36" s="326"/>
      <c r="N36" s="308">
        <f>SUM(N33:N34)</f>
        <v>2735.6080558333338</v>
      </c>
      <c r="O36" s="25">
        <f>N36/N66</f>
        <v>0.38917926829469485</v>
      </c>
    </row>
    <row r="37" spans="1:15" ht="11.25" customHeight="1" x14ac:dyDescent="0.2">
      <c r="B37" s="130"/>
      <c r="G37" s="52"/>
      <c r="H37" s="324"/>
      <c r="I37" s="313"/>
      <c r="J37" s="313"/>
      <c r="K37" s="313"/>
      <c r="L37" s="313"/>
      <c r="M37" s="313"/>
      <c r="N37" s="308"/>
      <c r="O37" s="25"/>
    </row>
    <row r="38" spans="1:15" ht="11.25" customHeight="1" x14ac:dyDescent="0.2">
      <c r="A38" s="98" t="s">
        <v>98</v>
      </c>
      <c r="B38" s="88" t="s">
        <v>100</v>
      </c>
      <c r="G38" s="52"/>
      <c r="H38" s="324"/>
      <c r="I38" s="313"/>
      <c r="J38" s="313"/>
      <c r="K38" s="313"/>
      <c r="L38" s="313"/>
      <c r="M38" s="313"/>
      <c r="N38" s="313"/>
      <c r="O38" s="19"/>
    </row>
    <row r="39" spans="1:15" ht="11.25" customHeight="1" x14ac:dyDescent="0.2">
      <c r="A39" s="98" t="s">
        <v>99</v>
      </c>
      <c r="B39" s="88" t="s">
        <v>229</v>
      </c>
      <c r="G39" s="97" t="s">
        <v>32</v>
      </c>
      <c r="H39" s="308">
        <f>T8</f>
        <v>148.6251666666667</v>
      </c>
      <c r="I39" s="323">
        <f>VLOOKUP(A39,'[1]TAB OGU JUN18'!$A:$G,6,"falso")</f>
        <v>9.77</v>
      </c>
      <c r="J39" s="323">
        <f>VLOOKUP(A39,'[1]TAB OGU JUN18'!$A:$G,4,"falso")</f>
        <v>9.77</v>
      </c>
      <c r="K39" s="308">
        <f>H39*J39</f>
        <v>1452.0678783333335</v>
      </c>
      <c r="L39" s="323">
        <f>VLOOKUP(A39,'[1]TAB OGU JUN18'!$A:$G,5,"falso")</f>
        <v>0</v>
      </c>
      <c r="M39" s="308"/>
      <c r="N39" s="308">
        <f>H39*I39</f>
        <v>1452.0678783333335</v>
      </c>
      <c r="O39" s="25">
        <f>N39/N42</f>
        <v>0.71449791008121855</v>
      </c>
    </row>
    <row r="40" spans="1:15" ht="11.25" customHeight="1" x14ac:dyDescent="0.2">
      <c r="A40" s="98" t="s">
        <v>232</v>
      </c>
      <c r="B40" s="88" t="s">
        <v>558</v>
      </c>
      <c r="G40" s="97" t="s">
        <v>32</v>
      </c>
      <c r="H40" s="308">
        <f>T9</f>
        <v>51.99134500000001</v>
      </c>
      <c r="I40" s="323">
        <f>VLOOKUP(A40,'[1]TAB OGU JUN18'!$A:$G,6,"falso")</f>
        <v>11.16</v>
      </c>
      <c r="J40" s="323">
        <f>VLOOKUP(A40,'[1]TAB OGU JUN18'!$A:$G,4,"falso")</f>
        <v>11.16</v>
      </c>
      <c r="K40" s="308">
        <f>H40*J40</f>
        <v>580.2234102000001</v>
      </c>
      <c r="L40" s="323">
        <f>VLOOKUP(A40,'[1]TAB OGU JUN18'!$A:$G,5,"falso")</f>
        <v>0</v>
      </c>
      <c r="M40" s="308"/>
      <c r="N40" s="308">
        <f>H40*I40</f>
        <v>580.2234102000001</v>
      </c>
      <c r="O40" s="25">
        <f>N40/N42</f>
        <v>0.28550208991878151</v>
      </c>
    </row>
    <row r="41" spans="1:15" ht="11.25" customHeight="1" x14ac:dyDescent="0.2">
      <c r="G41" s="52"/>
      <c r="H41" s="324"/>
      <c r="I41" s="313"/>
      <c r="J41" s="313"/>
      <c r="K41" s="313"/>
      <c r="L41" s="313"/>
      <c r="M41" s="313"/>
      <c r="N41" s="313"/>
      <c r="O41" s="19"/>
    </row>
    <row r="42" spans="1:15" ht="11.25" customHeight="1" x14ac:dyDescent="0.2">
      <c r="B42" s="130" t="s">
        <v>18</v>
      </c>
      <c r="C42" s="131"/>
      <c r="D42" s="131"/>
      <c r="E42" s="131"/>
      <c r="F42" s="131"/>
      <c r="G42" s="53"/>
      <c r="H42" s="325"/>
      <c r="I42" s="326"/>
      <c r="J42" s="326"/>
      <c r="K42" s="326"/>
      <c r="L42" s="326"/>
      <c r="M42" s="326"/>
      <c r="N42" s="308">
        <f>N39+N40</f>
        <v>2032.2912885333335</v>
      </c>
      <c r="O42" s="25">
        <f>N42/N66</f>
        <v>0.28912242561449464</v>
      </c>
    </row>
    <row r="43" spans="1:15" ht="11.25" customHeight="1" x14ac:dyDescent="0.2">
      <c r="B43" s="130"/>
      <c r="G43" s="52"/>
      <c r="H43" s="324"/>
      <c r="I43" s="313"/>
      <c r="J43" s="313"/>
      <c r="K43" s="313"/>
      <c r="L43" s="313"/>
      <c r="M43" s="313"/>
      <c r="N43" s="308"/>
      <c r="O43" s="25"/>
    </row>
    <row r="44" spans="1:15" ht="11.25" customHeight="1" x14ac:dyDescent="0.2">
      <c r="A44" s="98" t="s">
        <v>101</v>
      </c>
      <c r="B44" s="88" t="s">
        <v>21</v>
      </c>
      <c r="G44" s="97"/>
      <c r="H44" s="308"/>
      <c r="I44" s="308"/>
      <c r="J44" s="308"/>
      <c r="K44" s="308"/>
      <c r="L44" s="308"/>
      <c r="M44" s="308"/>
      <c r="N44" s="308"/>
      <c r="O44" s="25"/>
    </row>
    <row r="45" spans="1:15" ht="11.25" customHeight="1" x14ac:dyDescent="0.2">
      <c r="A45" s="98" t="s">
        <v>102</v>
      </c>
      <c r="B45" s="88" t="s">
        <v>104</v>
      </c>
      <c r="G45" s="97" t="s">
        <v>32</v>
      </c>
      <c r="H45" s="308">
        <f>T10</f>
        <v>35.088900000000002</v>
      </c>
      <c r="I45" s="323">
        <f>VLOOKUP(A45,'[1]TAB OGU JUN18'!$A:$G,6,"falso")</f>
        <v>7.4</v>
      </c>
      <c r="J45" s="323">
        <f>VLOOKUP(A45,'[1]TAB OGU JUN18'!$A:$G,4,"falso")</f>
        <v>7.4</v>
      </c>
      <c r="K45" s="308">
        <f>H45*J45</f>
        <v>259.65786000000003</v>
      </c>
      <c r="L45" s="323">
        <f>VLOOKUP(A45,'[1]TAB OGU JUN18'!$A:$G,5,"falso")</f>
        <v>0</v>
      </c>
      <c r="M45" s="308"/>
      <c r="N45" s="308">
        <f>H45*I45</f>
        <v>259.65786000000003</v>
      </c>
      <c r="O45" s="25">
        <f>N45/N48</f>
        <v>0.4665391105036738</v>
      </c>
    </row>
    <row r="46" spans="1:15" ht="11.25" customHeight="1" x14ac:dyDescent="0.2">
      <c r="A46" s="98" t="s">
        <v>103</v>
      </c>
      <c r="B46" s="88" t="s">
        <v>105</v>
      </c>
      <c r="G46" s="97" t="s">
        <v>32</v>
      </c>
      <c r="H46" s="308">
        <f>T11</f>
        <v>224.92724820000007</v>
      </c>
      <c r="I46" s="323">
        <f>VLOOKUP(A46,'[1]TAB OGU JUN18'!$A:$G,6,"falso")</f>
        <v>1.32</v>
      </c>
      <c r="J46" s="323">
        <f>VLOOKUP(A46,'[1]TAB OGU JUN18'!$A:$G,4,"falso")</f>
        <v>1.32</v>
      </c>
      <c r="K46" s="308">
        <f>H46*J46</f>
        <v>296.90396762400007</v>
      </c>
      <c r="L46" s="323">
        <f>VLOOKUP(A46,'[1]TAB OGU JUN18'!$A:$G,5,"falso")</f>
        <v>0</v>
      </c>
      <c r="M46" s="308"/>
      <c r="N46" s="308">
        <f>H46*I46</f>
        <v>296.90396762400007</v>
      </c>
      <c r="O46" s="25">
        <f>N46/N48</f>
        <v>0.5334608894963262</v>
      </c>
    </row>
    <row r="47" spans="1:15" ht="11.25" customHeight="1" x14ac:dyDescent="0.2">
      <c r="B47" s="130"/>
      <c r="G47" s="52"/>
      <c r="H47" s="324"/>
      <c r="I47" s="313"/>
      <c r="J47" s="313"/>
      <c r="K47" s="313"/>
      <c r="L47" s="313"/>
      <c r="M47" s="313"/>
      <c r="N47" s="308"/>
      <c r="O47" s="25"/>
    </row>
    <row r="48" spans="1:15" ht="11.25" customHeight="1" x14ac:dyDescent="0.2">
      <c r="B48" s="130" t="s">
        <v>18</v>
      </c>
      <c r="C48" s="131"/>
      <c r="D48" s="131"/>
      <c r="E48" s="131"/>
      <c r="F48" s="131"/>
      <c r="G48" s="53"/>
      <c r="H48" s="325"/>
      <c r="I48" s="326"/>
      <c r="J48" s="326"/>
      <c r="K48" s="326"/>
      <c r="L48" s="326"/>
      <c r="M48" s="326"/>
      <c r="N48" s="308">
        <f>N46+N45</f>
        <v>556.5618276240001</v>
      </c>
      <c r="O48" s="25">
        <f>N48/N66</f>
        <v>7.9178859110898489E-2</v>
      </c>
    </row>
    <row r="49" spans="1:15" ht="11.25" customHeight="1" x14ac:dyDescent="0.2">
      <c r="B49" s="130"/>
      <c r="G49" s="52"/>
      <c r="H49" s="324"/>
      <c r="I49" s="313"/>
      <c r="J49" s="313"/>
      <c r="K49" s="313"/>
      <c r="L49" s="313"/>
      <c r="M49" s="313"/>
      <c r="N49" s="308"/>
      <c r="O49" s="25"/>
    </row>
    <row r="50" spans="1:15" ht="11.25" customHeight="1" x14ac:dyDescent="0.2">
      <c r="A50" s="98" t="s">
        <v>106</v>
      </c>
      <c r="B50" s="88" t="s">
        <v>109</v>
      </c>
      <c r="G50" s="97"/>
      <c r="H50" s="308"/>
      <c r="I50" s="308"/>
      <c r="J50" s="308"/>
      <c r="K50" s="308"/>
      <c r="L50" s="308"/>
      <c r="M50" s="308"/>
      <c r="N50" s="308"/>
      <c r="O50" s="25"/>
    </row>
    <row r="51" spans="1:15" ht="11.25" customHeight="1" x14ac:dyDescent="0.2">
      <c r="A51" s="98" t="s">
        <v>107</v>
      </c>
      <c r="B51" s="88" t="s">
        <v>104</v>
      </c>
      <c r="G51" s="97" t="s">
        <v>32</v>
      </c>
      <c r="H51" s="308">
        <f>H45</f>
        <v>35.088900000000002</v>
      </c>
      <c r="I51" s="323">
        <f>VLOOKUP(A51,'[1]TAB OGU JUN18'!$A:$G,6,"falso")</f>
        <v>20.56</v>
      </c>
      <c r="J51" s="323">
        <f>VLOOKUP(A51,'[1]TAB OGU JUN18'!$A:$G,4,"falso")</f>
        <v>20.56</v>
      </c>
      <c r="K51" s="308">
        <f>H51*J51</f>
        <v>721.42778399999997</v>
      </c>
      <c r="L51" s="323">
        <f>VLOOKUP(A51,'[1]TAB OGU JUN18'!$A:$G,5,"falso")</f>
        <v>0</v>
      </c>
      <c r="M51" s="308"/>
      <c r="N51" s="308">
        <f>H51*I51</f>
        <v>721.42778399999997</v>
      </c>
      <c r="O51" s="25">
        <f>N51/N54</f>
        <v>0.44194758367152609</v>
      </c>
    </row>
    <row r="52" spans="1:15" ht="11.25" customHeight="1" x14ac:dyDescent="0.2">
      <c r="A52" s="98" t="s">
        <v>108</v>
      </c>
      <c r="B52" s="88" t="s">
        <v>105</v>
      </c>
      <c r="G52" s="97" t="s">
        <v>32</v>
      </c>
      <c r="H52" s="308">
        <f>H46</f>
        <v>224.92724820000007</v>
      </c>
      <c r="I52" s="323">
        <f>VLOOKUP(A52,'[1]TAB OGU JUN18'!$A:$G,6,"falso")</f>
        <v>4.05</v>
      </c>
      <c r="J52" s="323">
        <f>VLOOKUP(A52,'[1]TAB OGU JUN18'!$A:$G,4,"falso")</f>
        <v>4.05</v>
      </c>
      <c r="K52" s="308">
        <f>H52*J52</f>
        <v>910.95535521000022</v>
      </c>
      <c r="L52" s="323">
        <f>VLOOKUP(A52,'[1]TAB OGU JUN18'!$A:$G,5,"falso")</f>
        <v>0</v>
      </c>
      <c r="M52" s="308"/>
      <c r="N52" s="308">
        <f>H52*I52</f>
        <v>910.95535521000022</v>
      </c>
      <c r="O52" s="25">
        <f>N52/N54</f>
        <v>0.55805241632847391</v>
      </c>
    </row>
    <row r="53" spans="1:15" ht="11.25" customHeight="1" x14ac:dyDescent="0.2">
      <c r="B53" s="130"/>
      <c r="G53" s="52"/>
      <c r="H53" s="324"/>
      <c r="I53" s="313"/>
      <c r="J53" s="313"/>
      <c r="K53" s="313"/>
      <c r="L53" s="313"/>
      <c r="M53" s="313"/>
      <c r="N53" s="308"/>
      <c r="O53" s="25"/>
    </row>
    <row r="54" spans="1:15" ht="11.25" customHeight="1" x14ac:dyDescent="0.2">
      <c r="B54" s="130" t="s">
        <v>18</v>
      </c>
      <c r="C54" s="131"/>
      <c r="D54" s="131"/>
      <c r="E54" s="131"/>
      <c r="F54" s="131"/>
      <c r="G54" s="53"/>
      <c r="H54" s="325"/>
      <c r="I54" s="326"/>
      <c r="J54" s="326"/>
      <c r="K54" s="326"/>
      <c r="L54" s="326"/>
      <c r="M54" s="326"/>
      <c r="N54" s="308">
        <f>N52+N51</f>
        <v>1632.3831392100001</v>
      </c>
      <c r="O54" s="25">
        <f>N54/N66</f>
        <v>0.23222978684379547</v>
      </c>
    </row>
    <row r="55" spans="1:15" ht="11.25" customHeight="1" x14ac:dyDescent="0.2">
      <c r="B55" s="130"/>
      <c r="G55" s="52"/>
      <c r="H55" s="324"/>
      <c r="I55" s="313"/>
      <c r="J55" s="313"/>
      <c r="K55" s="313"/>
      <c r="L55" s="313"/>
      <c r="M55" s="313"/>
      <c r="N55" s="308"/>
      <c r="O55" s="25"/>
    </row>
    <row r="56" spans="1:15" ht="11.25" customHeight="1" x14ac:dyDescent="0.2">
      <c r="A56" s="98" t="s">
        <v>110</v>
      </c>
      <c r="B56" s="88" t="s">
        <v>112</v>
      </c>
      <c r="G56" s="52"/>
      <c r="H56" s="324"/>
      <c r="I56" s="313"/>
      <c r="J56" s="313"/>
      <c r="K56" s="313"/>
      <c r="L56" s="313"/>
      <c r="M56" s="313"/>
      <c r="N56" s="313"/>
      <c r="O56" s="19"/>
    </row>
    <row r="57" spans="1:15" ht="11.25" customHeight="1" x14ac:dyDescent="0.2">
      <c r="A57" s="98" t="s">
        <v>111</v>
      </c>
      <c r="B57" s="88" t="s">
        <v>113</v>
      </c>
      <c r="G57" s="97" t="s">
        <v>32</v>
      </c>
      <c r="H57" s="308">
        <f>T12</f>
        <v>14.912946800000004</v>
      </c>
      <c r="I57" s="323">
        <f>VLOOKUP(A57,'[1]TAB OGU JUN18'!$A:$G,6,"falso")</f>
        <v>1.85</v>
      </c>
      <c r="J57" s="323">
        <f>VLOOKUP(A57,'[1]TAB OGU JUN18'!$A:$G,4,"falso")</f>
        <v>1.85</v>
      </c>
      <c r="K57" s="308">
        <f>H57*J57</f>
        <v>27.588951580000007</v>
      </c>
      <c r="L57" s="323">
        <f>VLOOKUP(A57,'[1]TAB OGU JUN18'!$A:$G,5,"falso")</f>
        <v>0</v>
      </c>
      <c r="M57" s="308"/>
      <c r="N57" s="308">
        <f>H57*I57</f>
        <v>27.588951580000007</v>
      </c>
      <c r="O57" s="25">
        <f>N57/N59</f>
        <v>1</v>
      </c>
    </row>
    <row r="58" spans="1:15" ht="11.25" customHeight="1" x14ac:dyDescent="0.2">
      <c r="G58" s="52"/>
      <c r="H58" s="324"/>
      <c r="I58" s="313"/>
      <c r="J58" s="313"/>
      <c r="K58" s="313"/>
      <c r="L58" s="313"/>
      <c r="M58" s="313"/>
      <c r="N58" s="313"/>
      <c r="O58" s="19"/>
    </row>
    <row r="59" spans="1:15" ht="11.25" customHeight="1" x14ac:dyDescent="0.2">
      <c r="B59" s="130" t="s">
        <v>18</v>
      </c>
      <c r="C59" s="131"/>
      <c r="D59" s="131"/>
      <c r="E59" s="131"/>
      <c r="F59" s="131"/>
      <c r="G59" s="53"/>
      <c r="H59" s="325"/>
      <c r="I59" s="326"/>
      <c r="J59" s="326"/>
      <c r="K59" s="326"/>
      <c r="L59" s="326"/>
      <c r="M59" s="326"/>
      <c r="N59" s="308">
        <f>N57</f>
        <v>27.588951580000007</v>
      </c>
      <c r="O59" s="25">
        <f>N59/N66</f>
        <v>3.9249219075908146E-3</v>
      </c>
    </row>
    <row r="60" spans="1:15" ht="11.25" customHeight="1" x14ac:dyDescent="0.2">
      <c r="B60" s="130"/>
      <c r="G60" s="52"/>
      <c r="H60" s="324"/>
      <c r="I60" s="313"/>
      <c r="J60" s="313"/>
      <c r="K60" s="313"/>
      <c r="L60" s="313"/>
      <c r="M60" s="313"/>
      <c r="N60" s="308"/>
      <c r="O60" s="25"/>
    </row>
    <row r="61" spans="1:15" ht="11.25" customHeight="1" x14ac:dyDescent="0.2">
      <c r="A61" s="98" t="s">
        <v>114</v>
      </c>
      <c r="B61" s="88" t="s">
        <v>737</v>
      </c>
      <c r="G61" s="52"/>
      <c r="H61" s="324"/>
      <c r="I61" s="313"/>
      <c r="J61" s="313"/>
      <c r="K61" s="313"/>
      <c r="L61" s="313"/>
      <c r="M61" s="313"/>
      <c r="N61" s="313"/>
      <c r="O61" s="19"/>
    </row>
    <row r="62" spans="1:15" ht="11.25" customHeight="1" x14ac:dyDescent="0.2">
      <c r="A62" s="98" t="s">
        <v>115</v>
      </c>
      <c r="B62" s="88" t="s">
        <v>116</v>
      </c>
      <c r="G62" s="97" t="s">
        <v>180</v>
      </c>
      <c r="H62" s="308">
        <f>H57*3</f>
        <v>44.738840400000015</v>
      </c>
      <c r="I62" s="323">
        <f>VLOOKUP(A62,'[1]TAB OGU JUN18'!$A:$G,6,"falso")</f>
        <v>1</v>
      </c>
      <c r="J62" s="323">
        <f>VLOOKUP(A62,'[1]TAB OGU JUN18'!$A:$G,4,"falso")</f>
        <v>1</v>
      </c>
      <c r="K62" s="308">
        <f>H62*J62</f>
        <v>44.738840400000015</v>
      </c>
      <c r="L62" s="323">
        <f>VLOOKUP(A62,'[1]TAB OGU JUN18'!$A:$G,5,"falso")</f>
        <v>0</v>
      </c>
      <c r="M62" s="308"/>
      <c r="N62" s="308">
        <f>H62*I62</f>
        <v>44.738840400000015</v>
      </c>
      <c r="O62" s="25">
        <f>N62/N64</f>
        <v>1</v>
      </c>
    </row>
    <row r="63" spans="1:15" ht="11.25" customHeight="1" x14ac:dyDescent="0.2">
      <c r="G63" s="52"/>
      <c r="H63" s="324"/>
      <c r="I63" s="313"/>
      <c r="J63" s="313"/>
      <c r="K63" s="313"/>
      <c r="L63" s="313"/>
      <c r="M63" s="313"/>
      <c r="N63" s="313"/>
      <c r="O63" s="19"/>
    </row>
    <row r="64" spans="1:15" ht="11.25" customHeight="1" x14ac:dyDescent="0.2">
      <c r="B64" s="130" t="s">
        <v>18</v>
      </c>
      <c r="C64" s="131"/>
      <c r="D64" s="131"/>
      <c r="E64" s="131"/>
      <c r="F64" s="131"/>
      <c r="G64" s="53"/>
      <c r="H64" s="325"/>
      <c r="I64" s="326"/>
      <c r="J64" s="326"/>
      <c r="K64" s="326"/>
      <c r="L64" s="326"/>
      <c r="M64" s="326"/>
      <c r="N64" s="308">
        <f>N62</f>
        <v>44.738840400000015</v>
      </c>
      <c r="O64" s="25">
        <f>N64/N66</f>
        <v>6.3647382285256454E-3</v>
      </c>
    </row>
    <row r="65" spans="1:17" ht="11.25" customHeight="1" x14ac:dyDescent="0.2">
      <c r="B65" s="130"/>
      <c r="G65" s="52"/>
      <c r="H65" s="324"/>
      <c r="I65" s="313"/>
      <c r="J65" s="313"/>
      <c r="K65" s="313"/>
      <c r="L65" s="313"/>
      <c r="M65" s="313"/>
      <c r="N65" s="308"/>
      <c r="O65" s="25"/>
    </row>
    <row r="66" spans="1:17" s="132" customFormat="1" ht="11.25" customHeight="1" x14ac:dyDescent="0.2">
      <c r="B66" s="133" t="s">
        <v>20</v>
      </c>
      <c r="C66" s="134"/>
      <c r="D66" s="134"/>
      <c r="E66" s="134"/>
      <c r="F66" s="134"/>
      <c r="G66" s="78"/>
      <c r="H66" s="327"/>
      <c r="I66" s="328"/>
      <c r="J66" s="328"/>
      <c r="K66" s="328"/>
      <c r="L66" s="328"/>
      <c r="M66" s="328"/>
      <c r="N66" s="310">
        <f>N64+N59+N54+N48+N42+N36</f>
        <v>7029.1721031806683</v>
      </c>
      <c r="O66" s="77">
        <f>N66/N118</f>
        <v>0.45100990000554614</v>
      </c>
    </row>
    <row r="67" spans="1:17" ht="11.25" customHeight="1" x14ac:dyDescent="0.2">
      <c r="B67" s="130"/>
      <c r="G67" s="52"/>
      <c r="H67" s="324"/>
      <c r="I67" s="313"/>
      <c r="J67" s="313"/>
      <c r="K67" s="313"/>
      <c r="L67" s="313"/>
      <c r="M67" s="313"/>
      <c r="N67" s="308"/>
      <c r="O67" s="25"/>
    </row>
    <row r="68" spans="1:17" ht="11.25" customHeight="1" x14ac:dyDescent="0.2">
      <c r="A68" s="129" t="s">
        <v>117</v>
      </c>
      <c r="B68" s="88" t="s">
        <v>22</v>
      </c>
      <c r="H68" s="329"/>
      <c r="I68" s="311"/>
      <c r="J68" s="311"/>
      <c r="K68" s="311"/>
      <c r="L68" s="311"/>
      <c r="M68" s="311"/>
      <c r="N68" s="311"/>
      <c r="O68" s="19"/>
    </row>
    <row r="69" spans="1:17" ht="11.25" customHeight="1" x14ac:dyDescent="0.2">
      <c r="A69" s="129" t="s">
        <v>118</v>
      </c>
      <c r="B69" s="88" t="s">
        <v>23</v>
      </c>
      <c r="H69" s="329"/>
      <c r="I69" s="311"/>
      <c r="J69" s="311"/>
      <c r="K69" s="311"/>
      <c r="L69" s="311"/>
      <c r="M69" s="311"/>
      <c r="N69" s="311"/>
      <c r="O69" s="19"/>
    </row>
    <row r="70" spans="1:17" ht="11.25" customHeight="1" x14ac:dyDescent="0.2">
      <c r="A70" s="129" t="s">
        <v>119</v>
      </c>
      <c r="B70" s="88" t="s">
        <v>120</v>
      </c>
      <c r="G70" s="97" t="s">
        <v>31</v>
      </c>
      <c r="H70" s="308">
        <f>0.95*S6</f>
        <v>159.61504800000003</v>
      </c>
      <c r="I70" s="323">
        <f>VLOOKUP(A70,'[1]TAB OGU JUN18'!$A:$G,6,"falso")</f>
        <v>14.81</v>
      </c>
      <c r="J70" s="323">
        <f>VLOOKUP(A70,'[1]TAB OGU JUN18'!$A:$G,4,"falso")</f>
        <v>13.63</v>
      </c>
      <c r="K70" s="308">
        <f>H70*J70</f>
        <v>2175.5531042400007</v>
      </c>
      <c r="L70" s="323">
        <f>VLOOKUP(A70,'[1]TAB OGU JUN18'!$A:$G,5,"falso")</f>
        <v>1.18</v>
      </c>
      <c r="M70" s="308">
        <f>H70*L70</f>
        <v>188.34575664000002</v>
      </c>
      <c r="N70" s="308">
        <f>H70*I70</f>
        <v>2363.8988608800005</v>
      </c>
      <c r="O70" s="25">
        <f>N70/N73</f>
        <v>0.92425685662670387</v>
      </c>
    </row>
    <row r="71" spans="1:17" ht="11.25" customHeight="1" x14ac:dyDescent="0.2">
      <c r="A71" s="129" t="s">
        <v>224</v>
      </c>
      <c r="B71" s="88" t="s">
        <v>225</v>
      </c>
      <c r="G71" s="97" t="s">
        <v>31</v>
      </c>
      <c r="H71" s="308">
        <f>0.05*S6</f>
        <v>8.4007920000000009</v>
      </c>
      <c r="I71" s="323">
        <f>VLOOKUP(A71,'[1]TAB OGU JUN18'!$A:$G,6,"falso")</f>
        <v>23.06</v>
      </c>
      <c r="J71" s="323">
        <f>VLOOKUP(A71,'[1]TAB OGU JUN18'!$A:$G,4,"falso")</f>
        <v>22.37</v>
      </c>
      <c r="K71" s="308">
        <f>H71*J71</f>
        <v>187.92571704000002</v>
      </c>
      <c r="L71" s="323">
        <f>VLOOKUP(A71,'[1]TAB OGU JUN18'!$A:$G,5,"falso")-0.01</f>
        <v>0.67999999999999994</v>
      </c>
      <c r="M71" s="308">
        <f>H71*L71</f>
        <v>5.7125385600000005</v>
      </c>
      <c r="N71" s="308">
        <f>H71*I71</f>
        <v>193.72226352000001</v>
      </c>
      <c r="O71" s="25">
        <f>N71/N73</f>
        <v>7.5743143373296101E-2</v>
      </c>
    </row>
    <row r="72" spans="1:17" ht="11.25" customHeight="1" x14ac:dyDescent="0.2">
      <c r="B72" s="130"/>
      <c r="G72" s="52"/>
      <c r="H72" s="324"/>
      <c r="I72" s="313"/>
      <c r="J72" s="313"/>
      <c r="K72" s="313"/>
      <c r="L72" s="313"/>
      <c r="M72" s="313"/>
      <c r="N72" s="308"/>
      <c r="O72" s="25"/>
    </row>
    <row r="73" spans="1:17" ht="11.25" customHeight="1" x14ac:dyDescent="0.2">
      <c r="B73" s="130" t="s">
        <v>18</v>
      </c>
      <c r="C73" s="131"/>
      <c r="D73" s="131"/>
      <c r="E73" s="131"/>
      <c r="F73" s="131"/>
      <c r="G73" s="53"/>
      <c r="H73" s="325"/>
      <c r="I73" s="326"/>
      <c r="J73" s="326"/>
      <c r="K73" s="326"/>
      <c r="L73" s="326"/>
      <c r="M73" s="326"/>
      <c r="N73" s="308">
        <f>N70+N71</f>
        <v>2557.6211244000006</v>
      </c>
      <c r="O73" s="25">
        <f>N73/N80</f>
        <v>1</v>
      </c>
    </row>
    <row r="74" spans="1:17" ht="12.75" x14ac:dyDescent="0.2">
      <c r="B74" s="130"/>
      <c r="G74" s="52"/>
      <c r="H74" s="324"/>
      <c r="I74" s="324"/>
      <c r="J74" s="313"/>
      <c r="K74" s="313"/>
      <c r="L74" s="313"/>
      <c r="M74" s="313"/>
      <c r="N74" s="308"/>
      <c r="O74" s="25"/>
      <c r="Q74" s="311"/>
    </row>
    <row r="75" spans="1:17" ht="12.75" hidden="1" x14ac:dyDescent="0.2">
      <c r="A75" s="129" t="s">
        <v>304</v>
      </c>
      <c r="B75" s="88" t="s">
        <v>305</v>
      </c>
      <c r="H75" s="329"/>
      <c r="I75" s="329"/>
      <c r="J75" s="311"/>
      <c r="K75" s="311"/>
      <c r="L75" s="311"/>
      <c r="M75" s="311"/>
      <c r="N75" s="311"/>
      <c r="O75" s="19"/>
      <c r="Q75" s="311"/>
    </row>
    <row r="76" spans="1:17" ht="12.75" hidden="1" x14ac:dyDescent="0.2">
      <c r="A76" s="129" t="s">
        <v>306</v>
      </c>
      <c r="B76" s="88" t="s">
        <v>307</v>
      </c>
      <c r="G76" s="97" t="s">
        <v>31</v>
      </c>
      <c r="H76" s="308"/>
      <c r="I76" s="323">
        <f>VLOOKUP(A76,'[1]TAB OGU JUN18'!$A:$G,6,"falso")</f>
        <v>144.25</v>
      </c>
      <c r="J76" s="323">
        <f>VLOOKUP(A76,'[1]TAB OGU JUN18'!$A:$G,4,"falso")</f>
        <v>134.15</v>
      </c>
      <c r="K76" s="308">
        <f>H76*J76</f>
        <v>0</v>
      </c>
      <c r="L76" s="323">
        <f>VLOOKUP(A76,'[1]TAB OGU JUN18'!$A:$G,5,"falso")</f>
        <v>10.1</v>
      </c>
      <c r="M76" s="308">
        <f>H76*L76</f>
        <v>0</v>
      </c>
      <c r="N76" s="308">
        <f>H76*I76</f>
        <v>0</v>
      </c>
      <c r="O76" s="25" t="e">
        <f>N76/N78</f>
        <v>#DIV/0!</v>
      </c>
      <c r="Q76" s="311"/>
    </row>
    <row r="77" spans="1:17" ht="12.75" hidden="1" x14ac:dyDescent="0.2">
      <c r="B77" s="130"/>
      <c r="G77" s="52"/>
      <c r="H77" s="324"/>
      <c r="I77" s="324"/>
      <c r="J77" s="313"/>
      <c r="K77" s="313"/>
      <c r="L77" s="313"/>
      <c r="M77" s="313"/>
      <c r="N77" s="308"/>
      <c r="O77" s="25"/>
      <c r="Q77" s="311"/>
    </row>
    <row r="78" spans="1:17" ht="12.75" hidden="1" x14ac:dyDescent="0.2">
      <c r="B78" s="130" t="s">
        <v>18</v>
      </c>
      <c r="C78" s="131"/>
      <c r="D78" s="131"/>
      <c r="E78" s="131"/>
      <c r="F78" s="131"/>
      <c r="G78" s="53"/>
      <c r="H78" s="325"/>
      <c r="I78" s="325"/>
      <c r="J78" s="326"/>
      <c r="K78" s="326"/>
      <c r="L78" s="326"/>
      <c r="M78" s="326"/>
      <c r="N78" s="308">
        <f>N76</f>
        <v>0</v>
      </c>
      <c r="O78" s="25">
        <f>N78/N80</f>
        <v>0</v>
      </c>
      <c r="Q78" s="311"/>
    </row>
    <row r="79" spans="1:17" ht="11.25" hidden="1" customHeight="1" x14ac:dyDescent="0.2">
      <c r="B79" s="130"/>
      <c r="G79" s="52"/>
      <c r="H79" s="324"/>
      <c r="I79" s="313"/>
      <c r="J79" s="313"/>
      <c r="K79" s="313"/>
      <c r="L79" s="313"/>
      <c r="M79" s="313"/>
      <c r="N79" s="308"/>
      <c r="O79" s="25"/>
    </row>
    <row r="80" spans="1:17" s="132" customFormat="1" ht="11.25" customHeight="1" x14ac:dyDescent="0.2">
      <c r="B80" s="133" t="s">
        <v>20</v>
      </c>
      <c r="C80" s="134"/>
      <c r="D80" s="134"/>
      <c r="E80" s="134"/>
      <c r="F80" s="134"/>
      <c r="G80" s="78"/>
      <c r="H80" s="327"/>
      <c r="I80" s="328"/>
      <c r="J80" s="328"/>
      <c r="K80" s="328"/>
      <c r="L80" s="328"/>
      <c r="M80" s="328"/>
      <c r="N80" s="310">
        <f>N73+N78</f>
        <v>2557.6211244000006</v>
      </c>
      <c r="O80" s="77">
        <f>N80/N118</f>
        <v>0.16410360005921004</v>
      </c>
    </row>
    <row r="81" spans="1:17" ht="11.25" customHeight="1" x14ac:dyDescent="0.2">
      <c r="B81" s="130"/>
      <c r="G81" s="52"/>
      <c r="H81" s="324"/>
      <c r="I81" s="313"/>
      <c r="J81" s="313"/>
      <c r="K81" s="313"/>
      <c r="L81" s="313"/>
      <c r="M81" s="313"/>
      <c r="N81" s="308"/>
      <c r="O81" s="25"/>
    </row>
    <row r="82" spans="1:17" ht="11.25" customHeight="1" x14ac:dyDescent="0.2">
      <c r="A82" s="129" t="s">
        <v>124</v>
      </c>
      <c r="B82" s="88" t="s">
        <v>121</v>
      </c>
      <c r="H82" s="329"/>
      <c r="I82" s="311"/>
      <c r="J82" s="311"/>
      <c r="K82" s="311"/>
      <c r="L82" s="311"/>
      <c r="M82" s="311"/>
      <c r="N82" s="311"/>
      <c r="O82" s="19"/>
    </row>
    <row r="83" spans="1:17" ht="11.25" customHeight="1" x14ac:dyDescent="0.2">
      <c r="A83" s="129" t="s">
        <v>125</v>
      </c>
      <c r="B83" s="88" t="s">
        <v>122</v>
      </c>
      <c r="H83" s="329"/>
      <c r="I83" s="311"/>
      <c r="J83" s="311"/>
      <c r="K83" s="311"/>
      <c r="L83" s="311"/>
      <c r="M83" s="311"/>
      <c r="N83" s="311"/>
      <c r="O83" s="19"/>
    </row>
    <row r="84" spans="1:17" ht="11.25" customHeight="1" x14ac:dyDescent="0.2">
      <c r="A84" s="129" t="s">
        <v>126</v>
      </c>
      <c r="B84" s="88" t="s">
        <v>189</v>
      </c>
      <c r="G84" s="97" t="s">
        <v>123</v>
      </c>
      <c r="H84" s="308">
        <f>((H14*R6*Q6)*0.06*1000)/20000</f>
        <v>0.80964225007910351</v>
      </c>
      <c r="I84" s="323">
        <f>VLOOKUP(A84,'[1]TAB OGU JUN18'!$A:$G,6,"falso")</f>
        <v>5.52</v>
      </c>
      <c r="J84" s="323">
        <f>VLOOKUP(A84,'[1]TAB OGU JUN18'!$A:$G,4,"falso")</f>
        <v>5.52</v>
      </c>
      <c r="K84" s="308">
        <f>H84*J84</f>
        <v>4.4692252204366509</v>
      </c>
      <c r="L84" s="323">
        <f>VLOOKUP(A84,'[1]TAB OGU JUN18'!$A:$G,5,"falso")</f>
        <v>0</v>
      </c>
      <c r="M84" s="308"/>
      <c r="N84" s="308">
        <f>H84*I84</f>
        <v>4.4692252204366509</v>
      </c>
      <c r="O84" s="25">
        <f>N84/N86</f>
        <v>1</v>
      </c>
    </row>
    <row r="85" spans="1:17" ht="11.25" customHeight="1" x14ac:dyDescent="0.2">
      <c r="B85" s="130"/>
      <c r="G85" s="52"/>
      <c r="H85" s="324"/>
      <c r="I85" s="313"/>
      <c r="J85" s="313"/>
      <c r="K85" s="313"/>
      <c r="L85" s="313"/>
      <c r="M85" s="313"/>
      <c r="N85" s="308"/>
      <c r="O85" s="25"/>
    </row>
    <row r="86" spans="1:17" ht="11.25" customHeight="1" x14ac:dyDescent="0.2">
      <c r="B86" s="130" t="s">
        <v>18</v>
      </c>
      <c r="C86" s="131"/>
      <c r="D86" s="131"/>
      <c r="E86" s="131"/>
      <c r="F86" s="131"/>
      <c r="G86" s="53"/>
      <c r="H86" s="325"/>
      <c r="I86" s="326"/>
      <c r="J86" s="326"/>
      <c r="K86" s="326"/>
      <c r="L86" s="326"/>
      <c r="M86" s="326"/>
      <c r="N86" s="308">
        <f>N84</f>
        <v>4.4692252204366509</v>
      </c>
      <c r="O86" s="25">
        <f>N86/N88</f>
        <v>1</v>
      </c>
    </row>
    <row r="87" spans="1:17" ht="11.25" customHeight="1" x14ac:dyDescent="0.2">
      <c r="B87" s="130"/>
      <c r="G87" s="52"/>
      <c r="H87" s="324"/>
      <c r="I87" s="313"/>
      <c r="J87" s="313"/>
      <c r="K87" s="313"/>
      <c r="L87" s="313"/>
      <c r="M87" s="313"/>
      <c r="N87" s="308"/>
      <c r="O87" s="25"/>
    </row>
    <row r="88" spans="1:17" s="132" customFormat="1" ht="11.25" customHeight="1" x14ac:dyDescent="0.2">
      <c r="B88" s="133" t="s">
        <v>20</v>
      </c>
      <c r="C88" s="134"/>
      <c r="D88" s="134"/>
      <c r="E88" s="134"/>
      <c r="F88" s="134"/>
      <c r="G88" s="78"/>
      <c r="H88" s="327"/>
      <c r="I88" s="328"/>
      <c r="J88" s="328"/>
      <c r="K88" s="328"/>
      <c r="L88" s="328"/>
      <c r="M88" s="328"/>
      <c r="N88" s="310">
        <f>N86</f>
        <v>4.4692252204366509</v>
      </c>
      <c r="O88" s="77">
        <f>N88/N118</f>
        <v>2.8675707326319689E-4</v>
      </c>
    </row>
    <row r="89" spans="1:17" ht="11.25" customHeight="1" x14ac:dyDescent="0.2">
      <c r="B89" s="130"/>
      <c r="G89" s="52"/>
      <c r="H89" s="324"/>
      <c r="I89" s="313"/>
      <c r="J89" s="313"/>
      <c r="K89" s="313"/>
      <c r="L89" s="313"/>
      <c r="M89" s="313"/>
      <c r="N89" s="308"/>
      <c r="O89" s="25"/>
    </row>
    <row r="90" spans="1:17" ht="11.25" customHeight="1" x14ac:dyDescent="0.2">
      <c r="A90" s="129" t="s">
        <v>127</v>
      </c>
      <c r="B90" s="88" t="s">
        <v>130</v>
      </c>
      <c r="H90" s="329"/>
      <c r="I90" s="311"/>
      <c r="J90" s="311"/>
      <c r="K90" s="311"/>
      <c r="L90" s="311"/>
      <c r="M90" s="311"/>
      <c r="N90" s="311"/>
      <c r="O90" s="19"/>
    </row>
    <row r="91" spans="1:17" ht="11.25" customHeight="1" x14ac:dyDescent="0.2">
      <c r="A91" s="129" t="s">
        <v>128</v>
      </c>
      <c r="B91" s="88" t="s">
        <v>131</v>
      </c>
      <c r="H91" s="329"/>
      <c r="I91" s="311"/>
      <c r="J91" s="311"/>
      <c r="K91" s="311"/>
      <c r="L91" s="311"/>
      <c r="M91" s="311"/>
      <c r="N91" s="311"/>
      <c r="O91" s="19"/>
    </row>
    <row r="92" spans="1:17" ht="11.25" customHeight="1" x14ac:dyDescent="0.2">
      <c r="A92" s="129" t="s">
        <v>129</v>
      </c>
      <c r="B92" s="88" t="s">
        <v>132</v>
      </c>
      <c r="G92" s="97" t="s">
        <v>17</v>
      </c>
      <c r="H92" s="308">
        <f>H14-H93</f>
        <v>182.04000000000002</v>
      </c>
      <c r="I92" s="323">
        <f>VLOOKUP(A92,'[1]TAB OGU JUN18'!$A:$G,6,"falso")</f>
        <v>2.64</v>
      </c>
      <c r="J92" s="323">
        <f>VLOOKUP(A92,'[1]TAB OGU JUN18'!$A:$G,4,"falso")</f>
        <v>2.56</v>
      </c>
      <c r="K92" s="308">
        <f>H92*J92</f>
        <v>466.02240000000006</v>
      </c>
      <c r="L92" s="323">
        <f>VLOOKUP(A92,'[1]TAB OGU JUN18'!$A:$G,5,"falso")</f>
        <v>0.08</v>
      </c>
      <c r="M92" s="308">
        <f>H92*L92</f>
        <v>14.563200000000002</v>
      </c>
      <c r="N92" s="308">
        <f>H92*I92</f>
        <v>480.58560000000006</v>
      </c>
      <c r="O92" s="25">
        <f>N92/$N$95</f>
        <v>1</v>
      </c>
    </row>
    <row r="93" spans="1:17" ht="12.75" hidden="1" x14ac:dyDescent="0.2">
      <c r="A93" s="129" t="s">
        <v>207</v>
      </c>
      <c r="B93" s="88" t="s">
        <v>206</v>
      </c>
      <c r="G93" s="97" t="s">
        <v>17</v>
      </c>
      <c r="H93" s="308">
        <v>0</v>
      </c>
      <c r="I93" s="323">
        <f>VLOOKUP(A93,'[1]TAB OGU JUN18'!$A:$G,6,"falso")</f>
        <v>3.14</v>
      </c>
      <c r="J93" s="323">
        <f>VLOOKUP(A93,'[1]TAB OGU JUN18'!$A:$G,4,"falso")</f>
        <v>3.01</v>
      </c>
      <c r="K93" s="308">
        <f>H93*J93</f>
        <v>0</v>
      </c>
      <c r="L93" s="323">
        <f>VLOOKUP(A93,'[1]TAB OGU JUN18'!$A:$G,5,"falso")</f>
        <v>0.13</v>
      </c>
      <c r="M93" s="308">
        <f>H93*L93</f>
        <v>0</v>
      </c>
      <c r="N93" s="308">
        <f>H93*I93</f>
        <v>0</v>
      </c>
      <c r="O93" s="25">
        <f>N93/$N$95</f>
        <v>0</v>
      </c>
      <c r="Q93" s="311"/>
    </row>
    <row r="94" spans="1:17" ht="11.25" customHeight="1" x14ac:dyDescent="0.2">
      <c r="B94" s="130"/>
      <c r="G94" s="52"/>
      <c r="H94" s="324"/>
      <c r="I94" s="313"/>
      <c r="J94" s="313"/>
      <c r="K94" s="313"/>
      <c r="L94" s="313"/>
      <c r="M94" s="313"/>
      <c r="N94" s="308"/>
      <c r="O94" s="25"/>
    </row>
    <row r="95" spans="1:17" ht="11.25" customHeight="1" x14ac:dyDescent="0.2">
      <c r="B95" s="130" t="s">
        <v>18</v>
      </c>
      <c r="C95" s="131"/>
      <c r="D95" s="131"/>
      <c r="E95" s="131"/>
      <c r="F95" s="131"/>
      <c r="G95" s="53"/>
      <c r="H95" s="325"/>
      <c r="I95" s="326"/>
      <c r="J95" s="326"/>
      <c r="K95" s="326"/>
      <c r="L95" s="326"/>
      <c r="M95" s="326"/>
      <c r="N95" s="308">
        <f>SUM(N92:N93)</f>
        <v>480.58560000000006</v>
      </c>
      <c r="O95" s="25">
        <f>N95/N108</f>
        <v>8.8716789724423872E-2</v>
      </c>
    </row>
    <row r="96" spans="1:17" ht="11.25" customHeight="1" x14ac:dyDescent="0.2">
      <c r="B96" s="130"/>
      <c r="G96" s="52"/>
      <c r="H96" s="324"/>
      <c r="I96" s="313"/>
      <c r="J96" s="313"/>
      <c r="K96" s="313"/>
      <c r="L96" s="313"/>
      <c r="M96" s="313"/>
      <c r="N96" s="308"/>
      <c r="O96" s="25"/>
    </row>
    <row r="97" spans="1:15" ht="11.25" customHeight="1" x14ac:dyDescent="0.2">
      <c r="A97" s="98" t="s">
        <v>139</v>
      </c>
      <c r="B97" s="88" t="s">
        <v>142</v>
      </c>
      <c r="G97" s="97"/>
      <c r="H97" s="308"/>
      <c r="I97" s="308"/>
      <c r="J97" s="308"/>
      <c r="K97" s="308"/>
      <c r="L97" s="308"/>
      <c r="M97" s="308"/>
      <c r="N97" s="308"/>
      <c r="O97" s="25"/>
    </row>
    <row r="98" spans="1:15" ht="11.25" customHeight="1" x14ac:dyDescent="0.2">
      <c r="A98" s="98" t="s">
        <v>140</v>
      </c>
      <c r="B98" s="88" t="s">
        <v>143</v>
      </c>
      <c r="G98" s="97" t="s">
        <v>24</v>
      </c>
      <c r="H98" s="308">
        <f>U6</f>
        <v>4</v>
      </c>
      <c r="I98" s="323">
        <f>VLOOKUP(A98,'[1]TAB OGU JUN18'!$A:$G,6,"falso")</f>
        <v>466.82</v>
      </c>
      <c r="J98" s="323">
        <f>VLOOKUP(A98,'[1]TAB OGU JUN18'!$A:$G,4,"falso")</f>
        <v>143.97</v>
      </c>
      <c r="K98" s="308">
        <f>H98*J98</f>
        <v>575.88</v>
      </c>
      <c r="L98" s="323">
        <f>VLOOKUP(A98,'[1]TAB OGU JUN18'!$A:$G,5,"falso")</f>
        <v>322.85000000000002</v>
      </c>
      <c r="M98" s="308">
        <f>H98*L98</f>
        <v>1291.4000000000001</v>
      </c>
      <c r="N98" s="308">
        <f>H98*I98</f>
        <v>1867.28</v>
      </c>
      <c r="O98" s="25">
        <f>N98/N101</f>
        <v>0.60457320703674577</v>
      </c>
    </row>
    <row r="99" spans="1:15" ht="11.25" customHeight="1" x14ac:dyDescent="0.2">
      <c r="A99" s="98" t="s">
        <v>141</v>
      </c>
      <c r="B99" s="88" t="s">
        <v>144</v>
      </c>
      <c r="G99" s="97" t="s">
        <v>17</v>
      </c>
      <c r="H99" s="308">
        <f>(Q6-1.1)*H98</f>
        <v>4.8296110744891241</v>
      </c>
      <c r="I99" s="323">
        <f>VLOOKUP(A99,'[1]TAB OGU JUN18'!$A:$G,6,"falso")</f>
        <v>252.88</v>
      </c>
      <c r="J99" s="323">
        <f>VLOOKUP(A99,'[1]TAB OGU JUN18'!$A:$G,4,"falso")</f>
        <v>47.83</v>
      </c>
      <c r="K99" s="308">
        <f>H99*J99</f>
        <v>231.0002976928148</v>
      </c>
      <c r="L99" s="323">
        <f>VLOOKUP(A99,'[1]TAB OGU JUN18'!$A:$G,5,"falso")</f>
        <v>205.05</v>
      </c>
      <c r="M99" s="308">
        <f>H99*L99</f>
        <v>990.311750823995</v>
      </c>
      <c r="N99" s="308">
        <f>H99*I99</f>
        <v>1221.3120485168097</v>
      </c>
      <c r="O99" s="25">
        <f>N99/N101</f>
        <v>0.39542679296325417</v>
      </c>
    </row>
    <row r="100" spans="1:15" ht="11.25" customHeight="1" x14ac:dyDescent="0.2">
      <c r="B100" s="130"/>
      <c r="G100" s="52"/>
      <c r="H100" s="324"/>
      <c r="I100" s="313"/>
      <c r="J100" s="313"/>
      <c r="K100" s="313"/>
      <c r="L100" s="313"/>
      <c r="M100" s="313"/>
      <c r="N100" s="308"/>
      <c r="O100" s="25"/>
    </row>
    <row r="101" spans="1:15" ht="11.25" customHeight="1" x14ac:dyDescent="0.2">
      <c r="B101" s="130" t="s">
        <v>18</v>
      </c>
      <c r="C101" s="131"/>
      <c r="D101" s="131"/>
      <c r="E101" s="131"/>
      <c r="F101" s="131"/>
      <c r="G101" s="53"/>
      <c r="H101" s="325"/>
      <c r="I101" s="326"/>
      <c r="J101" s="326"/>
      <c r="K101" s="326"/>
      <c r="L101" s="326"/>
      <c r="M101" s="326"/>
      <c r="N101" s="308">
        <f>N99+N98</f>
        <v>3088.5920485168099</v>
      </c>
      <c r="O101" s="25">
        <f>N101/N108</f>
        <v>0.57015851351516433</v>
      </c>
    </row>
    <row r="102" spans="1:15" ht="11.25" customHeight="1" x14ac:dyDescent="0.2">
      <c r="B102" s="130"/>
      <c r="G102" s="52"/>
      <c r="H102" s="324"/>
      <c r="I102" s="313"/>
      <c r="J102" s="313"/>
      <c r="K102" s="313"/>
      <c r="L102" s="313"/>
      <c r="M102" s="313"/>
      <c r="N102" s="308"/>
      <c r="O102" s="25"/>
    </row>
    <row r="103" spans="1:15" ht="11.25" customHeight="1" x14ac:dyDescent="0.2">
      <c r="A103" s="129" t="s">
        <v>145</v>
      </c>
      <c r="B103" s="88" t="s">
        <v>26</v>
      </c>
      <c r="H103" s="329"/>
      <c r="I103" s="311"/>
      <c r="J103" s="311"/>
      <c r="K103" s="311"/>
      <c r="L103" s="311"/>
      <c r="M103" s="311"/>
      <c r="N103" s="311"/>
      <c r="O103" s="19"/>
    </row>
    <row r="104" spans="1:15" ht="11.25" customHeight="1" x14ac:dyDescent="0.2">
      <c r="A104" s="129" t="s">
        <v>146</v>
      </c>
      <c r="B104" s="88" t="s">
        <v>147</v>
      </c>
      <c r="G104" s="97" t="s">
        <v>32</v>
      </c>
      <c r="H104" s="308">
        <f>H14*R6*0.1</f>
        <v>11.696300000000001</v>
      </c>
      <c r="I104" s="323">
        <f>VLOOKUP(A104,'[1]TAB OGU JUN18'!$A:$G,6,"falso")</f>
        <v>157.99</v>
      </c>
      <c r="J104" s="323">
        <f>VLOOKUP(A104,'[1]TAB OGU JUN18'!$A:$G,4,"falso")</f>
        <v>39.5</v>
      </c>
      <c r="K104" s="308">
        <f>H104*J104</f>
        <v>462.00385000000006</v>
      </c>
      <c r="L104" s="323">
        <f>VLOOKUP(A104,'[1]TAB OGU JUN18'!$A:$G,5,"falso")</f>
        <v>118.49</v>
      </c>
      <c r="M104" s="308">
        <f>H104*L104</f>
        <v>1385.894587</v>
      </c>
      <c r="N104" s="308">
        <f>H104*I104</f>
        <v>1847.8984370000003</v>
      </c>
      <c r="O104" s="25">
        <f>N104/N106</f>
        <v>1</v>
      </c>
    </row>
    <row r="105" spans="1:15" ht="11.25" customHeight="1" x14ac:dyDescent="0.2">
      <c r="B105" s="130"/>
      <c r="G105" s="52"/>
      <c r="H105" s="324"/>
      <c r="I105" s="313"/>
      <c r="J105" s="313"/>
      <c r="K105" s="313"/>
      <c r="L105" s="313"/>
      <c r="M105" s="313"/>
      <c r="N105" s="308"/>
      <c r="O105" s="25"/>
    </row>
    <row r="106" spans="1:15" ht="11.25" customHeight="1" x14ac:dyDescent="0.2">
      <c r="B106" s="130" t="s">
        <v>18</v>
      </c>
      <c r="C106" s="131"/>
      <c r="D106" s="131"/>
      <c r="E106" s="131"/>
      <c r="F106" s="131"/>
      <c r="G106" s="53"/>
      <c r="H106" s="325"/>
      <c r="I106" s="326"/>
      <c r="J106" s="326"/>
      <c r="K106" s="326"/>
      <c r="L106" s="326"/>
      <c r="M106" s="326"/>
      <c r="N106" s="308">
        <f>N104</f>
        <v>1847.8984370000003</v>
      </c>
      <c r="O106" s="25">
        <f>N106/N108</f>
        <v>0.34112469676041179</v>
      </c>
    </row>
    <row r="107" spans="1:15" ht="11.25" customHeight="1" x14ac:dyDescent="0.2">
      <c r="B107" s="130"/>
      <c r="G107" s="52"/>
      <c r="H107" s="324"/>
      <c r="I107" s="313"/>
      <c r="J107" s="313"/>
      <c r="K107" s="313"/>
      <c r="L107" s="313"/>
      <c r="M107" s="313"/>
      <c r="N107" s="308"/>
      <c r="O107" s="25"/>
    </row>
    <row r="108" spans="1:15" s="132" customFormat="1" ht="11.25" customHeight="1" x14ac:dyDescent="0.2">
      <c r="B108" s="133" t="s">
        <v>20</v>
      </c>
      <c r="C108" s="134"/>
      <c r="D108" s="134"/>
      <c r="E108" s="134"/>
      <c r="F108" s="134"/>
      <c r="G108" s="78"/>
      <c r="H108" s="327"/>
      <c r="I108" s="328"/>
      <c r="J108" s="328"/>
      <c r="K108" s="328"/>
      <c r="L108" s="328"/>
      <c r="M108" s="328"/>
      <c r="N108" s="310">
        <f>N106+N101+N95</f>
        <v>5417.0760855168101</v>
      </c>
      <c r="O108" s="77">
        <f>N108/N118</f>
        <v>0.34757364136038943</v>
      </c>
    </row>
    <row r="109" spans="1:15" ht="11.25" customHeight="1" x14ac:dyDescent="0.2">
      <c r="B109" s="130"/>
      <c r="G109" s="52"/>
      <c r="H109" s="324"/>
      <c r="I109" s="313"/>
      <c r="J109" s="313"/>
      <c r="K109" s="313"/>
      <c r="L109" s="313"/>
      <c r="M109" s="313"/>
      <c r="N109" s="308"/>
      <c r="O109" s="25"/>
    </row>
    <row r="110" spans="1:15" ht="11.25" customHeight="1" x14ac:dyDescent="0.2">
      <c r="A110" s="98" t="s">
        <v>169</v>
      </c>
      <c r="B110" s="88" t="s">
        <v>172</v>
      </c>
      <c r="G110" s="97"/>
      <c r="H110" s="308"/>
      <c r="I110" s="308"/>
      <c r="J110" s="308"/>
      <c r="K110" s="308"/>
      <c r="L110" s="308"/>
      <c r="M110" s="308"/>
      <c r="N110" s="308"/>
      <c r="O110" s="25"/>
    </row>
    <row r="111" spans="1:15" ht="11.25" customHeight="1" x14ac:dyDescent="0.2">
      <c r="A111" s="98" t="s">
        <v>170</v>
      </c>
      <c r="B111" s="88" t="s">
        <v>173</v>
      </c>
      <c r="G111" s="97"/>
      <c r="H111" s="308"/>
      <c r="I111" s="308"/>
      <c r="J111" s="308"/>
      <c r="K111" s="308"/>
      <c r="L111" s="308"/>
      <c r="M111" s="308"/>
      <c r="N111" s="308"/>
      <c r="O111" s="25"/>
    </row>
    <row r="112" spans="1:15" ht="11.25" customHeight="1" x14ac:dyDescent="0.2">
      <c r="A112" s="98" t="s">
        <v>171</v>
      </c>
      <c r="B112" s="88" t="s">
        <v>174</v>
      </c>
      <c r="G112" s="97" t="s">
        <v>17</v>
      </c>
      <c r="H112" s="308">
        <f>H14</f>
        <v>182.04000000000002</v>
      </c>
      <c r="I112" s="323">
        <f>VLOOKUP(A112,'[1]TAB OGU JUN18'!$A:$G,6,"falso")</f>
        <v>1.31</v>
      </c>
      <c r="J112" s="323">
        <f>VLOOKUP(A112,'[1]TAB OGU JUN18'!$A:$G,4,"falso")</f>
        <v>1.1399999999999999</v>
      </c>
      <c r="K112" s="308">
        <f>H112*J112</f>
        <v>207.5256</v>
      </c>
      <c r="L112" s="323">
        <f>VLOOKUP(A112,'[1]TAB OGU JUN18'!$A:$G,5,"falso")</f>
        <v>0.17</v>
      </c>
      <c r="M112" s="308">
        <f>H112*L112</f>
        <v>30.946800000000007</v>
      </c>
      <c r="N112" s="308">
        <f>H112*I112</f>
        <v>238.47240000000005</v>
      </c>
      <c r="O112" s="25">
        <f>N112/N114</f>
        <v>1</v>
      </c>
    </row>
    <row r="113" spans="1:16" ht="11.25" customHeight="1" x14ac:dyDescent="0.2">
      <c r="B113" s="130"/>
      <c r="G113" s="52"/>
      <c r="H113" s="324"/>
      <c r="I113" s="313"/>
      <c r="J113" s="313"/>
      <c r="K113" s="313"/>
      <c r="L113" s="313"/>
      <c r="M113" s="313"/>
      <c r="N113" s="308"/>
      <c r="O113" s="25"/>
    </row>
    <row r="114" spans="1:16" ht="11.25" customHeight="1" x14ac:dyDescent="0.2">
      <c r="B114" s="130" t="s">
        <v>18</v>
      </c>
      <c r="C114" s="131"/>
      <c r="D114" s="131"/>
      <c r="E114" s="131"/>
      <c r="F114" s="131"/>
      <c r="G114" s="53"/>
      <c r="H114" s="325"/>
      <c r="I114" s="326"/>
      <c r="J114" s="326"/>
      <c r="K114" s="326"/>
      <c r="L114" s="326"/>
      <c r="M114" s="326"/>
      <c r="N114" s="308">
        <f>N112</f>
        <v>238.47240000000005</v>
      </c>
      <c r="O114" s="25">
        <f>N114/N116</f>
        <v>1</v>
      </c>
    </row>
    <row r="115" spans="1:16" ht="11.25" customHeight="1" x14ac:dyDescent="0.2">
      <c r="A115" s="98"/>
      <c r="B115" s="88"/>
      <c r="G115" s="97"/>
      <c r="H115" s="308"/>
      <c r="I115" s="308"/>
      <c r="J115" s="308"/>
      <c r="K115" s="308"/>
      <c r="L115" s="308"/>
      <c r="M115" s="308"/>
      <c r="N115" s="308"/>
      <c r="O115" s="25"/>
    </row>
    <row r="116" spans="1:16" s="132" customFormat="1" ht="11.25" customHeight="1" x14ac:dyDescent="0.2">
      <c r="A116" s="145"/>
      <c r="B116" s="133" t="s">
        <v>20</v>
      </c>
      <c r="C116" s="134"/>
      <c r="D116" s="134"/>
      <c r="E116" s="134"/>
      <c r="F116" s="134"/>
      <c r="G116" s="78"/>
      <c r="H116" s="327"/>
      <c r="I116" s="328"/>
      <c r="J116" s="328"/>
      <c r="K116" s="328"/>
      <c r="L116" s="328"/>
      <c r="M116" s="328"/>
      <c r="N116" s="310">
        <f>N114</f>
        <v>238.47240000000005</v>
      </c>
      <c r="O116" s="77">
        <f>N116/N118</f>
        <v>1.5301007245137048E-2</v>
      </c>
    </row>
    <row r="117" spans="1:16" ht="6.75" customHeight="1" x14ac:dyDescent="0.2">
      <c r="A117" s="98"/>
      <c r="B117" s="88"/>
      <c r="G117" s="97"/>
      <c r="H117" s="308"/>
      <c r="I117" s="308"/>
      <c r="J117" s="308"/>
      <c r="K117" s="308"/>
      <c r="L117" s="308"/>
      <c r="M117" s="308"/>
      <c r="N117" s="308"/>
      <c r="O117" s="25"/>
    </row>
    <row r="118" spans="1:16" ht="12" customHeight="1" x14ac:dyDescent="0.2">
      <c r="A118" s="146"/>
      <c r="B118" s="147" t="s">
        <v>30</v>
      </c>
      <c r="C118" s="146"/>
      <c r="D118" s="146"/>
      <c r="E118" s="146"/>
      <c r="F118" s="146"/>
      <c r="G118" s="146"/>
      <c r="H118" s="342"/>
      <c r="I118" s="345"/>
      <c r="J118" s="345"/>
      <c r="K118" s="275">
        <f>SUM(K12:K117)</f>
        <v>11608.971497373921</v>
      </c>
      <c r="L118" s="275"/>
      <c r="M118" s="275">
        <f>SUM(M12:M117)</f>
        <v>3976.349833023995</v>
      </c>
      <c r="N118" s="343">
        <f>N116+N108+N88+N80+N66+N29</f>
        <v>15585.405338317916</v>
      </c>
      <c r="O118" s="322"/>
      <c r="P118" s="149"/>
    </row>
    <row r="119" spans="1:16" ht="4.5" customHeight="1" x14ac:dyDescent="0.2">
      <c r="A119" s="98"/>
      <c r="B119" s="88"/>
      <c r="G119" s="97"/>
      <c r="H119" s="308"/>
      <c r="I119" s="308"/>
      <c r="J119" s="308"/>
      <c r="K119" s="308"/>
      <c r="L119" s="308"/>
      <c r="M119" s="308"/>
      <c r="N119" s="308"/>
      <c r="O119" s="25"/>
    </row>
    <row r="120" spans="1:16" ht="12" customHeight="1" x14ac:dyDescent="0.2">
      <c r="A120" s="146"/>
      <c r="B120" s="147" t="s">
        <v>265</v>
      </c>
      <c r="C120" s="146"/>
      <c r="D120" s="146"/>
      <c r="E120" s="146"/>
      <c r="F120" s="146"/>
      <c r="G120" s="146"/>
      <c r="H120" s="342"/>
      <c r="I120" s="342"/>
      <c r="J120" s="342"/>
      <c r="K120" s="274">
        <f>K118+(K118*O5)</f>
        <v>14810.725836349648</v>
      </c>
      <c r="L120" s="274"/>
      <c r="M120" s="275">
        <f>M118+(M118*O7)</f>
        <v>4680.9590234358466</v>
      </c>
      <c r="N120" s="343">
        <f>K120+M120</f>
        <v>19491.684859785495</v>
      </c>
      <c r="O120" s="29">
        <f>N120/RESUMO!H95</f>
        <v>2.6916698239254134E-3</v>
      </c>
      <c r="P120" s="149"/>
    </row>
    <row r="125" spans="1:16" s="150" customFormat="1" ht="12" customHeight="1" x14ac:dyDescent="0.2">
      <c r="A125" s="51"/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2"/>
    </row>
    <row r="126" spans="1:16" s="150" customFormat="1" ht="12" customHeight="1" x14ac:dyDescent="0.2">
      <c r="A126" s="51"/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2"/>
    </row>
  </sheetData>
  <mergeCells count="9">
    <mergeCell ref="T4:T5"/>
    <mergeCell ref="U4:U5"/>
    <mergeCell ref="A5:B6"/>
    <mergeCell ref="A2:O2"/>
    <mergeCell ref="N4:O4"/>
    <mergeCell ref="P4:P5"/>
    <mergeCell ref="Q4:Q5"/>
    <mergeCell ref="R4:R5"/>
    <mergeCell ref="S4:S5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rowBreaks count="1" manualBreakCount="1">
    <brk id="30" max="12" man="1"/>
  </rowBreaks>
  <legacyDrawingHF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theme="6" tint="0.39997558519241921"/>
    <pageSetUpPr fitToPage="1"/>
  </sheetPr>
  <dimension ref="A1:P44"/>
  <sheetViews>
    <sheetView view="pageBreakPreview" zoomScale="90" zoomScaleNormal="90" zoomScaleSheetLayoutView="90" workbookViewId="0">
      <selection activeCell="S38" sqref="S38"/>
    </sheetView>
  </sheetViews>
  <sheetFormatPr defaultColWidth="11.42578125" defaultRowHeight="12" customHeight="1" x14ac:dyDescent="0.2"/>
  <cols>
    <col min="1" max="5" width="11.42578125" style="51" customWidth="1"/>
    <col min="6" max="6" width="28.5703125" style="51" customWidth="1"/>
    <col min="7" max="9" width="11.42578125" style="51" customWidth="1"/>
    <col min="10" max="10" width="11.42578125" style="51" hidden="1" customWidth="1"/>
    <col min="11" max="11" width="14.28515625" style="51" customWidth="1"/>
    <col min="12" max="12" width="6" style="51" hidden="1" customWidth="1"/>
    <col min="13" max="13" width="14.28515625" style="51" customWidth="1"/>
    <col min="14" max="14" width="17.140625" style="51" customWidth="1"/>
    <col min="15" max="15" width="11.42578125" style="52" customWidth="1"/>
    <col min="16" max="16" width="6" style="51" bestFit="1" customWidth="1"/>
    <col min="17" max="16384" width="11.42578125" style="51"/>
  </cols>
  <sheetData>
    <row r="1" spans="1:16" ht="7.5" customHeight="1" x14ac:dyDescent="0.2"/>
    <row r="2" spans="1:16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6" ht="7.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95"/>
    </row>
    <row r="4" spans="1:16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6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6" ht="12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6" ht="12" customHeight="1" x14ac:dyDescent="0.2">
      <c r="A7" s="253"/>
      <c r="B7" s="253"/>
      <c r="C7" s="260" t="s">
        <v>6</v>
      </c>
      <c r="D7" s="263" t="str">
        <f>RESUMO!A44</f>
        <v>U.C. : 12</v>
      </c>
      <c r="E7" s="258"/>
      <c r="F7" s="258"/>
      <c r="G7" s="260" t="s">
        <v>9</v>
      </c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6" ht="12" customHeight="1" thickBot="1" x14ac:dyDescent="0.25">
      <c r="A8" s="124"/>
      <c r="B8" s="125"/>
      <c r="C8" s="266" t="s">
        <v>8</v>
      </c>
      <c r="D8" s="267" t="str">
        <f>RESUMO!B44</f>
        <v>EMISSÁRIO</v>
      </c>
      <c r="E8" s="268"/>
      <c r="F8" s="268"/>
      <c r="G8" s="266"/>
      <c r="H8" s="123"/>
      <c r="I8" s="278"/>
      <c r="J8" s="278"/>
      <c r="K8" s="278"/>
      <c r="L8" s="278"/>
      <c r="M8" s="278"/>
      <c r="N8" s="271"/>
      <c r="O8" s="427"/>
    </row>
    <row r="9" spans="1:16" ht="12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6" ht="7.5" customHeight="1" x14ac:dyDescent="0.2">
      <c r="O10" s="19"/>
    </row>
    <row r="11" spans="1:16" ht="12" customHeight="1" x14ac:dyDescent="0.2">
      <c r="A11" s="93">
        <f>RESUMO!A43</f>
        <v>2</v>
      </c>
      <c r="B11" s="93" t="str">
        <f>RESUMO!B46</f>
        <v>EMISSARIO - MATERIAIS</v>
      </c>
      <c r="O11" s="19"/>
    </row>
    <row r="12" spans="1:16" ht="12" customHeight="1" x14ac:dyDescent="0.2">
      <c r="A12" s="98" t="s">
        <v>266</v>
      </c>
      <c r="B12" s="88" t="s">
        <v>71</v>
      </c>
      <c r="G12" s="52"/>
      <c r="H12" s="19"/>
      <c r="I12" s="52"/>
      <c r="J12" s="52"/>
      <c r="K12" s="52"/>
      <c r="L12" s="52"/>
      <c r="M12" s="52"/>
      <c r="N12" s="52"/>
      <c r="O12" s="19"/>
    </row>
    <row r="13" spans="1:16" ht="12" customHeight="1" x14ac:dyDescent="0.2">
      <c r="A13" s="98" t="s">
        <v>279</v>
      </c>
      <c r="B13" s="88" t="s">
        <v>280</v>
      </c>
      <c r="G13" s="52"/>
      <c r="H13" s="19"/>
      <c r="I13" s="52"/>
      <c r="J13" s="52"/>
      <c r="K13" s="52"/>
      <c r="L13" s="52"/>
      <c r="M13" s="52"/>
      <c r="N13" s="52"/>
      <c r="O13" s="19"/>
    </row>
    <row r="14" spans="1:16" ht="12" customHeight="1" x14ac:dyDescent="0.2">
      <c r="A14" s="98" t="s">
        <v>282</v>
      </c>
      <c r="B14" s="88" t="s">
        <v>260</v>
      </c>
      <c r="G14" s="97" t="s">
        <v>24</v>
      </c>
      <c r="H14" s="308">
        <f>'10 - EMI'!H98</f>
        <v>4</v>
      </c>
      <c r="I14" s="308">
        <v>37.840000000000003</v>
      </c>
      <c r="J14" s="308"/>
      <c r="K14" s="308"/>
      <c r="L14" s="323">
        <v>37.840000000000003</v>
      </c>
      <c r="M14" s="308">
        <f>H14*L14</f>
        <v>151.36000000000001</v>
      </c>
      <c r="N14" s="308">
        <f>H14*I14</f>
        <v>151.36000000000001</v>
      </c>
      <c r="O14" s="25">
        <f>N14/N16</f>
        <v>1</v>
      </c>
      <c r="P14" s="51">
        <v>13255</v>
      </c>
    </row>
    <row r="15" spans="1:16" ht="12" customHeight="1" x14ac:dyDescent="0.2">
      <c r="G15" s="52"/>
      <c r="H15" s="324"/>
      <c r="I15" s="313"/>
      <c r="J15" s="313"/>
      <c r="K15" s="313"/>
      <c r="L15" s="313"/>
      <c r="M15" s="313"/>
      <c r="N15" s="313"/>
      <c r="O15" s="19"/>
    </row>
    <row r="16" spans="1:16" ht="12" customHeight="1" x14ac:dyDescent="0.2">
      <c r="B16" s="130" t="s">
        <v>18</v>
      </c>
      <c r="C16" s="131"/>
      <c r="D16" s="131"/>
      <c r="E16" s="131"/>
      <c r="F16" s="131"/>
      <c r="G16" s="53"/>
      <c r="H16" s="325"/>
      <c r="I16" s="326"/>
      <c r="J16" s="326"/>
      <c r="K16" s="326"/>
      <c r="L16" s="326"/>
      <c r="M16" s="326"/>
      <c r="N16" s="308">
        <f>N14</f>
        <v>151.36000000000001</v>
      </c>
      <c r="O16" s="25">
        <f>N16/N18</f>
        <v>1</v>
      </c>
    </row>
    <row r="17" spans="1:16" ht="12" customHeight="1" x14ac:dyDescent="0.2">
      <c r="B17" s="130"/>
      <c r="G17" s="52"/>
      <c r="H17" s="324"/>
      <c r="I17" s="313"/>
      <c r="J17" s="313"/>
      <c r="K17" s="313"/>
      <c r="L17" s="313"/>
      <c r="M17" s="313"/>
      <c r="N17" s="308"/>
      <c r="O17" s="25"/>
    </row>
    <row r="18" spans="1:16" s="132" customFormat="1" ht="12" customHeight="1" x14ac:dyDescent="0.2">
      <c r="B18" s="133" t="s">
        <v>20</v>
      </c>
      <c r="C18" s="134"/>
      <c r="D18" s="134"/>
      <c r="E18" s="134"/>
      <c r="F18" s="134"/>
      <c r="G18" s="78"/>
      <c r="H18" s="327"/>
      <c r="I18" s="328"/>
      <c r="J18" s="328"/>
      <c r="K18" s="328"/>
      <c r="L18" s="328"/>
      <c r="M18" s="328"/>
      <c r="N18" s="310">
        <f>N16</f>
        <v>151.36000000000001</v>
      </c>
      <c r="O18" s="77">
        <f>N18/N29</f>
        <v>2.1618146857487565E-2</v>
      </c>
    </row>
    <row r="19" spans="1:16" ht="12" customHeight="1" x14ac:dyDescent="0.2">
      <c r="G19" s="52"/>
      <c r="H19" s="324"/>
      <c r="I19" s="313"/>
      <c r="J19" s="313"/>
      <c r="K19" s="313"/>
      <c r="L19" s="313"/>
      <c r="M19" s="313"/>
      <c r="N19" s="313"/>
      <c r="O19" s="19"/>
    </row>
    <row r="20" spans="1:16" ht="12" customHeight="1" x14ac:dyDescent="0.2">
      <c r="A20" s="98" t="s">
        <v>270</v>
      </c>
      <c r="B20" s="88" t="s">
        <v>29</v>
      </c>
      <c r="G20" s="52"/>
      <c r="H20" s="324"/>
      <c r="I20" s="313"/>
      <c r="J20" s="313"/>
      <c r="K20" s="313"/>
      <c r="L20" s="313"/>
      <c r="M20" s="313"/>
      <c r="N20" s="313"/>
      <c r="O20" s="19"/>
    </row>
    <row r="21" spans="1:16" ht="12" customHeight="1" x14ac:dyDescent="0.2">
      <c r="A21" s="98" t="s">
        <v>275</v>
      </c>
      <c r="B21" s="88" t="s">
        <v>36</v>
      </c>
      <c r="G21" s="52"/>
      <c r="H21" s="324"/>
      <c r="I21" s="313"/>
      <c r="J21" s="313"/>
      <c r="K21" s="313"/>
      <c r="L21" s="313"/>
      <c r="M21" s="313"/>
      <c r="N21" s="313"/>
      <c r="O21" s="19"/>
    </row>
    <row r="22" spans="1:16" ht="12" customHeight="1" x14ac:dyDescent="0.2">
      <c r="A22" s="98" t="s">
        <v>276</v>
      </c>
      <c r="B22" s="88" t="s">
        <v>78</v>
      </c>
      <c r="G22" s="97" t="s">
        <v>17</v>
      </c>
      <c r="H22" s="308">
        <f>'10 - EMI'!H92</f>
        <v>182.04000000000002</v>
      </c>
      <c r="I22" s="323">
        <f>VLOOKUP(A22,'[1]TAB OGU JUN18'!$A:$G,6,"falso")</f>
        <v>37.630000000000003</v>
      </c>
      <c r="J22" s="308"/>
      <c r="K22" s="308"/>
      <c r="L22" s="323">
        <f>VLOOKUP(A22,'[1]TAB OGU JUN18'!$A:$G,5,"falso")</f>
        <v>37.630000000000003</v>
      </c>
      <c r="M22" s="308">
        <f>H22*L22</f>
        <v>6850.1652000000013</v>
      </c>
      <c r="N22" s="308">
        <f>H22*I22</f>
        <v>6850.1652000000013</v>
      </c>
      <c r="O22" s="25">
        <f>N22/$N$25</f>
        <v>1</v>
      </c>
    </row>
    <row r="23" spans="1:16" ht="12" hidden="1" customHeight="1" x14ac:dyDescent="0.2">
      <c r="A23" s="98" t="s">
        <v>277</v>
      </c>
      <c r="B23" s="88" t="s">
        <v>205</v>
      </c>
      <c r="G23" s="97" t="s">
        <v>17</v>
      </c>
      <c r="H23" s="308">
        <f>'10 - EMI'!H93</f>
        <v>0</v>
      </c>
      <c r="I23" s="323">
        <f>VLOOKUP(A23,'[1]TAB OGU JUN18'!$A:$G,6,"falso")</f>
        <v>58.74</v>
      </c>
      <c r="J23" s="308"/>
      <c r="K23" s="308"/>
      <c r="L23" s="323">
        <f>VLOOKUP(A23,'[1]TAB OGU JUN18'!$A:$G,5,"falso")</f>
        <v>58.74</v>
      </c>
      <c r="M23" s="308">
        <f>H23*L23</f>
        <v>0</v>
      </c>
      <c r="N23" s="308">
        <f>H23*I23</f>
        <v>0</v>
      </c>
      <c r="O23" s="25">
        <f>N23/$N$25</f>
        <v>0</v>
      </c>
    </row>
    <row r="24" spans="1:16" ht="12" customHeight="1" x14ac:dyDescent="0.2">
      <c r="G24" s="52"/>
      <c r="H24" s="324"/>
      <c r="I24" s="313"/>
      <c r="J24" s="313"/>
      <c r="K24" s="313"/>
      <c r="L24" s="313"/>
      <c r="M24" s="313"/>
      <c r="N24" s="313"/>
      <c r="O24" s="19"/>
    </row>
    <row r="25" spans="1:16" ht="12" customHeight="1" x14ac:dyDescent="0.2">
      <c r="B25" s="130" t="s">
        <v>18</v>
      </c>
      <c r="C25" s="131"/>
      <c r="D25" s="131"/>
      <c r="E25" s="131"/>
      <c r="F25" s="131"/>
      <c r="G25" s="53"/>
      <c r="H25" s="325"/>
      <c r="I25" s="326"/>
      <c r="J25" s="326"/>
      <c r="K25" s="326"/>
      <c r="L25" s="326"/>
      <c r="M25" s="326"/>
      <c r="N25" s="308">
        <f>N22+N23</f>
        <v>6850.1652000000013</v>
      </c>
      <c r="O25" s="25">
        <f>N25/N27</f>
        <v>1</v>
      </c>
    </row>
    <row r="26" spans="1:16" ht="12" customHeight="1" x14ac:dyDescent="0.2">
      <c r="G26" s="52"/>
      <c r="H26" s="313"/>
      <c r="I26" s="313"/>
      <c r="J26" s="313"/>
      <c r="K26" s="313"/>
      <c r="L26" s="313"/>
      <c r="M26" s="313"/>
      <c r="N26" s="313"/>
      <c r="O26" s="19"/>
    </row>
    <row r="27" spans="1:16" s="132" customFormat="1" ht="12" customHeight="1" x14ac:dyDescent="0.2">
      <c r="B27" s="133" t="s">
        <v>20</v>
      </c>
      <c r="C27" s="134"/>
      <c r="D27" s="134"/>
      <c r="E27" s="134"/>
      <c r="F27" s="134"/>
      <c r="G27" s="78"/>
      <c r="H27" s="328"/>
      <c r="I27" s="328"/>
      <c r="J27" s="328"/>
      <c r="K27" s="328"/>
      <c r="L27" s="328"/>
      <c r="M27" s="328"/>
      <c r="N27" s="310">
        <f>N25</f>
        <v>6850.1652000000013</v>
      </c>
      <c r="O27" s="77">
        <f>N27/N29</f>
        <v>0.97838185314251247</v>
      </c>
    </row>
    <row r="28" spans="1:16" ht="7.5" customHeight="1" x14ac:dyDescent="0.2">
      <c r="G28" s="52"/>
      <c r="H28" s="313"/>
      <c r="I28" s="313"/>
      <c r="J28" s="313"/>
      <c r="K28" s="313"/>
      <c r="L28" s="313"/>
      <c r="M28" s="313"/>
      <c r="N28" s="313"/>
      <c r="O28" s="19"/>
    </row>
    <row r="29" spans="1:16" ht="12" customHeight="1" x14ac:dyDescent="0.2">
      <c r="A29" s="146"/>
      <c r="B29" s="147" t="s">
        <v>30</v>
      </c>
      <c r="C29" s="146"/>
      <c r="D29" s="146"/>
      <c r="E29" s="146"/>
      <c r="F29" s="146"/>
      <c r="G29" s="146"/>
      <c r="H29" s="342"/>
      <c r="I29" s="345"/>
      <c r="J29" s="345"/>
      <c r="K29" s="345"/>
      <c r="L29" s="345"/>
      <c r="M29" s="275">
        <f>SUM(M14:M28)</f>
        <v>7001.525200000001</v>
      </c>
      <c r="N29" s="316">
        <f>N27+N18</f>
        <v>7001.525200000001</v>
      </c>
      <c r="O29" s="322"/>
      <c r="P29" s="149"/>
    </row>
    <row r="30" spans="1:16" ht="7.5" customHeight="1" x14ac:dyDescent="0.2">
      <c r="G30" s="52"/>
      <c r="H30" s="313"/>
      <c r="I30" s="313"/>
      <c r="J30" s="313"/>
      <c r="K30" s="313"/>
      <c r="L30" s="313"/>
      <c r="M30" s="313"/>
      <c r="N30" s="313"/>
      <c r="O30" s="19"/>
    </row>
    <row r="31" spans="1:16" ht="12" customHeight="1" x14ac:dyDescent="0.2">
      <c r="A31" s="146"/>
      <c r="B31" s="147" t="s">
        <v>265</v>
      </c>
      <c r="C31" s="146"/>
      <c r="D31" s="146"/>
      <c r="E31" s="146"/>
      <c r="F31" s="146"/>
      <c r="G31" s="146"/>
      <c r="H31" s="342"/>
      <c r="I31" s="345"/>
      <c r="J31" s="345"/>
      <c r="K31" s="345"/>
      <c r="L31" s="345"/>
      <c r="M31" s="275">
        <f>M29+(M29*O7)</f>
        <v>8242.1954654400015</v>
      </c>
      <c r="N31" s="316">
        <f>M31</f>
        <v>8242.1954654400015</v>
      </c>
      <c r="O31" s="29">
        <f>N31/RESUMO!H95</f>
        <v>1.1381914378777761E-3</v>
      </c>
      <c r="P31" s="149"/>
    </row>
    <row r="43" spans="1:15" ht="12" customHeight="1" x14ac:dyDescent="0.2">
      <c r="A43" s="150"/>
      <c r="B43" s="150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211"/>
      <c r="O43" s="210"/>
    </row>
    <row r="44" spans="1:15" ht="12" customHeight="1" x14ac:dyDescent="0.2">
      <c r="A44" s="88"/>
      <c r="C44" s="184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184"/>
      <c r="O44" s="437"/>
    </row>
  </sheetData>
  <mergeCells count="3">
    <mergeCell ref="A2:O2"/>
    <mergeCell ref="N4:O4"/>
    <mergeCell ref="A5:B6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rowBreaks count="1" manualBreakCount="1">
    <brk id="20" max="12" man="1"/>
  </rowBreaks>
  <legacyDrawingHF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theme="6" tint="0.39997558519241921"/>
    <pageSetUpPr fitToPage="1"/>
  </sheetPr>
  <dimension ref="A1:P67"/>
  <sheetViews>
    <sheetView view="pageBreakPreview" topLeftCell="A25" zoomScale="90" zoomScaleNormal="90" zoomScaleSheetLayoutView="90" workbookViewId="0">
      <selection activeCell="Q56" sqref="Q56"/>
    </sheetView>
  </sheetViews>
  <sheetFormatPr defaultColWidth="11.42578125" defaultRowHeight="12" customHeight="1" x14ac:dyDescent="0.2"/>
  <cols>
    <col min="1" max="1" width="11.42578125" style="156"/>
    <col min="2" max="2" width="11.42578125" style="51" customWidth="1"/>
    <col min="3" max="5" width="11.42578125" style="51"/>
    <col min="6" max="6" width="28.5703125" style="51" customWidth="1"/>
    <col min="7" max="7" width="11.42578125" style="51"/>
    <col min="8" max="8" width="11.42578125" style="52" customWidth="1"/>
    <col min="9" max="9" width="11.42578125" style="51" customWidth="1"/>
    <col min="10" max="10" width="8.42578125" style="51" hidden="1" customWidth="1"/>
    <col min="11" max="11" width="14.28515625" style="51" customWidth="1"/>
    <col min="12" max="12" width="8.42578125" style="51" hidden="1" customWidth="1"/>
    <col min="13" max="13" width="14.28515625" style="51" customWidth="1"/>
    <col min="14" max="14" width="17.140625" style="303" customWidth="1"/>
    <col min="15" max="15" width="11.42578125" style="52" customWidth="1"/>
    <col min="16" max="16384" width="11.42578125" style="51"/>
  </cols>
  <sheetData>
    <row r="1" spans="1:15" ht="7.5" customHeight="1" x14ac:dyDescent="0.2"/>
    <row r="2" spans="1:15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5" ht="7.5" customHeight="1" thickBot="1" x14ac:dyDescent="0.25">
      <c r="A3" s="194"/>
      <c r="B3" s="123"/>
      <c r="C3" s="123"/>
      <c r="D3" s="123"/>
      <c r="E3" s="123"/>
      <c r="F3" s="123"/>
      <c r="G3" s="123"/>
      <c r="H3" s="195"/>
      <c r="I3" s="123"/>
      <c r="J3" s="123"/>
      <c r="K3" s="123"/>
      <c r="L3" s="123"/>
      <c r="M3" s="123"/>
      <c r="N3" s="304"/>
      <c r="O3" s="195"/>
    </row>
    <row r="4" spans="1:15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H4" s="51"/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5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H5" s="51"/>
      <c r="J5" s="258"/>
      <c r="K5" s="258"/>
      <c r="L5" s="258"/>
      <c r="M5" s="258"/>
      <c r="N5" s="305" t="str">
        <f>RESUMO!H5</f>
        <v>Serviços</v>
      </c>
      <c r="O5" s="234">
        <f>RESUMO!I5</f>
        <v>0.27579999999999999</v>
      </c>
    </row>
    <row r="6" spans="1:15" ht="12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H6" s="51"/>
      <c r="J6" s="258"/>
      <c r="K6" s="258"/>
      <c r="L6" s="258"/>
      <c r="M6" s="258"/>
      <c r="N6" s="305" t="str">
        <f>RESUMO!H6</f>
        <v>Serv Terc:</v>
      </c>
      <c r="O6" s="234">
        <f>RESUMO!I6</f>
        <v>0.1772</v>
      </c>
    </row>
    <row r="7" spans="1:15" ht="12" customHeight="1" x14ac:dyDescent="0.2">
      <c r="A7" s="196"/>
      <c r="B7" s="253"/>
      <c r="C7" s="260" t="s">
        <v>6</v>
      </c>
      <c r="D7" s="263" t="str">
        <f>RESUMO!A47</f>
        <v>U.C. : 13</v>
      </c>
      <c r="E7" s="258"/>
      <c r="F7" s="258"/>
      <c r="G7" s="260" t="s">
        <v>9</v>
      </c>
      <c r="H7" s="51"/>
      <c r="J7" s="277"/>
      <c r="K7" s="277"/>
      <c r="L7" s="277"/>
      <c r="M7" s="277" t="str">
        <f>RESUMO!G7</f>
        <v>Jun18 MOS4aEd v00</v>
      </c>
      <c r="N7" s="305" t="str">
        <f>RESUMO!H7</f>
        <v>Mat/Equip:</v>
      </c>
      <c r="O7" s="234">
        <f>RESUMO!I7</f>
        <v>0.1772</v>
      </c>
    </row>
    <row r="8" spans="1:15" ht="12" customHeight="1" thickBot="1" x14ac:dyDescent="0.25">
      <c r="A8" s="197"/>
      <c r="B8" s="125"/>
      <c r="C8" s="266" t="s">
        <v>8</v>
      </c>
      <c r="D8" s="267" t="str">
        <f>RESUMO!B47</f>
        <v>ESTAÇÃO DE TRATAMENTO DE ESGOTO - ETE</v>
      </c>
      <c r="E8" s="268"/>
      <c r="F8" s="268"/>
      <c r="G8" s="266"/>
      <c r="H8" s="123"/>
      <c r="I8" s="278"/>
      <c r="J8" s="278"/>
      <c r="K8" s="278"/>
      <c r="L8" s="278"/>
      <c r="M8" s="278"/>
      <c r="N8" s="306"/>
      <c r="O8" s="427"/>
    </row>
    <row r="9" spans="1:15" ht="12" customHeight="1" thickTop="1" x14ac:dyDescent="0.2">
      <c r="A9" s="198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307" t="s">
        <v>14</v>
      </c>
      <c r="O9" s="128" t="s">
        <v>15</v>
      </c>
    </row>
    <row r="10" spans="1:15" ht="7.5" customHeight="1" x14ac:dyDescent="0.2">
      <c r="O10" s="19"/>
    </row>
    <row r="11" spans="1:15" ht="12" customHeight="1" x14ac:dyDescent="0.2">
      <c r="A11" s="93">
        <f>RESUMO!A48</f>
        <v>1</v>
      </c>
      <c r="B11" s="93" t="str">
        <f>RESUMO!B48</f>
        <v>ACESSO ETE</v>
      </c>
      <c r="H11" s="19"/>
      <c r="O11" s="19"/>
    </row>
    <row r="12" spans="1:15" ht="12" customHeight="1" x14ac:dyDescent="0.2">
      <c r="A12" s="129" t="s">
        <v>48</v>
      </c>
      <c r="B12" s="88" t="s">
        <v>16</v>
      </c>
      <c r="H12" s="19"/>
      <c r="O12" s="19"/>
    </row>
    <row r="13" spans="1:15" ht="12" customHeight="1" x14ac:dyDescent="0.2">
      <c r="A13" s="129" t="s">
        <v>79</v>
      </c>
      <c r="B13" s="88" t="s">
        <v>80</v>
      </c>
      <c r="H13" s="501"/>
      <c r="O13" s="187"/>
    </row>
    <row r="14" spans="1:15" ht="12" customHeight="1" x14ac:dyDescent="0.2">
      <c r="A14" s="140" t="s">
        <v>751</v>
      </c>
      <c r="B14" s="834" t="s">
        <v>752</v>
      </c>
      <c r="C14" s="834"/>
      <c r="D14" s="834"/>
      <c r="E14" s="834"/>
      <c r="F14" s="834"/>
      <c r="G14" s="97" t="s">
        <v>753</v>
      </c>
      <c r="H14" s="495">
        <v>1.0128999999999999</v>
      </c>
      <c r="I14" s="323">
        <f>VLOOKUP(A14,'[1]TAB OGU JUN18'!$A:$G,6,"falso")</f>
        <v>1534.09</v>
      </c>
      <c r="J14" s="323">
        <f>VLOOKUP(A14,'[1]TAB OGU JUN18'!$A:$G,4,"falso")</f>
        <v>896.55</v>
      </c>
      <c r="K14" s="308">
        <f>H14*J14</f>
        <v>908.1154949999999</v>
      </c>
      <c r="L14" s="323">
        <f>VLOOKUP(A14,'[1]TAB OGU JUN18'!$A:$G,5,"falso")</f>
        <v>637.54</v>
      </c>
      <c r="M14" s="308">
        <f>H14*L14</f>
        <v>645.76426599999991</v>
      </c>
      <c r="N14" s="308">
        <f>H14*I14</f>
        <v>1553.8797609999997</v>
      </c>
      <c r="O14" s="185">
        <f>N14/N16</f>
        <v>1</v>
      </c>
    </row>
    <row r="15" spans="1:15" ht="12" customHeight="1" x14ac:dyDescent="0.2">
      <c r="G15" s="52"/>
      <c r="H15" s="506"/>
      <c r="I15" s="323"/>
      <c r="J15" s="323"/>
      <c r="K15" s="313"/>
      <c r="L15" s="323"/>
      <c r="M15" s="313"/>
      <c r="N15" s="309"/>
      <c r="O15" s="185"/>
    </row>
    <row r="16" spans="1:15" ht="12" customHeight="1" x14ac:dyDescent="0.2">
      <c r="B16" s="130" t="s">
        <v>18</v>
      </c>
      <c r="C16" s="131"/>
      <c r="D16" s="131"/>
      <c r="E16" s="131"/>
      <c r="F16" s="131"/>
      <c r="G16" s="53"/>
      <c r="H16" s="507"/>
      <c r="I16" s="582"/>
      <c r="J16" s="582"/>
      <c r="K16" s="326"/>
      <c r="L16" s="582"/>
      <c r="M16" s="326"/>
      <c r="N16" s="308">
        <f>SUM(N14:N14)</f>
        <v>1553.8797609999997</v>
      </c>
      <c r="O16" s="185">
        <f>N16/N28</f>
        <v>0.76218457066422929</v>
      </c>
    </row>
    <row r="17" spans="1:15" ht="12" customHeight="1" x14ac:dyDescent="0.2">
      <c r="B17" s="130"/>
      <c r="G17" s="52"/>
      <c r="H17" s="506"/>
      <c r="I17" s="323"/>
      <c r="J17" s="323"/>
      <c r="K17" s="313"/>
      <c r="L17" s="323"/>
      <c r="M17" s="313"/>
      <c r="N17" s="308"/>
      <c r="O17" s="185"/>
    </row>
    <row r="18" spans="1:15" ht="12" customHeight="1" x14ac:dyDescent="0.2">
      <c r="A18" s="129" t="s">
        <v>779</v>
      </c>
      <c r="B18" s="88" t="s">
        <v>780</v>
      </c>
      <c r="H18" s="501"/>
      <c r="I18" s="323"/>
      <c r="J18" s="323"/>
      <c r="L18" s="323"/>
      <c r="O18" s="187"/>
    </row>
    <row r="19" spans="1:15" ht="12" customHeight="1" x14ac:dyDescent="0.2">
      <c r="A19" s="140" t="s">
        <v>788</v>
      </c>
      <c r="B19" s="142" t="s">
        <v>787</v>
      </c>
      <c r="C19" s="153"/>
      <c r="D19" s="153"/>
      <c r="E19" s="153"/>
      <c r="F19" s="153"/>
      <c r="G19" s="97" t="s">
        <v>753</v>
      </c>
      <c r="H19" s="495">
        <f>H14</f>
        <v>1.0128999999999999</v>
      </c>
      <c r="I19" s="323">
        <f>VLOOKUP(A19,'[1]TAB OGU JUN18'!$A:$G,6,"falso")</f>
        <v>280.52</v>
      </c>
      <c r="J19" s="323">
        <f>VLOOKUP(A19,'[1]TAB OGU JUN18'!$A:$G,4,"falso")</f>
        <v>280.52</v>
      </c>
      <c r="K19" s="308">
        <f>H19*J19</f>
        <v>284.13870799999995</v>
      </c>
      <c r="L19" s="323">
        <f>VLOOKUP(A19,'[1]TAB OGU JUN18'!$A:$G,5,"falso")</f>
        <v>0</v>
      </c>
      <c r="M19" s="308"/>
      <c r="N19" s="308">
        <f>H19*I19</f>
        <v>284.13870799999995</v>
      </c>
      <c r="O19" s="185">
        <f>N19/N21</f>
        <v>1</v>
      </c>
    </row>
    <row r="20" spans="1:15" ht="12" customHeight="1" x14ac:dyDescent="0.2">
      <c r="G20" s="52"/>
      <c r="H20" s="506"/>
      <c r="I20" s="323"/>
      <c r="J20" s="323"/>
      <c r="K20" s="313"/>
      <c r="L20" s="323"/>
      <c r="M20" s="313"/>
      <c r="N20" s="309"/>
      <c r="O20" s="185"/>
    </row>
    <row r="21" spans="1:15" ht="12" customHeight="1" x14ac:dyDescent="0.2">
      <c r="B21" s="130" t="s">
        <v>18</v>
      </c>
      <c r="C21" s="131"/>
      <c r="D21" s="131"/>
      <c r="E21" s="131"/>
      <c r="F21" s="131"/>
      <c r="G21" s="53"/>
      <c r="H21" s="507"/>
      <c r="I21" s="582"/>
      <c r="J21" s="582"/>
      <c r="K21" s="326"/>
      <c r="L21" s="582"/>
      <c r="M21" s="326"/>
      <c r="N21" s="308">
        <f>SUM(N19:N19)</f>
        <v>284.13870799999995</v>
      </c>
      <c r="O21" s="185">
        <f>N21/N28</f>
        <v>0.13937123360606588</v>
      </c>
    </row>
    <row r="22" spans="1:15" ht="12" customHeight="1" x14ac:dyDescent="0.2">
      <c r="B22" s="130"/>
      <c r="G22" s="52"/>
      <c r="H22" s="506"/>
      <c r="I22" s="323"/>
      <c r="J22" s="323"/>
      <c r="K22" s="313"/>
      <c r="L22" s="323"/>
      <c r="M22" s="313"/>
      <c r="N22" s="308"/>
      <c r="O22" s="185"/>
    </row>
    <row r="23" spans="1:15" ht="12" customHeight="1" x14ac:dyDescent="0.2">
      <c r="A23" s="129" t="s">
        <v>783</v>
      </c>
      <c r="B23" s="88" t="s">
        <v>785</v>
      </c>
      <c r="H23" s="501"/>
      <c r="I23" s="323"/>
      <c r="J23" s="323"/>
      <c r="L23" s="323"/>
      <c r="O23" s="187"/>
    </row>
    <row r="24" spans="1:15" ht="12" customHeight="1" x14ac:dyDescent="0.2">
      <c r="A24" s="140" t="s">
        <v>784</v>
      </c>
      <c r="B24" s="142" t="s">
        <v>786</v>
      </c>
      <c r="C24" s="153"/>
      <c r="D24" s="153"/>
      <c r="E24" s="153"/>
      <c r="F24" s="153"/>
      <c r="G24" s="97" t="s">
        <v>753</v>
      </c>
      <c r="H24" s="495">
        <v>90</v>
      </c>
      <c r="I24" s="323">
        <f>VLOOKUP(A24,'[1]TAB OGU JUN18'!$A:$G,6,"falso")</f>
        <v>2.23</v>
      </c>
      <c r="J24" s="323">
        <f>VLOOKUP(A24,'[1]TAB OGU JUN18'!$A:$G,4,"falso")</f>
        <v>2.23</v>
      </c>
      <c r="K24" s="308">
        <f>H24*J24</f>
        <v>200.7</v>
      </c>
      <c r="L24" s="323">
        <f>VLOOKUP(A24,'[1]TAB OGU JUN18'!$A:$G,5,"falso")</f>
        <v>0</v>
      </c>
      <c r="M24" s="308"/>
      <c r="N24" s="308">
        <f>H24*I24</f>
        <v>200.7</v>
      </c>
      <c r="O24" s="185">
        <f>N24/N26</f>
        <v>1</v>
      </c>
    </row>
    <row r="25" spans="1:15" ht="12" customHeight="1" x14ac:dyDescent="0.2">
      <c r="G25" s="52"/>
      <c r="H25" s="506"/>
      <c r="I25" s="323"/>
      <c r="J25" s="323"/>
      <c r="K25" s="313"/>
      <c r="L25" s="323"/>
      <c r="M25" s="313"/>
      <c r="N25" s="309"/>
      <c r="O25" s="185"/>
    </row>
    <row r="26" spans="1:15" ht="12" customHeight="1" x14ac:dyDescent="0.2">
      <c r="B26" s="130" t="s">
        <v>18</v>
      </c>
      <c r="C26" s="131"/>
      <c r="D26" s="131"/>
      <c r="E26" s="131"/>
      <c r="F26" s="131"/>
      <c r="G26" s="53"/>
      <c r="H26" s="507"/>
      <c r="I26" s="582"/>
      <c r="J26" s="582"/>
      <c r="K26" s="326"/>
      <c r="L26" s="582"/>
      <c r="M26" s="326"/>
      <c r="N26" s="308">
        <f>SUM(N24:N24)</f>
        <v>200.7</v>
      </c>
      <c r="O26" s="185">
        <f>N26/N28</f>
        <v>9.8444195729704753E-2</v>
      </c>
    </row>
    <row r="27" spans="1:15" ht="12" customHeight="1" x14ac:dyDescent="0.2">
      <c r="B27" s="130"/>
      <c r="G27" s="52"/>
      <c r="H27" s="506"/>
      <c r="I27" s="323"/>
      <c r="J27" s="323"/>
      <c r="K27" s="313"/>
      <c r="L27" s="323"/>
      <c r="M27" s="313"/>
      <c r="N27" s="308"/>
      <c r="O27" s="185"/>
    </row>
    <row r="28" spans="1:15" s="132" customFormat="1" ht="12" customHeight="1" x14ac:dyDescent="0.2">
      <c r="A28" s="157"/>
      <c r="B28" s="133" t="s">
        <v>20</v>
      </c>
      <c r="C28" s="134"/>
      <c r="D28" s="134"/>
      <c r="E28" s="134"/>
      <c r="F28" s="134"/>
      <c r="G28" s="78"/>
      <c r="H28" s="515"/>
      <c r="I28" s="582"/>
      <c r="J28" s="582"/>
      <c r="K28" s="328"/>
      <c r="L28" s="582"/>
      <c r="M28" s="328"/>
      <c r="N28" s="310">
        <f>N16+N21+N26</f>
        <v>2038.7184689999997</v>
      </c>
      <c r="O28" s="186">
        <f>N28/N60</f>
        <v>1.3493456405150822E-2</v>
      </c>
    </row>
    <row r="29" spans="1:15" ht="9.75" customHeight="1" x14ac:dyDescent="0.2">
      <c r="B29" s="130"/>
      <c r="G29" s="52"/>
      <c r="H29" s="506"/>
      <c r="I29" s="323"/>
      <c r="J29" s="323"/>
      <c r="K29" s="313"/>
      <c r="L29" s="323"/>
      <c r="M29" s="313"/>
      <c r="N29" s="308"/>
      <c r="O29" s="185"/>
    </row>
    <row r="30" spans="1:15" ht="12" customHeight="1" x14ac:dyDescent="0.2">
      <c r="A30" s="129" t="s">
        <v>49</v>
      </c>
      <c r="B30" s="88" t="s">
        <v>86</v>
      </c>
      <c r="H30" s="506"/>
      <c r="I30" s="323"/>
      <c r="J30" s="323"/>
      <c r="K30" s="329"/>
      <c r="L30" s="323"/>
      <c r="M30" s="311"/>
      <c r="N30" s="311"/>
    </row>
    <row r="31" spans="1:15" ht="12" customHeight="1" x14ac:dyDescent="0.2">
      <c r="A31" s="140" t="s">
        <v>289</v>
      </c>
      <c r="B31" s="834" t="s">
        <v>667</v>
      </c>
      <c r="C31" s="834"/>
      <c r="D31" s="834"/>
      <c r="E31" s="834"/>
      <c r="F31" s="137"/>
      <c r="G31" s="137"/>
      <c r="H31" s="707"/>
      <c r="I31" s="323"/>
      <c r="J31" s="323"/>
      <c r="K31" s="329"/>
      <c r="L31" s="323"/>
      <c r="M31" s="311"/>
      <c r="N31" s="311"/>
    </row>
    <row r="32" spans="1:15" ht="12" customHeight="1" x14ac:dyDescent="0.2">
      <c r="A32" s="140" t="s">
        <v>290</v>
      </c>
      <c r="B32" s="834" t="s">
        <v>668</v>
      </c>
      <c r="C32" s="834"/>
      <c r="D32" s="834"/>
      <c r="E32" s="834"/>
      <c r="F32" s="137"/>
      <c r="G32" s="139" t="s">
        <v>31</v>
      </c>
      <c r="H32" s="517">
        <v>2232.4899999999998</v>
      </c>
      <c r="I32" s="323">
        <f>VLOOKUP(A32,'[1]TAB OGU JUN18'!$A:$G,6,"falso")</f>
        <v>0.51</v>
      </c>
      <c r="J32" s="323">
        <f>VLOOKUP(A32,'[1]TAB OGU JUN18'!$A:$G,4,"falso")</f>
        <v>0.51</v>
      </c>
      <c r="K32" s="308">
        <f>H32*J32</f>
        <v>1138.5699</v>
      </c>
      <c r="L32" s="323">
        <f>VLOOKUP(A32,'[1]TAB OGU JUN18'!$A:$G,5,"falso")</f>
        <v>0</v>
      </c>
      <c r="M32" s="308"/>
      <c r="N32" s="286">
        <f>I32*H32</f>
        <v>1138.5699</v>
      </c>
      <c r="O32" s="25">
        <f>N32/$N$34</f>
        <v>1</v>
      </c>
    </row>
    <row r="33" spans="1:15" ht="12" customHeight="1" x14ac:dyDescent="0.2">
      <c r="A33" s="140"/>
      <c r="B33" s="138"/>
      <c r="C33" s="138"/>
      <c r="D33" s="138"/>
      <c r="E33" s="138"/>
      <c r="F33" s="137"/>
      <c r="G33" s="139"/>
      <c r="H33" s="517"/>
      <c r="I33" s="323"/>
      <c r="J33" s="323"/>
      <c r="K33" s="311"/>
      <c r="L33" s="323"/>
      <c r="M33" s="346"/>
      <c r="N33" s="286"/>
      <c r="O33" s="25"/>
    </row>
    <row r="34" spans="1:15" ht="12" customHeight="1" x14ac:dyDescent="0.2">
      <c r="A34" s="202"/>
      <c r="B34" s="142" t="s">
        <v>18</v>
      </c>
      <c r="C34" s="143"/>
      <c r="D34" s="143"/>
      <c r="E34" s="143"/>
      <c r="F34" s="188"/>
      <c r="G34" s="173"/>
      <c r="H34" s="708"/>
      <c r="I34" s="582"/>
      <c r="J34" s="582"/>
      <c r="K34" s="347"/>
      <c r="L34" s="582"/>
      <c r="M34" s="347"/>
      <c r="N34" s="286">
        <f>SUM(N32:N33)</f>
        <v>1138.5699</v>
      </c>
      <c r="O34" s="428">
        <f>N34/N36</f>
        <v>1</v>
      </c>
    </row>
    <row r="35" spans="1:15" ht="10.5" customHeight="1" x14ac:dyDescent="0.2">
      <c r="A35" s="202"/>
      <c r="B35" s="138"/>
      <c r="C35" s="138"/>
      <c r="D35" s="138"/>
      <c r="E35" s="138"/>
      <c r="F35" s="137"/>
      <c r="G35" s="162"/>
      <c r="H35" s="707"/>
      <c r="I35" s="323"/>
      <c r="J35" s="323"/>
      <c r="K35" s="346"/>
      <c r="L35" s="323"/>
      <c r="M35" s="346"/>
      <c r="N35" s="286"/>
      <c r="O35" s="428"/>
    </row>
    <row r="36" spans="1:15" s="132" customFormat="1" ht="12" customHeight="1" x14ac:dyDescent="0.2">
      <c r="A36" s="203"/>
      <c r="B36" s="175" t="s">
        <v>20</v>
      </c>
      <c r="C36" s="176"/>
      <c r="D36" s="176"/>
      <c r="E36" s="176"/>
      <c r="F36" s="191"/>
      <c r="G36" s="178"/>
      <c r="H36" s="709"/>
      <c r="I36" s="582"/>
      <c r="J36" s="582"/>
      <c r="K36" s="348"/>
      <c r="L36" s="582"/>
      <c r="M36" s="348"/>
      <c r="N36" s="312">
        <f>N34</f>
        <v>1138.5699</v>
      </c>
      <c r="O36" s="429">
        <f>N36/$N$60</f>
        <v>7.5357355826587806E-3</v>
      </c>
    </row>
    <row r="37" spans="1:15" ht="10.5" customHeight="1" x14ac:dyDescent="0.2">
      <c r="A37" s="202"/>
      <c r="B37" s="138"/>
      <c r="C37" s="138"/>
      <c r="D37" s="138"/>
      <c r="E37" s="138"/>
      <c r="F37" s="137"/>
      <c r="G37" s="162"/>
      <c r="H37" s="707"/>
      <c r="I37" s="323"/>
      <c r="J37" s="323"/>
      <c r="K37" s="311"/>
      <c r="L37" s="323"/>
      <c r="M37" s="346"/>
      <c r="N37" s="286"/>
      <c r="O37" s="25"/>
    </row>
    <row r="38" spans="1:15" ht="12" customHeight="1" x14ac:dyDescent="0.2">
      <c r="A38" s="129" t="s">
        <v>93</v>
      </c>
      <c r="B38" s="88" t="s">
        <v>96</v>
      </c>
      <c r="H38" s="506"/>
      <c r="I38" s="323"/>
      <c r="J38" s="323"/>
      <c r="K38" s="311"/>
      <c r="L38" s="323"/>
      <c r="M38" s="311"/>
      <c r="N38" s="311"/>
      <c r="O38" s="236"/>
    </row>
    <row r="39" spans="1:15" ht="12" customHeight="1" x14ac:dyDescent="0.2">
      <c r="A39" s="98" t="s">
        <v>110</v>
      </c>
      <c r="B39" s="88" t="s">
        <v>112</v>
      </c>
      <c r="G39" s="52"/>
      <c r="H39" s="506"/>
      <c r="I39" s="323"/>
      <c r="J39" s="323"/>
      <c r="K39" s="313"/>
      <c r="L39" s="323"/>
      <c r="M39" s="313"/>
      <c r="N39" s="313"/>
      <c r="O39" s="187"/>
    </row>
    <row r="40" spans="1:15" ht="12" customHeight="1" x14ac:dyDescent="0.2">
      <c r="A40" s="98" t="s">
        <v>111</v>
      </c>
      <c r="B40" s="88" t="s">
        <v>113</v>
      </c>
      <c r="G40" s="97" t="s">
        <v>32</v>
      </c>
      <c r="H40" s="495">
        <f>H32*0.0978</f>
        <v>218.33752199999998</v>
      </c>
      <c r="I40" s="323">
        <f>VLOOKUP(A40,'[1]TAB OGU JUN18'!$A:$G,6,"falso")</f>
        <v>1.85</v>
      </c>
      <c r="J40" s="323">
        <f>VLOOKUP(A40,'[1]TAB OGU JUN18'!$A:$G,4,"falso")</f>
        <v>1.85</v>
      </c>
      <c r="K40" s="308">
        <f>H40*J40</f>
        <v>403.9244157</v>
      </c>
      <c r="L40" s="323">
        <f>VLOOKUP(A40,'[1]TAB OGU JUN18'!$A:$G,5,"falso")</f>
        <v>0</v>
      </c>
      <c r="M40" s="308"/>
      <c r="N40" s="308">
        <f>H40*I40</f>
        <v>403.9244157</v>
      </c>
      <c r="O40" s="185">
        <f>N40/N42</f>
        <v>1</v>
      </c>
    </row>
    <row r="41" spans="1:15" ht="12" customHeight="1" x14ac:dyDescent="0.2">
      <c r="G41" s="52"/>
      <c r="H41" s="506"/>
      <c r="I41" s="323"/>
      <c r="J41" s="323"/>
      <c r="K41" s="313"/>
      <c r="L41" s="323"/>
      <c r="M41" s="313"/>
      <c r="N41" s="313"/>
      <c r="O41" s="187"/>
    </row>
    <row r="42" spans="1:15" ht="12" customHeight="1" x14ac:dyDescent="0.2">
      <c r="B42" s="130" t="s">
        <v>18</v>
      </c>
      <c r="C42" s="131"/>
      <c r="D42" s="131"/>
      <c r="E42" s="131"/>
      <c r="F42" s="131"/>
      <c r="G42" s="53"/>
      <c r="H42" s="507"/>
      <c r="I42" s="582"/>
      <c r="J42" s="582"/>
      <c r="K42" s="326"/>
      <c r="L42" s="582"/>
      <c r="M42" s="326"/>
      <c r="N42" s="308">
        <f>N40</f>
        <v>403.9244157</v>
      </c>
      <c r="O42" s="185">
        <f>N42/N49</f>
        <v>0.3814432989690722</v>
      </c>
    </row>
    <row r="43" spans="1:15" ht="10.5" customHeight="1" x14ac:dyDescent="0.2">
      <c r="B43" s="130"/>
      <c r="G43" s="52"/>
      <c r="H43" s="506"/>
      <c r="I43" s="323"/>
      <c r="J43" s="323"/>
      <c r="K43" s="313"/>
      <c r="L43" s="323"/>
      <c r="M43" s="313"/>
      <c r="N43" s="308"/>
      <c r="O43" s="185"/>
    </row>
    <row r="44" spans="1:15" ht="12" customHeight="1" x14ac:dyDescent="0.2">
      <c r="A44" s="98" t="s">
        <v>114</v>
      </c>
      <c r="B44" s="88" t="s">
        <v>737</v>
      </c>
      <c r="G44" s="52"/>
      <c r="H44" s="506"/>
      <c r="I44" s="323"/>
      <c r="J44" s="323"/>
      <c r="K44" s="313"/>
      <c r="L44" s="323"/>
      <c r="M44" s="313"/>
      <c r="N44" s="313"/>
      <c r="O44" s="187"/>
    </row>
    <row r="45" spans="1:15" ht="12" customHeight="1" x14ac:dyDescent="0.2">
      <c r="A45" s="98" t="s">
        <v>115</v>
      </c>
      <c r="B45" s="88" t="s">
        <v>116</v>
      </c>
      <c r="G45" s="97" t="s">
        <v>180</v>
      </c>
      <c r="H45" s="495">
        <f>H40*3</f>
        <v>655.01256599999988</v>
      </c>
      <c r="I45" s="323">
        <f>VLOOKUP(A45,'[1]TAB OGU JUN18'!$A:$G,6,"falso")</f>
        <v>1</v>
      </c>
      <c r="J45" s="323">
        <f>VLOOKUP(A45,'[1]TAB OGU JUN18'!$A:$G,4,"falso")</f>
        <v>1</v>
      </c>
      <c r="K45" s="308">
        <f>H45*J45</f>
        <v>655.01256599999988</v>
      </c>
      <c r="L45" s="323">
        <f>VLOOKUP(A45,'[1]TAB OGU JUN18'!$A:$G,5,"falso")</f>
        <v>0</v>
      </c>
      <c r="M45" s="308"/>
      <c r="N45" s="308">
        <f>H45*I45</f>
        <v>655.01256599999988</v>
      </c>
      <c r="O45" s="185">
        <f>N45/N47</f>
        <v>1</v>
      </c>
    </row>
    <row r="46" spans="1:15" ht="12" customHeight="1" x14ac:dyDescent="0.2">
      <c r="G46" s="52"/>
      <c r="H46" s="506"/>
      <c r="I46" s="323"/>
      <c r="J46" s="323"/>
      <c r="K46" s="313"/>
      <c r="L46" s="323"/>
      <c r="M46" s="313"/>
      <c r="N46" s="313"/>
      <c r="O46" s="187"/>
    </row>
    <row r="47" spans="1:15" ht="12" customHeight="1" x14ac:dyDescent="0.2">
      <c r="B47" s="130" t="s">
        <v>18</v>
      </c>
      <c r="C47" s="131"/>
      <c r="D47" s="131"/>
      <c r="E47" s="131"/>
      <c r="F47" s="131"/>
      <c r="G47" s="53"/>
      <c r="H47" s="507"/>
      <c r="I47" s="582"/>
      <c r="J47" s="582"/>
      <c r="K47" s="326"/>
      <c r="L47" s="582"/>
      <c r="M47" s="326"/>
      <c r="N47" s="308">
        <f>N45</f>
        <v>655.01256599999988</v>
      </c>
      <c r="O47" s="185">
        <f>N47/N49</f>
        <v>0.61855670103092775</v>
      </c>
    </row>
    <row r="48" spans="1:15" ht="10.5" customHeight="1" x14ac:dyDescent="0.2">
      <c r="B48" s="130"/>
      <c r="G48" s="52"/>
      <c r="H48" s="506"/>
      <c r="I48" s="323"/>
      <c r="J48" s="323"/>
      <c r="K48" s="313"/>
      <c r="L48" s="323"/>
      <c r="M48" s="313"/>
      <c r="N48" s="308"/>
      <c r="O48" s="185"/>
    </row>
    <row r="49" spans="1:16" s="132" customFormat="1" ht="12" customHeight="1" x14ac:dyDescent="0.2">
      <c r="A49" s="157"/>
      <c r="B49" s="133" t="s">
        <v>20</v>
      </c>
      <c r="C49" s="134"/>
      <c r="D49" s="134"/>
      <c r="E49" s="134"/>
      <c r="F49" s="134"/>
      <c r="G49" s="78"/>
      <c r="H49" s="515"/>
      <c r="I49" s="582"/>
      <c r="J49" s="582"/>
      <c r="K49" s="328"/>
      <c r="L49" s="582"/>
      <c r="M49" s="328"/>
      <c r="N49" s="310">
        <f>N42+N47</f>
        <v>1058.9369816999999</v>
      </c>
      <c r="O49" s="429">
        <f>N49/$N$60</f>
        <v>7.0086773704363513E-3</v>
      </c>
    </row>
    <row r="50" spans="1:16" ht="10.5" customHeight="1" x14ac:dyDescent="0.2">
      <c r="B50" s="130"/>
      <c r="G50" s="52"/>
      <c r="H50" s="506"/>
      <c r="I50" s="323"/>
      <c r="J50" s="323"/>
      <c r="K50" s="313"/>
      <c r="L50" s="323"/>
      <c r="M50" s="313"/>
      <c r="N50" s="308"/>
      <c r="O50" s="25"/>
    </row>
    <row r="51" spans="1:16" ht="12" customHeight="1" x14ac:dyDescent="0.2">
      <c r="A51" s="140">
        <v>10</v>
      </c>
      <c r="B51" s="834" t="s">
        <v>27</v>
      </c>
      <c r="C51" s="834"/>
      <c r="D51" s="834"/>
      <c r="E51" s="834"/>
      <c r="F51" s="137"/>
      <c r="G51" s="162"/>
      <c r="H51" s="707"/>
      <c r="I51" s="323"/>
      <c r="J51" s="323"/>
      <c r="K51" s="311"/>
      <c r="L51" s="323"/>
      <c r="M51" s="346"/>
      <c r="N51" s="286"/>
      <c r="O51" s="25"/>
    </row>
    <row r="52" spans="1:16" ht="12" customHeight="1" x14ac:dyDescent="0.2">
      <c r="A52" s="140">
        <v>1002</v>
      </c>
      <c r="B52" s="834" t="s">
        <v>670</v>
      </c>
      <c r="C52" s="834"/>
      <c r="D52" s="834"/>
      <c r="E52" s="834"/>
      <c r="F52" s="137"/>
      <c r="G52" s="162"/>
      <c r="H52" s="707"/>
      <c r="I52" s="323"/>
      <c r="J52" s="323"/>
      <c r="K52" s="311"/>
      <c r="L52" s="323"/>
      <c r="M52" s="346"/>
      <c r="N52" s="286"/>
      <c r="O52" s="25"/>
    </row>
    <row r="53" spans="1:16" ht="12" customHeight="1" x14ac:dyDescent="0.2">
      <c r="A53" s="140" t="s">
        <v>732</v>
      </c>
      <c r="B53" s="200" t="s">
        <v>733</v>
      </c>
      <c r="C53" s="153"/>
      <c r="D53" s="153"/>
      <c r="E53" s="153"/>
      <c r="F53" s="137"/>
      <c r="G53" s="139" t="s">
        <v>31</v>
      </c>
      <c r="H53" s="517">
        <f>H32</f>
        <v>2232.4899999999998</v>
      </c>
      <c r="I53" s="323">
        <f>VLOOKUP(A53,'[1]TAB OGU JUN18'!$A:$G,6,"falso")</f>
        <v>1.21</v>
      </c>
      <c r="J53" s="323">
        <f>VLOOKUP(A53,'[1]TAB OGU JUN18'!$A:$G,4,"falso")</f>
        <v>1.21</v>
      </c>
      <c r="K53" s="308">
        <f t="shared" ref="K53:K54" si="0">H53*J53</f>
        <v>2701.3128999999994</v>
      </c>
      <c r="L53" s="323">
        <f>VLOOKUP(A53,'[1]TAB OGU JUN18'!$A:$G,5,"falso")</f>
        <v>0</v>
      </c>
      <c r="M53" s="308">
        <f t="shared" ref="M53:M54" si="1">L53*H53</f>
        <v>0</v>
      </c>
      <c r="N53" s="286">
        <f t="shared" ref="N53:N54" si="2">I53*H53</f>
        <v>2701.3128999999994</v>
      </c>
      <c r="O53" s="25">
        <f>N53/$N$56</f>
        <v>1.839464882943144E-2</v>
      </c>
    </row>
    <row r="54" spans="1:16" ht="12" customHeight="1" x14ac:dyDescent="0.2">
      <c r="A54" s="140" t="s">
        <v>734</v>
      </c>
      <c r="B54" s="200" t="s">
        <v>735</v>
      </c>
      <c r="C54" s="153"/>
      <c r="D54" s="153"/>
      <c r="E54" s="153"/>
      <c r="F54" s="137"/>
      <c r="G54" s="139" t="s">
        <v>32</v>
      </c>
      <c r="H54" s="189">
        <f>H53</f>
        <v>2232.4899999999998</v>
      </c>
      <c r="I54" s="323">
        <f>VLOOKUP(A54,'[1]TAB OGU JUN18'!$A:$G,6,"falso")</f>
        <v>64.569999999999993</v>
      </c>
      <c r="J54" s="323">
        <f>VLOOKUP(A54,'[1]TAB OGU JUN18'!$A:$G,4,"falso")</f>
        <v>13.88</v>
      </c>
      <c r="K54" s="308">
        <f t="shared" si="0"/>
        <v>30986.961199999998</v>
      </c>
      <c r="L54" s="323">
        <f>VLOOKUP(A54,'[1]TAB OGU JUN18'!$A:$G,5,"falso")</f>
        <v>50.69</v>
      </c>
      <c r="M54" s="308">
        <f t="shared" si="1"/>
        <v>113164.91809999998</v>
      </c>
      <c r="N54" s="286">
        <f t="shared" si="2"/>
        <v>144151.87929999997</v>
      </c>
      <c r="O54" s="25">
        <f>N54/$N$56</f>
        <v>0.98160535117056857</v>
      </c>
    </row>
    <row r="55" spans="1:16" ht="10.5" customHeight="1" x14ac:dyDescent="0.2">
      <c r="A55" s="140"/>
      <c r="B55" s="138"/>
      <c r="C55" s="138"/>
      <c r="D55" s="138"/>
      <c r="E55" s="138"/>
      <c r="F55" s="137"/>
      <c r="G55" s="141"/>
      <c r="H55" s="189"/>
      <c r="I55" s="323"/>
      <c r="J55" s="311"/>
      <c r="K55" s="311"/>
      <c r="L55" s="346"/>
      <c r="M55" s="346"/>
      <c r="N55" s="286"/>
      <c r="O55" s="25"/>
    </row>
    <row r="56" spans="1:16" ht="12" customHeight="1" x14ac:dyDescent="0.2">
      <c r="A56" s="202"/>
      <c r="B56" s="142" t="s">
        <v>18</v>
      </c>
      <c r="C56" s="143"/>
      <c r="D56" s="143"/>
      <c r="E56" s="143"/>
      <c r="F56" s="188"/>
      <c r="G56" s="188"/>
      <c r="H56" s="663"/>
      <c r="I56" s="582"/>
      <c r="J56" s="347"/>
      <c r="K56" s="347"/>
      <c r="L56" s="347"/>
      <c r="M56" s="347"/>
      <c r="N56" s="286">
        <f>SUM(N53:N55)</f>
        <v>146853.19219999996</v>
      </c>
      <c r="O56" s="428">
        <f>N56/N58</f>
        <v>1</v>
      </c>
    </row>
    <row r="57" spans="1:16" ht="10.5" customHeight="1" x14ac:dyDescent="0.2">
      <c r="A57" s="202"/>
      <c r="B57" s="138"/>
      <c r="C57" s="138"/>
      <c r="D57" s="138"/>
      <c r="E57" s="138"/>
      <c r="F57" s="137"/>
      <c r="G57" s="137"/>
      <c r="H57" s="333"/>
      <c r="I57" s="323"/>
      <c r="J57" s="346"/>
      <c r="K57" s="346"/>
      <c r="L57" s="346"/>
      <c r="M57" s="346"/>
      <c r="N57" s="286"/>
      <c r="O57" s="428"/>
    </row>
    <row r="58" spans="1:16" s="132" customFormat="1" ht="12" customHeight="1" x14ac:dyDescent="0.2">
      <c r="A58" s="203"/>
      <c r="B58" s="175" t="s">
        <v>20</v>
      </c>
      <c r="C58" s="176"/>
      <c r="D58" s="176"/>
      <c r="E58" s="176"/>
      <c r="F58" s="191"/>
      <c r="G58" s="191"/>
      <c r="H58" s="337"/>
      <c r="I58" s="582"/>
      <c r="J58" s="348"/>
      <c r="K58" s="348"/>
      <c r="L58" s="348"/>
      <c r="M58" s="348"/>
      <c r="N58" s="312">
        <f>N56</f>
        <v>146853.19219999996</v>
      </c>
      <c r="O58" s="429">
        <f>N58/$N$60</f>
        <v>0.97196213064175385</v>
      </c>
    </row>
    <row r="59" spans="1:16" ht="6.75" customHeight="1" x14ac:dyDescent="0.2">
      <c r="A59" s="98"/>
      <c r="B59" s="88"/>
      <c r="G59" s="97"/>
      <c r="H59" s="308"/>
      <c r="I59" s="308"/>
      <c r="J59" s="308"/>
      <c r="K59" s="308"/>
      <c r="L59" s="308"/>
      <c r="M59" s="308"/>
      <c r="N59" s="308"/>
      <c r="O59" s="185"/>
    </row>
    <row r="60" spans="1:16" ht="11.25" customHeight="1" x14ac:dyDescent="0.2">
      <c r="A60" s="206"/>
      <c r="B60" s="147" t="s">
        <v>30</v>
      </c>
      <c r="C60" s="146"/>
      <c r="D60" s="146"/>
      <c r="E60" s="146"/>
      <c r="F60" s="146"/>
      <c r="G60" s="146"/>
      <c r="H60" s="350"/>
      <c r="I60" s="345"/>
      <c r="J60" s="345"/>
      <c r="K60" s="275">
        <f>SUM(K12:K58)</f>
        <v>37278.735184699995</v>
      </c>
      <c r="L60" s="275"/>
      <c r="M60" s="275">
        <f>SUM(M12:M58)</f>
        <v>113810.68236599998</v>
      </c>
      <c r="N60" s="316">
        <f>N36+N58+N49+N28</f>
        <v>151089.41755069999</v>
      </c>
      <c r="O60" s="237"/>
      <c r="P60" s="149"/>
    </row>
    <row r="61" spans="1:16" ht="6.75" customHeight="1" x14ac:dyDescent="0.2">
      <c r="H61" s="313"/>
      <c r="I61" s="311"/>
      <c r="J61" s="311"/>
      <c r="K61" s="311"/>
      <c r="L61" s="311"/>
      <c r="M61" s="311"/>
      <c r="N61" s="311"/>
      <c r="O61" s="431"/>
      <c r="P61" s="149"/>
    </row>
    <row r="62" spans="1:16" ht="11.25" customHeight="1" x14ac:dyDescent="0.2">
      <c r="A62" s="206"/>
      <c r="B62" s="147" t="s">
        <v>265</v>
      </c>
      <c r="C62" s="146"/>
      <c r="D62" s="146"/>
      <c r="E62" s="146"/>
      <c r="F62" s="146"/>
      <c r="G62" s="146"/>
      <c r="H62" s="350"/>
      <c r="I62" s="345"/>
      <c r="J62" s="345"/>
      <c r="K62" s="275">
        <f>K60*(1+O5)</f>
        <v>47560.210348640256</v>
      </c>
      <c r="L62" s="275"/>
      <c r="M62" s="275">
        <f>M60*(1+O7)</f>
        <v>133977.93528125517</v>
      </c>
      <c r="N62" s="316">
        <f>K62+M62</f>
        <v>181538.14562989541</v>
      </c>
      <c r="O62" s="237">
        <f>N62/RESUMO!H95</f>
        <v>2.5069189862160748E-2</v>
      </c>
      <c r="P62" s="149"/>
    </row>
    <row r="64" spans="1:16" ht="12" customHeight="1" x14ac:dyDescent="0.2">
      <c r="M64" s="311"/>
    </row>
    <row r="66" spans="1:15" s="150" customFormat="1" ht="12" customHeight="1" x14ac:dyDescent="0.2">
      <c r="A66" s="156"/>
      <c r="B66" s="51"/>
      <c r="C66" s="51"/>
      <c r="D66" s="51"/>
      <c r="E66" s="51"/>
      <c r="F66" s="51"/>
      <c r="G66" s="51"/>
      <c r="H66" s="52"/>
      <c r="I66" s="51"/>
      <c r="J66" s="51"/>
      <c r="K66" s="51"/>
      <c r="L66" s="51"/>
      <c r="M66" s="51"/>
      <c r="N66" s="303"/>
      <c r="O66" s="52"/>
    </row>
    <row r="67" spans="1:15" s="150" customFormat="1" ht="12" customHeight="1" x14ac:dyDescent="0.2">
      <c r="A67" s="156"/>
      <c r="B67" s="51"/>
      <c r="C67" s="51"/>
      <c r="D67" s="51"/>
      <c r="E67" s="51"/>
      <c r="F67" s="51"/>
      <c r="G67" s="51"/>
      <c r="H67" s="52"/>
      <c r="I67" s="51"/>
      <c r="J67" s="51"/>
      <c r="K67" s="51"/>
      <c r="L67" s="51"/>
      <c r="M67" s="51"/>
      <c r="N67" s="303"/>
      <c r="O67" s="52"/>
    </row>
  </sheetData>
  <mergeCells count="8">
    <mergeCell ref="B51:E51"/>
    <mergeCell ref="B52:E52"/>
    <mergeCell ref="A2:O2"/>
    <mergeCell ref="N4:O4"/>
    <mergeCell ref="A5:B6"/>
    <mergeCell ref="B14:F14"/>
    <mergeCell ref="B31:E31"/>
    <mergeCell ref="B32:E32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legacyDrawingHF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Planilha6">
    <tabColor theme="6" tint="0.39997558519241921"/>
    <pageSetUpPr fitToPage="1"/>
  </sheetPr>
  <dimension ref="A1:P121"/>
  <sheetViews>
    <sheetView view="pageBreakPreview" zoomScale="90" zoomScaleNormal="90" zoomScaleSheetLayoutView="90" workbookViewId="0">
      <selection activeCell="P116" sqref="P116"/>
    </sheetView>
  </sheetViews>
  <sheetFormatPr defaultColWidth="11.42578125" defaultRowHeight="12" customHeight="1" x14ac:dyDescent="0.2"/>
  <cols>
    <col min="1" max="1" width="11.42578125" style="156"/>
    <col min="2" max="2" width="11.42578125" style="51" customWidth="1"/>
    <col min="3" max="5" width="11.42578125" style="51"/>
    <col min="6" max="6" width="28.5703125" style="51" customWidth="1"/>
    <col min="7" max="7" width="11.42578125" style="51"/>
    <col min="8" max="8" width="11.42578125" style="52" customWidth="1"/>
    <col min="9" max="9" width="11.42578125" style="51" customWidth="1"/>
    <col min="10" max="10" width="8.42578125" style="51" hidden="1" customWidth="1"/>
    <col min="11" max="11" width="14.28515625" style="51" customWidth="1"/>
    <col min="12" max="12" width="8.42578125" style="51" hidden="1" customWidth="1"/>
    <col min="13" max="13" width="14.28515625" style="51" customWidth="1"/>
    <col min="14" max="14" width="17.140625" style="303" customWidth="1"/>
    <col min="15" max="15" width="11.42578125" style="52" customWidth="1"/>
    <col min="16" max="16384" width="11.42578125" style="51"/>
  </cols>
  <sheetData>
    <row r="1" spans="1:15" ht="7.5" customHeight="1" x14ac:dyDescent="0.2"/>
    <row r="2" spans="1:15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5" ht="7.5" customHeight="1" thickBot="1" x14ac:dyDescent="0.25">
      <c r="A3" s="194"/>
      <c r="B3" s="123"/>
      <c r="C3" s="123"/>
      <c r="D3" s="123"/>
      <c r="E3" s="123"/>
      <c r="F3" s="123"/>
      <c r="G3" s="123"/>
      <c r="H3" s="195"/>
      <c r="I3" s="123"/>
      <c r="J3" s="123"/>
      <c r="K3" s="123"/>
      <c r="L3" s="123"/>
      <c r="M3" s="123"/>
      <c r="N3" s="304"/>
      <c r="O3" s="195"/>
    </row>
    <row r="4" spans="1:15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H4" s="51"/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5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H5" s="51"/>
      <c r="J5" s="258"/>
      <c r="K5" s="258"/>
      <c r="L5" s="258"/>
      <c r="M5" s="258"/>
      <c r="N5" s="305" t="str">
        <f>RESUMO!H5</f>
        <v>Serviços</v>
      </c>
      <c r="O5" s="234">
        <f>RESUMO!I5</f>
        <v>0.27579999999999999</v>
      </c>
    </row>
    <row r="6" spans="1:15" ht="12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H6" s="51"/>
      <c r="J6" s="258"/>
      <c r="K6" s="258"/>
      <c r="L6" s="258"/>
      <c r="M6" s="258"/>
      <c r="N6" s="305" t="str">
        <f>RESUMO!H6</f>
        <v>Serv Terc:</v>
      </c>
      <c r="O6" s="234">
        <f>RESUMO!I6</f>
        <v>0.1772</v>
      </c>
    </row>
    <row r="7" spans="1:15" ht="12" customHeight="1" x14ac:dyDescent="0.2">
      <c r="A7" s="196"/>
      <c r="B7" s="253"/>
      <c r="C7" s="260" t="s">
        <v>6</v>
      </c>
      <c r="D7" s="263" t="str">
        <f>RESUMO!A47</f>
        <v>U.C. : 13</v>
      </c>
      <c r="E7" s="258"/>
      <c r="F7" s="258"/>
      <c r="G7" s="260" t="s">
        <v>9</v>
      </c>
      <c r="H7" s="51"/>
      <c r="J7" s="277"/>
      <c r="K7" s="277"/>
      <c r="L7" s="277"/>
      <c r="M7" s="277" t="str">
        <f>RESUMO!G7</f>
        <v>Jun18 MOS4aEd v00</v>
      </c>
      <c r="N7" s="305" t="str">
        <f>RESUMO!H7</f>
        <v>Mat/Equip:</v>
      </c>
      <c r="O7" s="234">
        <f>RESUMO!I7</f>
        <v>0.1772</v>
      </c>
    </row>
    <row r="8" spans="1:15" ht="12" customHeight="1" thickBot="1" x14ac:dyDescent="0.25">
      <c r="A8" s="197"/>
      <c r="B8" s="125"/>
      <c r="C8" s="266" t="s">
        <v>8</v>
      </c>
      <c r="D8" s="267" t="str">
        <f>RESUMO!B47</f>
        <v>ESTAÇÃO DE TRATAMENTO DE ESGOTO - ETE</v>
      </c>
      <c r="E8" s="268"/>
      <c r="F8" s="268"/>
      <c r="G8" s="266"/>
      <c r="H8" s="123"/>
      <c r="I8" s="278"/>
      <c r="J8" s="278"/>
      <c r="K8" s="278"/>
      <c r="L8" s="278"/>
      <c r="M8" s="278"/>
      <c r="N8" s="306"/>
      <c r="O8" s="427"/>
    </row>
    <row r="9" spans="1:15" ht="12" customHeight="1" thickTop="1" x14ac:dyDescent="0.2">
      <c r="A9" s="198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307" t="s">
        <v>14</v>
      </c>
      <c r="O9" s="128" t="s">
        <v>15</v>
      </c>
    </row>
    <row r="10" spans="1:15" ht="7.5" customHeight="1" x14ac:dyDescent="0.2">
      <c r="O10" s="19"/>
    </row>
    <row r="11" spans="1:15" ht="11.25" customHeight="1" x14ac:dyDescent="0.2">
      <c r="A11" s="93">
        <f>RESUMO!A49</f>
        <v>2</v>
      </c>
      <c r="B11" s="93" t="str">
        <f>RESUMO!B49</f>
        <v>URBANIZAÇÃO - SERVIÇOS</v>
      </c>
      <c r="H11" s="19"/>
      <c r="O11" s="19"/>
    </row>
    <row r="12" spans="1:15" ht="11.25" customHeight="1" x14ac:dyDescent="0.2">
      <c r="A12" s="129" t="s">
        <v>48</v>
      </c>
      <c r="B12" s="88" t="s">
        <v>16</v>
      </c>
      <c r="H12" s="704"/>
      <c r="O12" s="19"/>
    </row>
    <row r="13" spans="1:15" ht="11.25" customHeight="1" x14ac:dyDescent="0.2">
      <c r="A13" s="129" t="s">
        <v>79</v>
      </c>
      <c r="B13" s="88" t="s">
        <v>80</v>
      </c>
      <c r="H13" s="501"/>
      <c r="O13" s="187"/>
    </row>
    <row r="14" spans="1:15" ht="11.25" customHeight="1" x14ac:dyDescent="0.2">
      <c r="A14" s="140" t="s">
        <v>286</v>
      </c>
      <c r="B14" s="834" t="s">
        <v>636</v>
      </c>
      <c r="C14" s="834"/>
      <c r="D14" s="834"/>
      <c r="E14" s="834"/>
      <c r="F14" s="834"/>
      <c r="G14" s="97" t="s">
        <v>31</v>
      </c>
      <c r="H14" s="495">
        <f>(H27*407.15)/41187.97</f>
        <v>346.312327106677</v>
      </c>
      <c r="I14" s="323">
        <f>VLOOKUP(A14,'[1]TAB OGU JUN18'!$A:$G,6,"falso")</f>
        <v>16.329999999999998</v>
      </c>
      <c r="J14" s="323">
        <f>VLOOKUP(A14,'[1]TAB OGU JUN18'!$A:$G,4,"falso")</f>
        <v>9.6300000000000008</v>
      </c>
      <c r="K14" s="308">
        <f>H14*J14</f>
        <v>3334.9877100372996</v>
      </c>
      <c r="L14" s="323">
        <f>VLOOKUP(A14,'[1]TAB OGU JUN18'!$A:$G,5,"falso")</f>
        <v>6.7</v>
      </c>
      <c r="M14" s="308">
        <f>H14*L14</f>
        <v>2320.292591614736</v>
      </c>
      <c r="N14" s="308">
        <f>H14*I14</f>
        <v>5655.2803016520347</v>
      </c>
      <c r="O14" s="185">
        <f>(N14*1)/$N$16</f>
        <v>1</v>
      </c>
    </row>
    <row r="15" spans="1:15" ht="11.25" customHeight="1" x14ac:dyDescent="0.2">
      <c r="G15" s="52"/>
      <c r="H15" s="506"/>
      <c r="I15" s="323"/>
      <c r="J15" s="323"/>
      <c r="K15" s="313"/>
      <c r="L15" s="323"/>
      <c r="M15" s="313"/>
      <c r="N15" s="309"/>
      <c r="O15" s="185"/>
    </row>
    <row r="16" spans="1:15" ht="11.25" customHeight="1" x14ac:dyDescent="0.2">
      <c r="B16" s="130" t="s">
        <v>18</v>
      </c>
      <c r="C16" s="131"/>
      <c r="D16" s="131"/>
      <c r="E16" s="131"/>
      <c r="F16" s="131"/>
      <c r="G16" s="53"/>
      <c r="H16" s="507"/>
      <c r="I16" s="582"/>
      <c r="J16" s="582"/>
      <c r="K16" s="326"/>
      <c r="L16" s="582"/>
      <c r="M16" s="326"/>
      <c r="N16" s="308">
        <f>SUM(N14:N14)</f>
        <v>5655.2803016520347</v>
      </c>
      <c r="O16" s="185">
        <f>N16/N23</f>
        <v>0.97202380952380951</v>
      </c>
    </row>
    <row r="17" spans="1:15" ht="11.25" customHeight="1" x14ac:dyDescent="0.2">
      <c r="B17" s="130"/>
      <c r="G17" s="52"/>
      <c r="H17" s="506"/>
      <c r="I17" s="323"/>
      <c r="J17" s="323"/>
      <c r="K17" s="313"/>
      <c r="L17" s="323"/>
      <c r="M17" s="313"/>
      <c r="N17" s="308"/>
      <c r="O17" s="185"/>
    </row>
    <row r="18" spans="1:15" ht="11.25" customHeight="1" x14ac:dyDescent="0.2">
      <c r="A18" s="129" t="s">
        <v>779</v>
      </c>
      <c r="B18" s="88" t="s">
        <v>780</v>
      </c>
      <c r="H18" s="501"/>
      <c r="I18" s="323"/>
      <c r="J18" s="323"/>
      <c r="L18" s="323"/>
      <c r="O18" s="187"/>
    </row>
    <row r="19" spans="1:15" ht="11.25" customHeight="1" x14ac:dyDescent="0.2">
      <c r="A19" s="140" t="s">
        <v>789</v>
      </c>
      <c r="B19" s="142" t="s">
        <v>636</v>
      </c>
      <c r="C19" s="153"/>
      <c r="D19" s="153"/>
      <c r="E19" s="153"/>
      <c r="F19" s="153"/>
      <c r="G19" s="97" t="s">
        <v>31</v>
      </c>
      <c r="H19" s="495">
        <f>H14</f>
        <v>346.312327106677</v>
      </c>
      <c r="I19" s="323">
        <f>VLOOKUP(A19,'[1]TAB OGU JUN18'!$A:$G,6,"falso")</f>
        <v>0.47</v>
      </c>
      <c r="J19" s="323">
        <f>VLOOKUP(A19,'[1]TAB OGU JUN18'!$A:$G,4,"falso")</f>
        <v>0.47</v>
      </c>
      <c r="K19" s="308">
        <f>H19*J19</f>
        <v>162.76679374013818</v>
      </c>
      <c r="L19" s="323">
        <f>VLOOKUP(A19,'[1]TAB OGU JUN18'!$A:$G,5,"falso")</f>
        <v>0</v>
      </c>
      <c r="M19" s="308"/>
      <c r="N19" s="308">
        <f>H19*I19</f>
        <v>162.76679374013818</v>
      </c>
      <c r="O19" s="185">
        <f>N19/N21</f>
        <v>1</v>
      </c>
    </row>
    <row r="20" spans="1:15" ht="11.25" customHeight="1" x14ac:dyDescent="0.2">
      <c r="G20" s="52"/>
      <c r="H20" s="506"/>
      <c r="I20" s="323"/>
      <c r="J20" s="323"/>
      <c r="K20" s="313"/>
      <c r="L20" s="323"/>
      <c r="M20" s="313"/>
      <c r="N20" s="309"/>
      <c r="O20" s="185"/>
    </row>
    <row r="21" spans="1:15" ht="11.25" customHeight="1" x14ac:dyDescent="0.2">
      <c r="B21" s="130" t="s">
        <v>18</v>
      </c>
      <c r="C21" s="131"/>
      <c r="D21" s="131"/>
      <c r="E21" s="131"/>
      <c r="F21" s="131"/>
      <c r="G21" s="53"/>
      <c r="H21" s="507"/>
      <c r="I21" s="582"/>
      <c r="J21" s="582"/>
      <c r="K21" s="326"/>
      <c r="L21" s="582"/>
      <c r="M21" s="326"/>
      <c r="N21" s="308">
        <f>SUM(N19:N19)</f>
        <v>162.76679374013818</v>
      </c>
      <c r="O21" s="185">
        <f>N21/N23</f>
        <v>2.7976190476190477E-2</v>
      </c>
    </row>
    <row r="22" spans="1:15" ht="11.25" customHeight="1" x14ac:dyDescent="0.2">
      <c r="B22" s="130"/>
      <c r="G22" s="52"/>
      <c r="H22" s="506"/>
      <c r="I22" s="323"/>
      <c r="J22" s="323"/>
      <c r="K22" s="313"/>
      <c r="L22" s="323"/>
      <c r="M22" s="313"/>
      <c r="N22" s="308"/>
      <c r="O22" s="185"/>
    </row>
    <row r="23" spans="1:15" s="132" customFormat="1" ht="11.25" customHeight="1" x14ac:dyDescent="0.2">
      <c r="A23" s="157"/>
      <c r="B23" s="133" t="s">
        <v>20</v>
      </c>
      <c r="C23" s="134"/>
      <c r="D23" s="134"/>
      <c r="E23" s="134"/>
      <c r="F23" s="134"/>
      <c r="G23" s="78"/>
      <c r="H23" s="515"/>
      <c r="I23" s="582"/>
      <c r="J23" s="582"/>
      <c r="K23" s="328"/>
      <c r="L23" s="582"/>
      <c r="M23" s="328"/>
      <c r="N23" s="310">
        <f>N16+N21</f>
        <v>5818.0470953921731</v>
      </c>
      <c r="O23" s="186">
        <f>N23/N114</f>
        <v>1.0499483813125194E-2</v>
      </c>
    </row>
    <row r="24" spans="1:15" ht="11.25" customHeight="1" x14ac:dyDescent="0.2">
      <c r="B24" s="130"/>
      <c r="G24" s="52"/>
      <c r="H24" s="506"/>
      <c r="I24" s="323"/>
      <c r="J24" s="323"/>
      <c r="K24" s="313"/>
      <c r="L24" s="323"/>
      <c r="M24" s="313"/>
      <c r="N24" s="308"/>
      <c r="O24" s="185"/>
    </row>
    <row r="25" spans="1:15" ht="11.25" customHeight="1" x14ac:dyDescent="0.2">
      <c r="A25" s="129" t="s">
        <v>49</v>
      </c>
      <c r="B25" s="88" t="s">
        <v>86</v>
      </c>
      <c r="H25" s="506"/>
      <c r="I25" s="323"/>
      <c r="J25" s="323"/>
      <c r="K25" s="329"/>
      <c r="L25" s="323"/>
      <c r="M25" s="311"/>
      <c r="N25" s="311"/>
    </row>
    <row r="26" spans="1:15" ht="11.25" customHeight="1" x14ac:dyDescent="0.2">
      <c r="A26" s="140" t="s">
        <v>289</v>
      </c>
      <c r="B26" s="834" t="s">
        <v>667</v>
      </c>
      <c r="C26" s="834"/>
      <c r="D26" s="834"/>
      <c r="E26" s="834"/>
      <c r="F26" s="137"/>
      <c r="G26" s="137"/>
      <c r="H26" s="707"/>
      <c r="I26" s="323"/>
      <c r="J26" s="323"/>
      <c r="K26" s="329"/>
      <c r="L26" s="323"/>
      <c r="M26" s="311"/>
      <c r="N26" s="311"/>
    </row>
    <row r="27" spans="1:15" ht="11.25" customHeight="1" x14ac:dyDescent="0.2">
      <c r="A27" s="140" t="s">
        <v>290</v>
      </c>
      <c r="B27" s="834" t="s">
        <v>668</v>
      </c>
      <c r="C27" s="834"/>
      <c r="D27" s="834"/>
      <c r="E27" s="834"/>
      <c r="F27" s="137"/>
      <c r="G27" s="139" t="s">
        <v>31</v>
      </c>
      <c r="H27" s="517">
        <v>35033.53</v>
      </c>
      <c r="I27" s="323">
        <f>VLOOKUP(A27,'[1]TAB OGU JUN18'!$A:$G,6,"falso")</f>
        <v>0.51</v>
      </c>
      <c r="J27" s="323">
        <f>VLOOKUP(A27,'[1]TAB OGU JUN18'!$A:$G,4,"falso")</f>
        <v>0.51</v>
      </c>
      <c r="K27" s="308">
        <f>H27*J27</f>
        <v>17867.100299999998</v>
      </c>
      <c r="L27" s="323">
        <f>VLOOKUP(A27,'[1]TAB OGU JUN18'!$A:$G,5,"falso")</f>
        <v>0</v>
      </c>
      <c r="M27" s="308"/>
      <c r="N27" s="286">
        <f>I27*H27</f>
        <v>17867.100299999998</v>
      </c>
      <c r="O27" s="25">
        <f>N27/$N$29</f>
        <v>1</v>
      </c>
    </row>
    <row r="28" spans="1:15" ht="11.25" customHeight="1" x14ac:dyDescent="0.2">
      <c r="A28" s="140"/>
      <c r="B28" s="138"/>
      <c r="C28" s="138"/>
      <c r="D28" s="138"/>
      <c r="E28" s="138"/>
      <c r="F28" s="137"/>
      <c r="G28" s="139"/>
      <c r="H28" s="517"/>
      <c r="I28" s="323"/>
      <c r="J28" s="323"/>
      <c r="K28" s="311"/>
      <c r="L28" s="323"/>
      <c r="M28" s="346"/>
      <c r="N28" s="286"/>
      <c r="O28" s="25"/>
    </row>
    <row r="29" spans="1:15" ht="11.25" customHeight="1" x14ac:dyDescent="0.2">
      <c r="A29" s="202"/>
      <c r="B29" s="142" t="s">
        <v>18</v>
      </c>
      <c r="C29" s="143"/>
      <c r="D29" s="143"/>
      <c r="E29" s="143"/>
      <c r="F29" s="188"/>
      <c r="G29" s="173"/>
      <c r="H29" s="708"/>
      <c r="I29" s="582"/>
      <c r="J29" s="582"/>
      <c r="K29" s="347"/>
      <c r="L29" s="582"/>
      <c r="M29" s="347"/>
      <c r="N29" s="286">
        <f>SUM(N27:N28)</f>
        <v>17867.100299999998</v>
      </c>
      <c r="O29" s="428">
        <f>N29/N31</f>
        <v>1</v>
      </c>
    </row>
    <row r="30" spans="1:15" ht="11.25" customHeight="1" x14ac:dyDescent="0.2">
      <c r="A30" s="202"/>
      <c r="B30" s="138"/>
      <c r="C30" s="138"/>
      <c r="D30" s="138"/>
      <c r="E30" s="138"/>
      <c r="F30" s="137"/>
      <c r="G30" s="162"/>
      <c r="H30" s="707"/>
      <c r="I30" s="323"/>
      <c r="J30" s="323"/>
      <c r="K30" s="346"/>
      <c r="L30" s="323"/>
      <c r="M30" s="346"/>
      <c r="N30" s="286"/>
      <c r="O30" s="428"/>
    </row>
    <row r="31" spans="1:15" s="132" customFormat="1" ht="11.25" customHeight="1" x14ac:dyDescent="0.2">
      <c r="A31" s="203"/>
      <c r="B31" s="175" t="s">
        <v>20</v>
      </c>
      <c r="C31" s="176"/>
      <c r="D31" s="176"/>
      <c r="E31" s="176"/>
      <c r="F31" s="191"/>
      <c r="G31" s="178"/>
      <c r="H31" s="709"/>
      <c r="I31" s="582"/>
      <c r="J31" s="582"/>
      <c r="K31" s="348"/>
      <c r="L31" s="582"/>
      <c r="M31" s="348"/>
      <c r="N31" s="312">
        <f>N29</f>
        <v>17867.100299999998</v>
      </c>
      <c r="O31" s="429">
        <f>N31/$N$114</f>
        <v>3.2243694028518205E-2</v>
      </c>
    </row>
    <row r="32" spans="1:15" ht="11.25" hidden="1" customHeight="1" x14ac:dyDescent="0.2">
      <c r="A32" s="202"/>
      <c r="B32" s="138"/>
      <c r="C32" s="138"/>
      <c r="D32" s="138"/>
      <c r="E32" s="138"/>
      <c r="F32" s="137"/>
      <c r="G32" s="162"/>
      <c r="H32" s="707"/>
      <c r="I32" s="323"/>
      <c r="J32" s="323"/>
      <c r="K32" s="311"/>
      <c r="L32" s="323"/>
      <c r="M32" s="346"/>
      <c r="N32" s="286"/>
      <c r="O32" s="25"/>
    </row>
    <row r="33" spans="1:15" ht="11.25" hidden="1" customHeight="1" x14ac:dyDescent="0.2">
      <c r="A33" s="129" t="s">
        <v>93</v>
      </c>
      <c r="B33" s="88" t="s">
        <v>96</v>
      </c>
      <c r="H33" s="506"/>
      <c r="I33" s="323"/>
      <c r="J33" s="323"/>
      <c r="K33" s="311"/>
      <c r="L33" s="323"/>
      <c r="M33" s="311"/>
      <c r="N33" s="311"/>
      <c r="O33" s="236"/>
    </row>
    <row r="34" spans="1:15" ht="11.25" hidden="1" customHeight="1" x14ac:dyDescent="0.2">
      <c r="A34" s="252" t="s">
        <v>540</v>
      </c>
      <c r="B34" s="835" t="s">
        <v>644</v>
      </c>
      <c r="C34" s="835"/>
      <c r="D34" s="835"/>
      <c r="E34" s="835"/>
      <c r="F34" s="835"/>
      <c r="H34" s="518"/>
      <c r="I34" s="323"/>
      <c r="J34" s="323"/>
      <c r="K34" s="311"/>
      <c r="L34" s="323"/>
      <c r="M34" s="311"/>
      <c r="N34" s="313"/>
      <c r="O34" s="187"/>
    </row>
    <row r="35" spans="1:15" ht="11.25" hidden="1" customHeight="1" x14ac:dyDescent="0.2">
      <c r="A35" s="129" t="s">
        <v>293</v>
      </c>
      <c r="B35" s="88" t="s">
        <v>541</v>
      </c>
      <c r="G35" s="97" t="s">
        <v>32</v>
      </c>
      <c r="H35" s="495"/>
      <c r="I35" s="323"/>
      <c r="J35" s="323"/>
      <c r="K35" s="308">
        <f>H35*J35</f>
        <v>0</v>
      </c>
      <c r="L35" s="323"/>
      <c r="M35" s="308"/>
      <c r="N35" s="308">
        <f>H35*I35</f>
        <v>0</v>
      </c>
      <c r="O35" s="185" t="e">
        <f>N35/N37</f>
        <v>#DIV/0!</v>
      </c>
    </row>
    <row r="36" spans="1:15" ht="11.25" hidden="1" customHeight="1" x14ac:dyDescent="0.2">
      <c r="G36" s="52"/>
      <c r="H36" s="506"/>
      <c r="I36" s="323"/>
      <c r="J36" s="323"/>
      <c r="K36" s="313"/>
      <c r="L36" s="323"/>
      <c r="M36" s="313"/>
      <c r="N36" s="309"/>
      <c r="O36" s="185"/>
    </row>
    <row r="37" spans="1:15" ht="11.25" hidden="1" customHeight="1" x14ac:dyDescent="0.2">
      <c r="B37" s="130" t="s">
        <v>18</v>
      </c>
      <c r="C37" s="131"/>
      <c r="D37" s="131"/>
      <c r="E37" s="131"/>
      <c r="F37" s="131"/>
      <c r="G37" s="53"/>
      <c r="H37" s="507"/>
      <c r="I37" s="323"/>
      <c r="J37" s="323"/>
      <c r="K37" s="325"/>
      <c r="L37" s="323"/>
      <c r="M37" s="326"/>
      <c r="N37" s="308">
        <f>SUM(N35:N35)</f>
        <v>0</v>
      </c>
      <c r="O37" s="25">
        <f>N37/$N$70</f>
        <v>0</v>
      </c>
    </row>
    <row r="38" spans="1:15" ht="11.25" customHeight="1" x14ac:dyDescent="0.2">
      <c r="B38" s="130"/>
      <c r="G38" s="52"/>
      <c r="H38" s="506"/>
      <c r="I38" s="323"/>
      <c r="J38" s="323"/>
      <c r="K38" s="311"/>
      <c r="L38" s="323"/>
      <c r="M38" s="311"/>
      <c r="N38" s="308"/>
      <c r="O38" s="185"/>
    </row>
    <row r="39" spans="1:15" ht="11.25" customHeight="1" x14ac:dyDescent="0.2">
      <c r="A39" s="252" t="s">
        <v>543</v>
      </c>
      <c r="B39" s="835" t="s">
        <v>645</v>
      </c>
      <c r="C39" s="835"/>
      <c r="D39" s="835"/>
      <c r="E39" s="835"/>
      <c r="F39" s="835"/>
      <c r="G39" s="52"/>
      <c r="H39" s="506"/>
      <c r="I39" s="323"/>
      <c r="J39" s="323"/>
      <c r="K39" s="313"/>
      <c r="L39" s="323"/>
      <c r="M39" s="313"/>
      <c r="N39" s="313"/>
      <c r="O39" s="236"/>
    </row>
    <row r="40" spans="1:15" ht="11.25" customHeight="1" x14ac:dyDescent="0.2">
      <c r="A40" s="98" t="s">
        <v>295</v>
      </c>
      <c r="B40" s="88" t="s">
        <v>229</v>
      </c>
      <c r="G40" s="97" t="s">
        <v>32</v>
      </c>
      <c r="H40" s="495">
        <f>H45*0.6*1.5*0.5</f>
        <v>838.81349999999998</v>
      </c>
      <c r="I40" s="323">
        <f>VLOOKUP(A40,'[1]TAB OGU JUN18'!$A:$G,6,"falso")</f>
        <v>7.1</v>
      </c>
      <c r="J40" s="323">
        <f>VLOOKUP(A40,'[1]TAB OGU JUN18'!$A:$G,4,"falso")</f>
        <v>7.1</v>
      </c>
      <c r="K40" s="308">
        <f>H40*J40</f>
        <v>5955.5758499999993</v>
      </c>
      <c r="L40" s="323">
        <f>VLOOKUP(A40,'[1]TAB OGU JUN18'!$A:$G,5,"falso")</f>
        <v>0</v>
      </c>
      <c r="M40" s="308"/>
      <c r="N40" s="286">
        <f>I40*H40</f>
        <v>5955.5758499999993</v>
      </c>
      <c r="O40" s="25">
        <f>N40/N42</f>
        <v>1</v>
      </c>
    </row>
    <row r="41" spans="1:15" ht="11.25" customHeight="1" x14ac:dyDescent="0.2">
      <c r="G41" s="52"/>
      <c r="H41" s="506"/>
      <c r="I41" s="323"/>
      <c r="J41" s="323"/>
      <c r="K41" s="313"/>
      <c r="L41" s="323"/>
      <c r="M41" s="313"/>
      <c r="N41" s="313"/>
      <c r="O41" s="236"/>
    </row>
    <row r="42" spans="1:15" ht="11.25" customHeight="1" x14ac:dyDescent="0.2">
      <c r="B42" s="130" t="s">
        <v>18</v>
      </c>
      <c r="C42" s="131"/>
      <c r="D42" s="131"/>
      <c r="E42" s="131"/>
      <c r="F42" s="131"/>
      <c r="G42" s="53"/>
      <c r="H42" s="507"/>
      <c r="I42" s="582"/>
      <c r="J42" s="582"/>
      <c r="K42" s="326"/>
      <c r="L42" s="582"/>
      <c r="M42" s="326"/>
      <c r="N42" s="308">
        <f>N40</f>
        <v>5955.5758499999993</v>
      </c>
      <c r="O42" s="25">
        <f>N42/$N$70</f>
        <v>0.20697697016810801</v>
      </c>
    </row>
    <row r="43" spans="1:15" ht="11.25" customHeight="1" x14ac:dyDescent="0.2">
      <c r="B43" s="130"/>
      <c r="G43" s="52"/>
      <c r="H43" s="506"/>
      <c r="I43" s="323"/>
      <c r="J43" s="323"/>
      <c r="K43" s="313"/>
      <c r="L43" s="323"/>
      <c r="M43" s="313"/>
      <c r="N43" s="308"/>
      <c r="O43" s="25"/>
    </row>
    <row r="44" spans="1:15" ht="11.25" customHeight="1" x14ac:dyDescent="0.2">
      <c r="A44" s="140" t="s">
        <v>297</v>
      </c>
      <c r="B44" s="142" t="s">
        <v>298</v>
      </c>
      <c r="C44" s="142"/>
      <c r="D44" s="142"/>
      <c r="E44" s="142"/>
      <c r="F44" s="142"/>
      <c r="G44" s="97"/>
      <c r="H44" s="495"/>
      <c r="I44" s="323"/>
      <c r="J44" s="323"/>
      <c r="K44" s="308"/>
      <c r="L44" s="323"/>
      <c r="M44" s="308"/>
      <c r="N44" s="308"/>
      <c r="O44" s="185"/>
    </row>
    <row r="45" spans="1:15" ht="11.25" customHeight="1" x14ac:dyDescent="0.2">
      <c r="A45" s="140" t="s">
        <v>299</v>
      </c>
      <c r="B45" s="142" t="s">
        <v>300</v>
      </c>
      <c r="C45" s="142"/>
      <c r="D45" s="142"/>
      <c r="E45" s="142"/>
      <c r="F45" s="142"/>
      <c r="G45" s="97" t="s">
        <v>32</v>
      </c>
      <c r="H45" s="495">
        <f>1632.62+231.41</f>
        <v>1864.03</v>
      </c>
      <c r="I45" s="323">
        <f>VLOOKUP(A45,'[1]TAB OGU JUN18'!$A:$G,6,"falso")</f>
        <v>9.8699999999999992</v>
      </c>
      <c r="J45" s="323">
        <f>VLOOKUP(A45,'[1]TAB OGU JUN18'!$A:$G,4,"falso")</f>
        <v>9.8699999999999992</v>
      </c>
      <c r="K45" s="308">
        <f>H45*J45</f>
        <v>18397.9761</v>
      </c>
      <c r="L45" s="323">
        <f>VLOOKUP(A45,'[1]TAB OGU JUN18'!$A:$G,5,"falso")</f>
        <v>0</v>
      </c>
      <c r="M45" s="308"/>
      <c r="N45" s="308">
        <f>H45*I45</f>
        <v>18397.9761</v>
      </c>
      <c r="O45" s="185">
        <f>N45/N47</f>
        <v>1</v>
      </c>
    </row>
    <row r="46" spans="1:15" ht="11.25" customHeight="1" x14ac:dyDescent="0.2">
      <c r="B46" s="130"/>
      <c r="G46" s="52"/>
      <c r="H46" s="506"/>
      <c r="I46" s="323"/>
      <c r="J46" s="323"/>
      <c r="K46" s="313"/>
      <c r="L46" s="323"/>
      <c r="M46" s="313"/>
      <c r="N46" s="308"/>
      <c r="O46" s="185"/>
    </row>
    <row r="47" spans="1:15" ht="11.25" customHeight="1" x14ac:dyDescent="0.2">
      <c r="B47" s="130" t="s">
        <v>18</v>
      </c>
      <c r="C47" s="131"/>
      <c r="D47" s="131"/>
      <c r="E47" s="131"/>
      <c r="F47" s="131"/>
      <c r="G47" s="53"/>
      <c r="H47" s="507"/>
      <c r="I47" s="582"/>
      <c r="J47" s="582"/>
      <c r="K47" s="325"/>
      <c r="L47" s="582"/>
      <c r="M47" s="326"/>
      <c r="N47" s="308">
        <f>N45</f>
        <v>18397.9761</v>
      </c>
      <c r="O47" s="185">
        <f>N47/N70</f>
        <v>0.6393936449324652</v>
      </c>
    </row>
    <row r="48" spans="1:15" ht="12.75" x14ac:dyDescent="0.2">
      <c r="B48" s="130"/>
      <c r="G48" s="52"/>
      <c r="H48" s="506"/>
      <c r="I48" s="323"/>
      <c r="J48" s="323"/>
      <c r="K48" s="313"/>
      <c r="L48" s="323"/>
      <c r="M48" s="313"/>
      <c r="N48" s="308"/>
      <c r="O48" s="185"/>
    </row>
    <row r="49" spans="1:15" ht="12.75" x14ac:dyDescent="0.2">
      <c r="A49" s="98" t="s">
        <v>101</v>
      </c>
      <c r="B49" s="88" t="s">
        <v>21</v>
      </c>
      <c r="G49" s="97"/>
      <c r="H49" s="495"/>
      <c r="I49" s="323"/>
      <c r="J49" s="323"/>
      <c r="K49" s="308"/>
      <c r="L49" s="323"/>
      <c r="M49" s="308"/>
      <c r="N49" s="308"/>
      <c r="O49" s="25"/>
    </row>
    <row r="50" spans="1:15" ht="12.75" hidden="1" customHeight="1" x14ac:dyDescent="0.2">
      <c r="A50" s="98" t="s">
        <v>102</v>
      </c>
      <c r="B50" s="88" t="s">
        <v>104</v>
      </c>
      <c r="G50" s="97" t="s">
        <v>32</v>
      </c>
      <c r="H50" s="495"/>
      <c r="I50" s="323">
        <f>VLOOKUP(A50,'[1]TAB OGU JUN18'!$A:$G,6,"falso")</f>
        <v>7.4</v>
      </c>
      <c r="J50" s="323">
        <f>VLOOKUP(A50,'[1]TAB OGU JUN18'!$A:$G,4,"falso")</f>
        <v>7.4</v>
      </c>
      <c r="K50" s="308">
        <f>H50*J50</f>
        <v>0</v>
      </c>
      <c r="L50" s="323">
        <f>VLOOKUP(A50,'[1]TAB OGU JUN18'!$A:$G,5,"falso")</f>
        <v>0</v>
      </c>
      <c r="M50" s="308"/>
      <c r="N50" s="286">
        <f>I50*H50</f>
        <v>0</v>
      </c>
      <c r="O50" s="25">
        <f>N50/N53</f>
        <v>0</v>
      </c>
    </row>
    <row r="51" spans="1:15" ht="12.75" x14ac:dyDescent="0.2">
      <c r="A51" s="98" t="s">
        <v>103</v>
      </c>
      <c r="B51" s="88" t="s">
        <v>105</v>
      </c>
      <c r="G51" s="97" t="s">
        <v>32</v>
      </c>
      <c r="H51" s="495">
        <f>H45*0.4*1.5*0.5</f>
        <v>559.20900000000006</v>
      </c>
      <c r="I51" s="323">
        <f>VLOOKUP(A51,'[1]TAB OGU JUN18'!$A:$G,6,"falso")</f>
        <v>1.32</v>
      </c>
      <c r="J51" s="323">
        <f>VLOOKUP(A51,'[1]TAB OGU JUN18'!$A:$G,4,"falso")</f>
        <v>1.32</v>
      </c>
      <c r="K51" s="308">
        <f>H51*J51</f>
        <v>738.15588000000014</v>
      </c>
      <c r="L51" s="323">
        <f>VLOOKUP(A51,'[1]TAB OGU JUN18'!$A:$G,5,"falso")</f>
        <v>0</v>
      </c>
      <c r="M51" s="308"/>
      <c r="N51" s="286">
        <f>I51*H51</f>
        <v>738.15588000000014</v>
      </c>
      <c r="O51" s="25">
        <f>N51/N53</f>
        <v>1</v>
      </c>
    </row>
    <row r="52" spans="1:15" ht="12.75" x14ac:dyDescent="0.2">
      <c r="B52" s="130"/>
      <c r="G52" s="52"/>
      <c r="H52" s="506"/>
      <c r="I52" s="323"/>
      <c r="J52" s="323"/>
      <c r="K52" s="313"/>
      <c r="L52" s="323"/>
      <c r="M52" s="313"/>
      <c r="N52" s="308"/>
      <c r="O52" s="25"/>
    </row>
    <row r="53" spans="1:15" ht="12.75" x14ac:dyDescent="0.2">
      <c r="B53" s="130" t="s">
        <v>18</v>
      </c>
      <c r="C53" s="131"/>
      <c r="D53" s="131"/>
      <c r="E53" s="131"/>
      <c r="F53" s="131"/>
      <c r="G53" s="53"/>
      <c r="H53" s="507"/>
      <c r="I53" s="582"/>
      <c r="J53" s="582"/>
      <c r="K53" s="326"/>
      <c r="L53" s="582"/>
      <c r="M53" s="326"/>
      <c r="N53" s="308">
        <f>SUM(N50:N52)</f>
        <v>738.15588000000014</v>
      </c>
      <c r="O53" s="25">
        <f>N53/$N$70</f>
        <v>2.5653483626469735E-2</v>
      </c>
    </row>
    <row r="54" spans="1:15" ht="12.75" x14ac:dyDescent="0.2">
      <c r="B54" s="130"/>
      <c r="G54" s="52"/>
      <c r="H54" s="506"/>
      <c r="I54" s="323"/>
      <c r="J54" s="323"/>
      <c r="K54" s="313"/>
      <c r="L54" s="323"/>
      <c r="M54" s="313"/>
      <c r="N54" s="308"/>
      <c r="O54" s="25"/>
    </row>
    <row r="55" spans="1:15" ht="12.75" customHeight="1" x14ac:dyDescent="0.2">
      <c r="A55" s="140" t="s">
        <v>301</v>
      </c>
      <c r="B55" s="834" t="s">
        <v>669</v>
      </c>
      <c r="C55" s="834"/>
      <c r="D55" s="834"/>
      <c r="E55" s="834"/>
      <c r="F55" s="834"/>
      <c r="G55" s="97"/>
      <c r="H55" s="495"/>
      <c r="I55" s="323"/>
      <c r="J55" s="323"/>
      <c r="K55" s="308"/>
      <c r="L55" s="323"/>
      <c r="M55" s="308"/>
      <c r="N55" s="308"/>
      <c r="O55" s="25"/>
    </row>
    <row r="56" spans="1:15" ht="12.75" customHeight="1" x14ac:dyDescent="0.2">
      <c r="A56" s="140" t="s">
        <v>302</v>
      </c>
      <c r="B56" s="834" t="s">
        <v>303</v>
      </c>
      <c r="C56" s="834"/>
      <c r="D56" s="834"/>
      <c r="E56" s="834"/>
      <c r="F56" s="834"/>
      <c r="G56" s="97" t="s">
        <v>32</v>
      </c>
      <c r="H56" s="495">
        <f>H51</f>
        <v>559.20900000000006</v>
      </c>
      <c r="I56" s="323">
        <f>VLOOKUP(A56,'[1]TAB OGU JUN18'!$A:$G,6,"falso")</f>
        <v>4.16</v>
      </c>
      <c r="J56" s="323">
        <f>VLOOKUP(A56,'[1]TAB OGU JUN18'!$A:$G,4,"falso")</f>
        <v>4.16</v>
      </c>
      <c r="K56" s="308">
        <f>H56*J56</f>
        <v>2326.3094400000004</v>
      </c>
      <c r="L56" s="323">
        <f>VLOOKUP(A56,'[1]TAB OGU JUN18'!$A:$G,5,"falso")</f>
        <v>0</v>
      </c>
      <c r="M56" s="308"/>
      <c r="N56" s="286">
        <f>I56*H56</f>
        <v>2326.3094400000004</v>
      </c>
      <c r="O56" s="25">
        <f>N56/N58</f>
        <v>1</v>
      </c>
    </row>
    <row r="57" spans="1:15" ht="12.75" x14ac:dyDescent="0.2">
      <c r="B57" s="130"/>
      <c r="G57" s="52"/>
      <c r="H57" s="506"/>
      <c r="I57" s="323"/>
      <c r="J57" s="323"/>
      <c r="K57" s="313"/>
      <c r="L57" s="323"/>
      <c r="M57" s="313"/>
      <c r="N57" s="308"/>
      <c r="O57" s="25"/>
    </row>
    <row r="58" spans="1:15" ht="12.75" x14ac:dyDescent="0.2">
      <c r="B58" s="130" t="s">
        <v>18</v>
      </c>
      <c r="C58" s="131"/>
      <c r="D58" s="131"/>
      <c r="E58" s="131"/>
      <c r="F58" s="131"/>
      <c r="G58" s="53"/>
      <c r="H58" s="507"/>
      <c r="I58" s="582"/>
      <c r="J58" s="582"/>
      <c r="K58" s="325"/>
      <c r="L58" s="582"/>
      <c r="M58" s="326"/>
      <c r="N58" s="308">
        <f>N56</f>
        <v>2326.3094400000004</v>
      </c>
      <c r="O58" s="25">
        <f>N58/N70</f>
        <v>8.0847342337965228E-2</v>
      </c>
    </row>
    <row r="59" spans="1:15" ht="12.75" x14ac:dyDescent="0.2">
      <c r="B59" s="130"/>
      <c r="G59" s="52"/>
      <c r="H59" s="506"/>
      <c r="I59" s="323"/>
      <c r="J59" s="323"/>
      <c r="K59" s="313"/>
      <c r="L59" s="323"/>
      <c r="M59" s="313"/>
      <c r="N59" s="308"/>
      <c r="O59" s="25"/>
    </row>
    <row r="60" spans="1:15" ht="11.25" customHeight="1" x14ac:dyDescent="0.2">
      <c r="A60" s="98" t="s">
        <v>110</v>
      </c>
      <c r="B60" s="88" t="s">
        <v>112</v>
      </c>
      <c r="G60" s="52"/>
      <c r="H60" s="506"/>
      <c r="I60" s="323"/>
      <c r="J60" s="323"/>
      <c r="K60" s="313"/>
      <c r="L60" s="323"/>
      <c r="M60" s="313"/>
      <c r="N60" s="313"/>
      <c r="O60" s="187"/>
    </row>
    <row r="61" spans="1:15" ht="11.25" customHeight="1" x14ac:dyDescent="0.2">
      <c r="A61" s="98" t="s">
        <v>111</v>
      </c>
      <c r="B61" s="88" t="s">
        <v>113</v>
      </c>
      <c r="G61" s="97" t="s">
        <v>32</v>
      </c>
      <c r="H61" s="495">
        <f>ABS(H51-H40)</f>
        <v>279.60449999999992</v>
      </c>
      <c r="I61" s="323">
        <f>VLOOKUP(A61,'[1]TAB OGU JUN18'!$A:$G,6,"falso")</f>
        <v>1.85</v>
      </c>
      <c r="J61" s="323">
        <f>VLOOKUP(A61,'[1]TAB OGU JUN18'!$A:$G,4,"falso")</f>
        <v>1.85</v>
      </c>
      <c r="K61" s="308">
        <f>H61*J61</f>
        <v>517.26832499999989</v>
      </c>
      <c r="L61" s="323">
        <f>VLOOKUP(A61,'[1]TAB OGU JUN18'!$A:$G,5,"falso")</f>
        <v>0</v>
      </c>
      <c r="M61" s="308"/>
      <c r="N61" s="308">
        <f>H61*I61</f>
        <v>517.26832499999989</v>
      </c>
      <c r="O61" s="185">
        <f>N61/N63</f>
        <v>1</v>
      </c>
    </row>
    <row r="62" spans="1:15" ht="11.25" customHeight="1" x14ac:dyDescent="0.2">
      <c r="G62" s="52"/>
      <c r="H62" s="506"/>
      <c r="I62" s="323"/>
      <c r="J62" s="323"/>
      <c r="K62" s="313"/>
      <c r="L62" s="323"/>
      <c r="M62" s="313"/>
      <c r="N62" s="313"/>
      <c r="O62" s="187"/>
    </row>
    <row r="63" spans="1:15" ht="11.25" customHeight="1" x14ac:dyDescent="0.2">
      <c r="B63" s="130" t="s">
        <v>18</v>
      </c>
      <c r="C63" s="131"/>
      <c r="D63" s="131"/>
      <c r="E63" s="131"/>
      <c r="F63" s="131"/>
      <c r="G63" s="53"/>
      <c r="H63" s="507"/>
      <c r="I63" s="582"/>
      <c r="J63" s="582"/>
      <c r="K63" s="326"/>
      <c r="L63" s="582"/>
      <c r="M63" s="326"/>
      <c r="N63" s="308">
        <f>N61</f>
        <v>517.26832499999989</v>
      </c>
      <c r="O63" s="185">
        <f>N63/N70</f>
        <v>1.7976872995821586E-2</v>
      </c>
    </row>
    <row r="64" spans="1:15" ht="11.25" customHeight="1" x14ac:dyDescent="0.2">
      <c r="B64" s="130"/>
      <c r="G64" s="52"/>
      <c r="H64" s="506"/>
      <c r="I64" s="323"/>
      <c r="J64" s="323"/>
      <c r="K64" s="313"/>
      <c r="L64" s="323"/>
      <c r="M64" s="313"/>
      <c r="N64" s="308"/>
      <c r="O64" s="185"/>
    </row>
    <row r="65" spans="1:15" ht="11.25" customHeight="1" x14ac:dyDescent="0.2">
      <c r="A65" s="98" t="s">
        <v>114</v>
      </c>
      <c r="B65" s="88" t="s">
        <v>737</v>
      </c>
      <c r="G65" s="52"/>
      <c r="H65" s="506"/>
      <c r="I65" s="323"/>
      <c r="J65" s="323"/>
      <c r="K65" s="313"/>
      <c r="L65" s="323"/>
      <c r="M65" s="313"/>
      <c r="N65" s="313"/>
      <c r="O65" s="187"/>
    </row>
    <row r="66" spans="1:15" ht="11.25" customHeight="1" x14ac:dyDescent="0.2">
      <c r="A66" s="98" t="s">
        <v>115</v>
      </c>
      <c r="B66" s="88" t="s">
        <v>116</v>
      </c>
      <c r="G66" s="97" t="s">
        <v>180</v>
      </c>
      <c r="H66" s="495">
        <f>H61*3</f>
        <v>838.81349999999975</v>
      </c>
      <c r="I66" s="323">
        <f>VLOOKUP(A66,'[1]TAB OGU JUN18'!$A:$G,6,"falso")</f>
        <v>1</v>
      </c>
      <c r="J66" s="323">
        <f>VLOOKUP(A66,'[1]TAB OGU JUN18'!$A:$G,4,"falso")</f>
        <v>1</v>
      </c>
      <c r="K66" s="308">
        <f>H66*J66</f>
        <v>838.81349999999975</v>
      </c>
      <c r="L66" s="323">
        <f>VLOOKUP(A66,'[1]TAB OGU JUN18'!$A:$G,5,"falso")</f>
        <v>0</v>
      </c>
      <c r="M66" s="308"/>
      <c r="N66" s="308">
        <f>H66*I66</f>
        <v>838.81349999999975</v>
      </c>
      <c r="O66" s="185">
        <f>N66/N68</f>
        <v>1</v>
      </c>
    </row>
    <row r="67" spans="1:15" ht="11.25" customHeight="1" x14ac:dyDescent="0.2">
      <c r="G67" s="52"/>
      <c r="H67" s="506"/>
      <c r="I67" s="323"/>
      <c r="J67" s="323"/>
      <c r="K67" s="313"/>
      <c r="L67" s="323"/>
      <c r="M67" s="313"/>
      <c r="N67" s="313"/>
      <c r="O67" s="187"/>
    </row>
    <row r="68" spans="1:15" ht="11.25" customHeight="1" x14ac:dyDescent="0.2">
      <c r="B68" s="130" t="s">
        <v>18</v>
      </c>
      <c r="C68" s="131"/>
      <c r="D68" s="131"/>
      <c r="E68" s="131"/>
      <c r="F68" s="131"/>
      <c r="G68" s="53"/>
      <c r="H68" s="507"/>
      <c r="I68" s="582"/>
      <c r="J68" s="582"/>
      <c r="K68" s="326"/>
      <c r="L68" s="582"/>
      <c r="M68" s="326"/>
      <c r="N68" s="308">
        <f>N66</f>
        <v>838.81349999999975</v>
      </c>
      <c r="O68" s="185">
        <f>N68/N70</f>
        <v>2.9151685939170138E-2</v>
      </c>
    </row>
    <row r="69" spans="1:15" ht="11.25" customHeight="1" x14ac:dyDescent="0.2">
      <c r="B69" s="130"/>
      <c r="G69" s="52"/>
      <c r="H69" s="506"/>
      <c r="I69" s="323"/>
      <c r="J69" s="323"/>
      <c r="K69" s="313"/>
      <c r="L69" s="323"/>
      <c r="M69" s="313"/>
      <c r="N69" s="308"/>
      <c r="O69" s="185"/>
    </row>
    <row r="70" spans="1:15" s="132" customFormat="1" ht="11.25" customHeight="1" x14ac:dyDescent="0.2">
      <c r="A70" s="157"/>
      <c r="B70" s="133" t="s">
        <v>20</v>
      </c>
      <c r="C70" s="134"/>
      <c r="D70" s="134"/>
      <c r="E70" s="134"/>
      <c r="F70" s="134"/>
      <c r="G70" s="78"/>
      <c r="H70" s="515"/>
      <c r="I70" s="582"/>
      <c r="J70" s="582"/>
      <c r="K70" s="328"/>
      <c r="L70" s="582"/>
      <c r="M70" s="328"/>
      <c r="N70" s="310">
        <f>N58+N42+N53+N47+N37+N63+N68</f>
        <v>28774.099095000001</v>
      </c>
      <c r="O70" s="429">
        <f>N70/$N$114</f>
        <v>5.1926906525813971E-2</v>
      </c>
    </row>
    <row r="71" spans="1:15" ht="11.25" hidden="1" customHeight="1" x14ac:dyDescent="0.2">
      <c r="B71" s="130"/>
      <c r="G71" s="52"/>
      <c r="H71" s="506"/>
      <c r="I71" s="323"/>
      <c r="J71" s="323"/>
      <c r="K71" s="313"/>
      <c r="L71" s="323"/>
      <c r="M71" s="313"/>
      <c r="N71" s="308"/>
      <c r="O71" s="25"/>
    </row>
    <row r="72" spans="1:15" ht="11.25" hidden="1" customHeight="1" x14ac:dyDescent="0.2">
      <c r="A72" s="129" t="s">
        <v>124</v>
      </c>
      <c r="B72" s="88" t="s">
        <v>121</v>
      </c>
      <c r="H72" s="506"/>
      <c r="I72" s="323"/>
      <c r="J72" s="323"/>
      <c r="K72" s="329"/>
      <c r="L72" s="323"/>
      <c r="M72" s="311"/>
      <c r="N72" s="311"/>
    </row>
    <row r="73" spans="1:15" ht="11.25" hidden="1" customHeight="1" x14ac:dyDescent="0.2">
      <c r="A73" s="140" t="s">
        <v>125</v>
      </c>
      <c r="B73" s="142" t="s">
        <v>122</v>
      </c>
      <c r="C73" s="142"/>
      <c r="D73" s="142"/>
      <c r="E73" s="142"/>
      <c r="F73" s="137"/>
      <c r="G73" s="137"/>
      <c r="H73" s="707"/>
      <c r="I73" s="323"/>
      <c r="J73" s="323"/>
      <c r="K73" s="329"/>
      <c r="L73" s="323"/>
      <c r="M73" s="311"/>
      <c r="N73" s="311"/>
    </row>
    <row r="74" spans="1:15" ht="11.25" hidden="1" customHeight="1" x14ac:dyDescent="0.2">
      <c r="A74" s="140" t="s">
        <v>126</v>
      </c>
      <c r="B74" s="142" t="s">
        <v>189</v>
      </c>
      <c r="C74" s="142"/>
      <c r="D74" s="142"/>
      <c r="E74" s="142"/>
      <c r="F74" s="137"/>
      <c r="G74" s="139" t="s">
        <v>123</v>
      </c>
      <c r="H74" s="517">
        <v>0</v>
      </c>
      <c r="I74" s="323"/>
      <c r="J74" s="323"/>
      <c r="K74" s="308">
        <f>H74*J74</f>
        <v>0</v>
      </c>
      <c r="L74" s="323"/>
      <c r="M74" s="308"/>
      <c r="N74" s="286">
        <f>I74*H74</f>
        <v>0</v>
      </c>
      <c r="O74" s="25" t="e">
        <f>N74/N76</f>
        <v>#DIV/0!</v>
      </c>
    </row>
    <row r="75" spans="1:15" ht="11.25" hidden="1" customHeight="1" x14ac:dyDescent="0.2">
      <c r="A75" s="140"/>
      <c r="B75" s="138"/>
      <c r="C75" s="138"/>
      <c r="D75" s="138"/>
      <c r="E75" s="138"/>
      <c r="F75" s="137"/>
      <c r="G75" s="139"/>
      <c r="H75" s="517"/>
      <c r="I75" s="323"/>
      <c r="J75" s="323"/>
      <c r="K75" s="311"/>
      <c r="L75" s="323"/>
      <c r="M75" s="346"/>
      <c r="N75" s="286"/>
      <c r="O75" s="25"/>
    </row>
    <row r="76" spans="1:15" ht="11.25" hidden="1" customHeight="1" x14ac:dyDescent="0.2">
      <c r="A76" s="202"/>
      <c r="B76" s="142" t="s">
        <v>18</v>
      </c>
      <c r="C76" s="143"/>
      <c r="D76" s="143"/>
      <c r="E76" s="143"/>
      <c r="F76" s="188"/>
      <c r="G76" s="173"/>
      <c r="H76" s="708"/>
      <c r="I76" s="323"/>
      <c r="J76" s="323"/>
      <c r="K76" s="347"/>
      <c r="L76" s="323"/>
      <c r="M76" s="347"/>
      <c r="N76" s="286">
        <f>SUM(N74:N75)</f>
        <v>0</v>
      </c>
      <c r="O76" s="428" t="e">
        <f>N76/N78</f>
        <v>#DIV/0!</v>
      </c>
    </row>
    <row r="77" spans="1:15" ht="11.25" hidden="1" customHeight="1" x14ac:dyDescent="0.2">
      <c r="A77" s="202"/>
      <c r="B77" s="138"/>
      <c r="C77" s="138"/>
      <c r="D77" s="138"/>
      <c r="E77" s="138"/>
      <c r="F77" s="137"/>
      <c r="G77" s="162"/>
      <c r="H77" s="707"/>
      <c r="I77" s="323"/>
      <c r="J77" s="323"/>
      <c r="K77" s="346"/>
      <c r="L77" s="323"/>
      <c r="M77" s="346"/>
      <c r="N77" s="286"/>
      <c r="O77" s="428"/>
    </row>
    <row r="78" spans="1:15" s="132" customFormat="1" ht="11.25" hidden="1" customHeight="1" x14ac:dyDescent="0.2">
      <c r="A78" s="203"/>
      <c r="B78" s="175" t="s">
        <v>20</v>
      </c>
      <c r="C78" s="176"/>
      <c r="D78" s="176"/>
      <c r="E78" s="176"/>
      <c r="F78" s="191"/>
      <c r="G78" s="178"/>
      <c r="H78" s="709"/>
      <c r="I78" s="323"/>
      <c r="J78" s="323"/>
      <c r="K78" s="348"/>
      <c r="L78" s="323"/>
      <c r="M78" s="348"/>
      <c r="N78" s="312">
        <f>N76</f>
        <v>0</v>
      </c>
      <c r="O78" s="429">
        <f>N78/$N$114</f>
        <v>0</v>
      </c>
    </row>
    <row r="79" spans="1:15" ht="11.25" customHeight="1" x14ac:dyDescent="0.2">
      <c r="A79" s="202"/>
      <c r="B79" s="138"/>
      <c r="C79" s="138"/>
      <c r="D79" s="138"/>
      <c r="E79" s="138"/>
      <c r="F79" s="137"/>
      <c r="G79" s="162"/>
      <c r="H79" s="707"/>
      <c r="I79" s="323"/>
      <c r="J79" s="323"/>
      <c r="K79" s="311"/>
      <c r="L79" s="323"/>
      <c r="M79" s="346"/>
      <c r="N79" s="286"/>
      <c r="O79" s="25"/>
    </row>
    <row r="80" spans="1:15" ht="11.25" customHeight="1" x14ac:dyDescent="0.2">
      <c r="A80" s="140">
        <v>10</v>
      </c>
      <c r="B80" s="834" t="s">
        <v>27</v>
      </c>
      <c r="C80" s="834"/>
      <c r="D80" s="834"/>
      <c r="E80" s="834"/>
      <c r="F80" s="137"/>
      <c r="G80" s="162"/>
      <c r="H80" s="707"/>
      <c r="I80" s="323"/>
      <c r="J80" s="323"/>
      <c r="K80" s="311"/>
      <c r="L80" s="323"/>
      <c r="M80" s="346"/>
      <c r="N80" s="286"/>
      <c r="O80" s="25"/>
    </row>
    <row r="81" spans="1:15" ht="11.25" customHeight="1" x14ac:dyDescent="0.2">
      <c r="A81" s="140">
        <v>1002</v>
      </c>
      <c r="B81" s="834" t="s">
        <v>670</v>
      </c>
      <c r="C81" s="834"/>
      <c r="D81" s="834"/>
      <c r="E81" s="834"/>
      <c r="F81" s="137"/>
      <c r="G81" s="162"/>
      <c r="H81" s="707"/>
      <c r="I81" s="323"/>
      <c r="J81" s="323"/>
      <c r="K81" s="311"/>
      <c r="L81" s="323"/>
      <c r="M81" s="346"/>
      <c r="N81" s="286"/>
      <c r="O81" s="25"/>
    </row>
    <row r="82" spans="1:15" ht="11.25" customHeight="1" x14ac:dyDescent="0.2">
      <c r="A82" s="140" t="s">
        <v>354</v>
      </c>
      <c r="B82" s="200" t="s">
        <v>355</v>
      </c>
      <c r="C82" s="153"/>
      <c r="D82" s="153"/>
      <c r="E82" s="153"/>
      <c r="F82" s="137"/>
      <c r="G82" s="139" t="s">
        <v>31</v>
      </c>
      <c r="H82" s="517">
        <v>44.82</v>
      </c>
      <c r="I82" s="323">
        <f>VLOOKUP(A82,'[1]TAB OGU JUN18'!$A:$G,6,"falso")</f>
        <v>75.900000000000006</v>
      </c>
      <c r="J82" s="323">
        <f>VLOOKUP(A82,'[1]TAB OGU JUN18'!$A:$G,4,"falso")</f>
        <v>28.84</v>
      </c>
      <c r="K82" s="308">
        <f t="shared" ref="K82:K85" si="0">H82*J82</f>
        <v>1292.6088</v>
      </c>
      <c r="L82" s="323">
        <f>VLOOKUP(A82,'[1]TAB OGU JUN18'!$A:$G,5,"falso")</f>
        <v>47.06</v>
      </c>
      <c r="M82" s="308">
        <f t="shared" ref="M82:M85" si="1">L82*H82</f>
        <v>2109.2292000000002</v>
      </c>
      <c r="N82" s="286">
        <f t="shared" ref="N82:N85" si="2">I82*H82</f>
        <v>3401.8380000000002</v>
      </c>
      <c r="O82" s="25">
        <f>N82/$N$87</f>
        <v>5.6535514391434893E-2</v>
      </c>
    </row>
    <row r="83" spans="1:15" ht="11.25" hidden="1" customHeight="1" x14ac:dyDescent="0.2">
      <c r="A83" s="140" t="s">
        <v>665</v>
      </c>
      <c r="B83" s="200" t="s">
        <v>666</v>
      </c>
      <c r="C83" s="153"/>
      <c r="D83" s="153"/>
      <c r="E83" s="153"/>
      <c r="F83" s="137"/>
      <c r="G83" s="139" t="s">
        <v>31</v>
      </c>
      <c r="H83" s="517"/>
      <c r="I83" s="323">
        <f>VLOOKUP(A83,'[1]TAB OGU JUN18'!$A:$G,6,"falso")</f>
        <v>4.71</v>
      </c>
      <c r="J83" s="323">
        <f>VLOOKUP(A83,'[1]TAB OGU JUN18'!$A:$G,4,"falso")</f>
        <v>2.06</v>
      </c>
      <c r="K83" s="308">
        <f t="shared" si="0"/>
        <v>0</v>
      </c>
      <c r="L83" s="323">
        <f>VLOOKUP(A83,'[1]TAB OGU JUN18'!$A:$G,5,"falso")</f>
        <v>2.65</v>
      </c>
      <c r="M83" s="308">
        <f t="shared" si="1"/>
        <v>0</v>
      </c>
      <c r="N83" s="286">
        <f t="shared" si="2"/>
        <v>0</v>
      </c>
      <c r="O83" s="25">
        <f>N83/$N$87</f>
        <v>0</v>
      </c>
    </row>
    <row r="84" spans="1:15" ht="11.25" customHeight="1" x14ac:dyDescent="0.2">
      <c r="A84" s="140" t="s">
        <v>356</v>
      </c>
      <c r="B84" s="834" t="s">
        <v>671</v>
      </c>
      <c r="C84" s="834"/>
      <c r="D84" s="834"/>
      <c r="E84" s="834"/>
      <c r="F84" s="137"/>
      <c r="G84" s="139" t="s">
        <v>32</v>
      </c>
      <c r="H84" s="517">
        <v>9.6199999999999992</v>
      </c>
      <c r="I84" s="323">
        <f>VLOOKUP(A84,'[1]TAB OGU JUN18'!$A:$G,6,"falso")</f>
        <v>495.59</v>
      </c>
      <c r="J84" s="323">
        <f>VLOOKUP(A84,'[1]TAB OGU JUN18'!$A:$G,4,"falso")</f>
        <v>326.67</v>
      </c>
      <c r="K84" s="308">
        <f t="shared" si="0"/>
        <v>3142.5654</v>
      </c>
      <c r="L84" s="323">
        <f>VLOOKUP(A84,'[1]TAB OGU JUN18'!$A:$G,5,"falso")</f>
        <v>168.92</v>
      </c>
      <c r="M84" s="308">
        <f t="shared" si="1"/>
        <v>1625.0103999999997</v>
      </c>
      <c r="N84" s="286">
        <f t="shared" si="2"/>
        <v>4767.5757999999996</v>
      </c>
      <c r="O84" s="25">
        <f>N84/$N$87</f>
        <v>7.9232858899558611E-2</v>
      </c>
    </row>
    <row r="85" spans="1:15" ht="11.25" customHeight="1" x14ac:dyDescent="0.2">
      <c r="A85" s="140" t="s">
        <v>357</v>
      </c>
      <c r="B85" s="834" t="s">
        <v>157</v>
      </c>
      <c r="C85" s="834"/>
      <c r="D85" s="834"/>
      <c r="E85" s="834"/>
      <c r="F85" s="137"/>
      <c r="G85" s="139" t="s">
        <v>17</v>
      </c>
      <c r="H85" s="517">
        <f>'12'!H14*1000</f>
        <v>1012.8999999999999</v>
      </c>
      <c r="I85" s="323">
        <f>VLOOKUP(A85,'[1]TAB OGU JUN18'!$A:$G,6,"falso")</f>
        <v>51.34</v>
      </c>
      <c r="J85" s="323">
        <f>VLOOKUP(A85,'[1]TAB OGU JUN18'!$A:$G,4,"falso")</f>
        <v>27.83</v>
      </c>
      <c r="K85" s="308">
        <f t="shared" si="0"/>
        <v>28189.006999999994</v>
      </c>
      <c r="L85" s="323">
        <f>VLOOKUP(A85,'[1]TAB OGU JUN18'!$A:$G,5,"falso")</f>
        <v>23.51</v>
      </c>
      <c r="M85" s="308">
        <f t="shared" si="1"/>
        <v>23813.278999999999</v>
      </c>
      <c r="N85" s="286">
        <f t="shared" si="2"/>
        <v>52002.286</v>
      </c>
      <c r="O85" s="25">
        <f>N85/$N$87</f>
        <v>0.86423162670900644</v>
      </c>
    </row>
    <row r="86" spans="1:15" ht="11.25" customHeight="1" x14ac:dyDescent="0.2">
      <c r="A86" s="140"/>
      <c r="B86" s="138"/>
      <c r="C86" s="138"/>
      <c r="D86" s="138"/>
      <c r="E86" s="138"/>
      <c r="F86" s="137"/>
      <c r="G86" s="141"/>
      <c r="H86" s="517"/>
      <c r="I86" s="323"/>
      <c r="J86" s="323"/>
      <c r="K86" s="311"/>
      <c r="L86" s="323"/>
      <c r="M86" s="346"/>
      <c r="N86" s="286"/>
      <c r="O86" s="25"/>
    </row>
    <row r="87" spans="1:15" ht="11.25" customHeight="1" x14ac:dyDescent="0.2">
      <c r="A87" s="202"/>
      <c r="B87" s="142" t="s">
        <v>18</v>
      </c>
      <c r="C87" s="143"/>
      <c r="D87" s="143"/>
      <c r="E87" s="143"/>
      <c r="F87" s="188"/>
      <c r="G87" s="188"/>
      <c r="H87" s="708"/>
      <c r="I87" s="582"/>
      <c r="J87" s="582"/>
      <c r="K87" s="347"/>
      <c r="L87" s="582"/>
      <c r="M87" s="347"/>
      <c r="N87" s="286">
        <f>SUM(N82:N86)</f>
        <v>60171.699800000002</v>
      </c>
      <c r="O87" s="428">
        <f>N87/N89</f>
        <v>1</v>
      </c>
    </row>
    <row r="88" spans="1:15" ht="11.25" customHeight="1" x14ac:dyDescent="0.2">
      <c r="A88" s="202"/>
      <c r="B88" s="138"/>
      <c r="C88" s="138"/>
      <c r="D88" s="138"/>
      <c r="E88" s="138"/>
      <c r="F88" s="137"/>
      <c r="G88" s="137"/>
      <c r="H88" s="707"/>
      <c r="I88" s="323"/>
      <c r="J88" s="323"/>
      <c r="K88" s="346"/>
      <c r="L88" s="323"/>
      <c r="M88" s="346"/>
      <c r="N88" s="286"/>
      <c r="O88" s="428"/>
    </row>
    <row r="89" spans="1:15" s="132" customFormat="1" ht="11.25" customHeight="1" x14ac:dyDescent="0.2">
      <c r="A89" s="203"/>
      <c r="B89" s="175" t="s">
        <v>20</v>
      </c>
      <c r="C89" s="176"/>
      <c r="D89" s="176"/>
      <c r="E89" s="176"/>
      <c r="F89" s="191"/>
      <c r="G89" s="191"/>
      <c r="H89" s="709"/>
      <c r="I89" s="582"/>
      <c r="J89" s="582"/>
      <c r="K89" s="348"/>
      <c r="L89" s="582"/>
      <c r="M89" s="348"/>
      <c r="N89" s="312">
        <f>N87</f>
        <v>60171.699800000002</v>
      </c>
      <c r="O89" s="429">
        <f>N89/$N$114</f>
        <v>0.10858829048645628</v>
      </c>
    </row>
    <row r="90" spans="1:15" ht="11.25" customHeight="1" x14ac:dyDescent="0.2">
      <c r="A90" s="202"/>
      <c r="B90" s="138"/>
      <c r="C90" s="138"/>
      <c r="D90" s="138"/>
      <c r="E90" s="138"/>
      <c r="F90" s="138"/>
      <c r="G90" s="137"/>
      <c r="H90" s="707"/>
      <c r="I90" s="323"/>
      <c r="J90" s="323"/>
      <c r="K90" s="339"/>
      <c r="L90" s="323"/>
      <c r="M90" s="346"/>
      <c r="N90" s="314"/>
      <c r="O90" s="430"/>
    </row>
    <row r="91" spans="1:15" ht="11.25" customHeight="1" x14ac:dyDescent="0.2">
      <c r="A91" s="140">
        <v>15</v>
      </c>
      <c r="B91" s="834" t="s">
        <v>449</v>
      </c>
      <c r="C91" s="834"/>
      <c r="D91" s="834"/>
      <c r="E91" s="834"/>
      <c r="F91" s="137"/>
      <c r="G91" s="162"/>
      <c r="H91" s="707"/>
      <c r="I91" s="323"/>
      <c r="J91" s="323"/>
      <c r="K91" s="311"/>
      <c r="L91" s="323"/>
      <c r="M91" s="346"/>
      <c r="N91" s="286"/>
      <c r="O91" s="25"/>
    </row>
    <row r="92" spans="1:15" ht="11.25" customHeight="1" x14ac:dyDescent="0.2">
      <c r="A92" s="140">
        <v>1501</v>
      </c>
      <c r="B92" s="834" t="s">
        <v>607</v>
      </c>
      <c r="C92" s="834"/>
      <c r="D92" s="834"/>
      <c r="E92" s="834"/>
      <c r="F92" s="137"/>
      <c r="G92" s="162"/>
      <c r="H92" s="707"/>
      <c r="I92" s="323"/>
      <c r="J92" s="323"/>
      <c r="K92" s="311"/>
      <c r="L92" s="323"/>
      <c r="M92" s="346"/>
      <c r="N92" s="286"/>
      <c r="O92" s="25"/>
    </row>
    <row r="93" spans="1:15" ht="11.25" customHeight="1" x14ac:dyDescent="0.2">
      <c r="A93" s="140" t="s">
        <v>450</v>
      </c>
      <c r="B93" s="200" t="s">
        <v>451</v>
      </c>
      <c r="C93" s="153"/>
      <c r="D93" s="153"/>
      <c r="E93" s="153"/>
      <c r="F93" s="137"/>
      <c r="G93" s="139" t="s">
        <v>17</v>
      </c>
      <c r="H93" s="517">
        <v>792.14</v>
      </c>
      <c r="I93" s="323">
        <f>VLOOKUP(A93,'[1]TAB OGU JUN18'!$A:$G,6,"falso")</f>
        <v>79.55</v>
      </c>
      <c r="J93" s="323">
        <f>VLOOKUP(A93,'[1]TAB OGU JUN18'!$A:$G,4,"falso")</f>
        <v>49.66</v>
      </c>
      <c r="K93" s="308">
        <f>H93*J93</f>
        <v>39337.672399999996</v>
      </c>
      <c r="L93" s="323">
        <f>VLOOKUP(A93,'[1]TAB OGU JUN18'!$A:$G,5,"falso")</f>
        <v>29.89</v>
      </c>
      <c r="M93" s="308">
        <f>L93*H93</f>
        <v>23677.064600000002</v>
      </c>
      <c r="N93" s="286">
        <f>I93*H93</f>
        <v>63014.736999999994</v>
      </c>
      <c r="O93" s="25">
        <f>N93/$N$96</f>
        <v>0.92588468934143209</v>
      </c>
    </row>
    <row r="94" spans="1:15" ht="11.25" customHeight="1" x14ac:dyDescent="0.2">
      <c r="A94" s="140" t="s">
        <v>452</v>
      </c>
      <c r="B94" s="200" t="s">
        <v>608</v>
      </c>
      <c r="C94" s="153"/>
      <c r="D94" s="153"/>
      <c r="E94" s="153"/>
      <c r="F94" s="137"/>
      <c r="G94" s="139" t="s">
        <v>24</v>
      </c>
      <c r="H94" s="517">
        <v>1</v>
      </c>
      <c r="I94" s="323">
        <f>VLOOKUP(A94,'[1]TAB OGU JUN18'!$A:$G,6,"falso")</f>
        <v>5044.21</v>
      </c>
      <c r="J94" s="323">
        <f>VLOOKUP(A94,'[1]TAB OGU JUN18'!$A:$G,4,"falso")</f>
        <v>3216.82</v>
      </c>
      <c r="K94" s="308">
        <f>H94*J94</f>
        <v>3216.82</v>
      </c>
      <c r="L94" s="323">
        <f>VLOOKUP(A94,'[1]TAB OGU JUN18'!$A:$G,5,"falso")</f>
        <v>1827.39</v>
      </c>
      <c r="M94" s="308">
        <f>L94*H94</f>
        <v>1827.39</v>
      </c>
      <c r="N94" s="286">
        <f>I94*H94</f>
        <v>5044.21</v>
      </c>
      <c r="O94" s="25">
        <f>N94/$N$96</f>
        <v>7.4115310658567787E-2</v>
      </c>
    </row>
    <row r="95" spans="1:15" ht="11.25" customHeight="1" x14ac:dyDescent="0.2">
      <c r="A95" s="140"/>
      <c r="B95" s="138"/>
      <c r="C95" s="138"/>
      <c r="D95" s="138"/>
      <c r="E95" s="138"/>
      <c r="F95" s="137"/>
      <c r="G95" s="141"/>
      <c r="H95" s="517"/>
      <c r="I95" s="323"/>
      <c r="J95" s="323"/>
      <c r="K95" s="311"/>
      <c r="L95" s="323"/>
      <c r="M95" s="346"/>
      <c r="N95" s="286"/>
      <c r="O95" s="25"/>
    </row>
    <row r="96" spans="1:15" ht="11.25" customHeight="1" x14ac:dyDescent="0.2">
      <c r="A96" s="202"/>
      <c r="B96" s="142" t="s">
        <v>18</v>
      </c>
      <c r="C96" s="143"/>
      <c r="D96" s="143"/>
      <c r="E96" s="143"/>
      <c r="F96" s="188"/>
      <c r="G96" s="188"/>
      <c r="H96" s="708"/>
      <c r="I96" s="582"/>
      <c r="J96" s="582"/>
      <c r="K96" s="347"/>
      <c r="L96" s="582"/>
      <c r="M96" s="347"/>
      <c r="N96" s="286">
        <f>SUM(N93:N95)</f>
        <v>68058.947</v>
      </c>
      <c r="O96" s="428">
        <f>N96/N104</f>
        <v>0.15445332989715121</v>
      </c>
    </row>
    <row r="97" spans="1:15" ht="11.25" customHeight="1" x14ac:dyDescent="0.2">
      <c r="A97" s="202"/>
      <c r="B97" s="138"/>
      <c r="C97" s="138"/>
      <c r="D97" s="138"/>
      <c r="E97" s="138"/>
      <c r="F97" s="137"/>
      <c r="G97" s="137"/>
      <c r="H97" s="707"/>
      <c r="I97" s="323"/>
      <c r="J97" s="323"/>
      <c r="K97" s="346"/>
      <c r="L97" s="323"/>
      <c r="M97" s="346"/>
      <c r="N97" s="286"/>
      <c r="O97" s="428"/>
    </row>
    <row r="98" spans="1:15" ht="11.25" customHeight="1" x14ac:dyDescent="0.2">
      <c r="A98" s="140">
        <v>1502</v>
      </c>
      <c r="B98" s="834" t="s">
        <v>453</v>
      </c>
      <c r="C98" s="834"/>
      <c r="D98" s="834"/>
      <c r="E98" s="834"/>
      <c r="F98" s="137"/>
      <c r="G98" s="162"/>
      <c r="H98" s="707"/>
      <c r="I98" s="323"/>
      <c r="J98" s="323"/>
      <c r="K98" s="311"/>
      <c r="L98" s="323"/>
      <c r="M98" s="346"/>
      <c r="N98" s="286"/>
      <c r="O98" s="25"/>
    </row>
    <row r="99" spans="1:15" ht="11.25" customHeight="1" x14ac:dyDescent="0.2">
      <c r="A99" s="252" t="s">
        <v>454</v>
      </c>
      <c r="B99" s="200" t="s">
        <v>455</v>
      </c>
      <c r="C99" s="153"/>
      <c r="D99" s="153"/>
      <c r="E99" s="153"/>
      <c r="F99" s="137"/>
      <c r="G99" s="139" t="s">
        <v>31</v>
      </c>
      <c r="H99" s="517">
        <v>27572.524000000001</v>
      </c>
      <c r="I99" s="323">
        <f>VLOOKUP(A99,'[1]TAB OGU JUN18'!$A:$G,6,"falso")</f>
        <v>13.25</v>
      </c>
      <c r="J99" s="323">
        <f>VLOOKUP(A99,'[1]TAB OGU JUN18'!$A:$G,4,"falso")</f>
        <v>4.1100000000000003</v>
      </c>
      <c r="K99" s="308">
        <f>H99*J99</f>
        <v>113323.07364000002</v>
      </c>
      <c r="L99" s="323">
        <f>VLOOKUP(A99,'[1]TAB OGU JUN18'!$A:$G,5,"falso")</f>
        <v>9.14</v>
      </c>
      <c r="M99" s="308">
        <f>L99*H99</f>
        <v>252012.86936000004</v>
      </c>
      <c r="N99" s="286">
        <f>I99*H99</f>
        <v>365335.94300000003</v>
      </c>
      <c r="O99" s="25">
        <f>N99/$N$102</f>
        <v>0.98054350760840725</v>
      </c>
    </row>
    <row r="100" spans="1:15" ht="11.25" customHeight="1" x14ac:dyDescent="0.2">
      <c r="A100" s="252" t="s">
        <v>456</v>
      </c>
      <c r="B100" s="200" t="s">
        <v>457</v>
      </c>
      <c r="C100" s="153"/>
      <c r="D100" s="153"/>
      <c r="E100" s="153"/>
      <c r="F100" s="137"/>
      <c r="G100" s="139" t="s">
        <v>24</v>
      </c>
      <c r="H100" s="517">
        <v>863</v>
      </c>
      <c r="I100" s="323">
        <f>VLOOKUP(A100,'[1]TAB OGU JUN18'!$A:$G,6,"falso")</f>
        <v>8.4</v>
      </c>
      <c r="J100" s="323">
        <f>VLOOKUP(A100,'[1]TAB OGU JUN18'!$A:$G,4,"falso")</f>
        <v>8.23</v>
      </c>
      <c r="K100" s="308">
        <f>H100*J100</f>
        <v>7102.4900000000007</v>
      </c>
      <c r="L100" s="323">
        <f>VLOOKUP(A100,'[1]TAB OGU JUN18'!$A:$G,5,"falso")</f>
        <v>0.17</v>
      </c>
      <c r="M100" s="308">
        <f>L100*H100</f>
        <v>146.71</v>
      </c>
      <c r="N100" s="286">
        <f>I100*H100</f>
        <v>7249.2000000000007</v>
      </c>
      <c r="O100" s="25">
        <f>N100/$N$102</f>
        <v>1.9456492391592757E-2</v>
      </c>
    </row>
    <row r="101" spans="1:15" ht="11.25" customHeight="1" x14ac:dyDescent="0.2">
      <c r="A101" s="140"/>
      <c r="B101" s="138"/>
      <c r="C101" s="138"/>
      <c r="D101" s="138"/>
      <c r="E101" s="138"/>
      <c r="F101" s="137"/>
      <c r="G101" s="141"/>
      <c r="H101" s="517"/>
      <c r="I101" s="323"/>
      <c r="J101" s="323"/>
      <c r="K101" s="311"/>
      <c r="L101" s="323"/>
      <c r="M101" s="346"/>
      <c r="N101" s="286"/>
      <c r="O101" s="25"/>
    </row>
    <row r="102" spans="1:15" ht="11.25" customHeight="1" x14ac:dyDescent="0.2">
      <c r="A102" s="202"/>
      <c r="B102" s="142" t="s">
        <v>18</v>
      </c>
      <c r="C102" s="143"/>
      <c r="D102" s="143"/>
      <c r="E102" s="143"/>
      <c r="F102" s="188"/>
      <c r="G102" s="188"/>
      <c r="H102" s="708"/>
      <c r="I102" s="582"/>
      <c r="J102" s="582"/>
      <c r="K102" s="347"/>
      <c r="L102" s="582"/>
      <c r="M102" s="347"/>
      <c r="N102" s="286">
        <f>SUM(N99:N101)</f>
        <v>372585.14300000004</v>
      </c>
      <c r="O102" s="428">
        <f>N102/N104</f>
        <v>0.84554667010284879</v>
      </c>
    </row>
    <row r="103" spans="1:15" ht="11.25" customHeight="1" x14ac:dyDescent="0.2">
      <c r="A103" s="202"/>
      <c r="B103" s="138"/>
      <c r="C103" s="138"/>
      <c r="D103" s="138"/>
      <c r="E103" s="138"/>
      <c r="F103" s="137"/>
      <c r="G103" s="137"/>
      <c r="H103" s="707"/>
      <c r="I103" s="323"/>
      <c r="J103" s="323"/>
      <c r="K103" s="346"/>
      <c r="L103" s="323"/>
      <c r="M103" s="346"/>
      <c r="N103" s="286"/>
      <c r="O103" s="428"/>
    </row>
    <row r="104" spans="1:15" s="132" customFormat="1" ht="11.25" customHeight="1" x14ac:dyDescent="0.2">
      <c r="A104" s="203"/>
      <c r="B104" s="175" t="s">
        <v>20</v>
      </c>
      <c r="C104" s="176"/>
      <c r="D104" s="176"/>
      <c r="E104" s="176"/>
      <c r="F104" s="191"/>
      <c r="G104" s="191"/>
      <c r="H104" s="709"/>
      <c r="I104" s="582"/>
      <c r="J104" s="582"/>
      <c r="K104" s="348"/>
      <c r="L104" s="582"/>
      <c r="M104" s="348"/>
      <c r="N104" s="312">
        <f>N96+N102</f>
        <v>440644.09</v>
      </c>
      <c r="O104" s="429">
        <f>N104/$N$114</f>
        <v>0.79520420073059317</v>
      </c>
    </row>
    <row r="105" spans="1:15" ht="11.25" customHeight="1" x14ac:dyDescent="0.2">
      <c r="A105" s="98"/>
      <c r="B105" s="88"/>
      <c r="G105" s="97"/>
      <c r="H105" s="495"/>
      <c r="I105" s="323"/>
      <c r="J105" s="323"/>
      <c r="K105" s="308"/>
      <c r="L105" s="323"/>
      <c r="M105" s="308"/>
      <c r="N105" s="308"/>
      <c r="O105" s="25"/>
    </row>
    <row r="106" spans="1:15" ht="11.25" customHeight="1" x14ac:dyDescent="0.2">
      <c r="A106" s="98" t="s">
        <v>169</v>
      </c>
      <c r="B106" s="88" t="s">
        <v>172</v>
      </c>
      <c r="G106" s="97"/>
      <c r="H106" s="495"/>
      <c r="I106" s="323"/>
      <c r="J106" s="323"/>
      <c r="K106" s="308"/>
      <c r="L106" s="323"/>
      <c r="M106" s="308"/>
      <c r="N106" s="308"/>
      <c r="O106" s="185"/>
    </row>
    <row r="107" spans="1:15" ht="11.25" customHeight="1" x14ac:dyDescent="0.2">
      <c r="A107" s="98" t="s">
        <v>170</v>
      </c>
      <c r="B107" s="88" t="s">
        <v>173</v>
      </c>
      <c r="G107" s="97"/>
      <c r="H107" s="495"/>
      <c r="I107" s="323"/>
      <c r="J107" s="323"/>
      <c r="K107" s="308"/>
      <c r="L107" s="323"/>
      <c r="M107" s="308"/>
      <c r="N107" s="308"/>
      <c r="O107" s="185"/>
    </row>
    <row r="108" spans="1:15" ht="11.25" customHeight="1" x14ac:dyDescent="0.2">
      <c r="A108" s="98" t="s">
        <v>480</v>
      </c>
      <c r="B108" s="834" t="s">
        <v>481</v>
      </c>
      <c r="C108" s="834"/>
      <c r="D108" s="834"/>
      <c r="E108" s="834"/>
      <c r="F108" s="834"/>
      <c r="G108" s="97" t="s">
        <v>31</v>
      </c>
      <c r="H108" s="308">
        <f>H14</f>
        <v>346.312327106677</v>
      </c>
      <c r="I108" s="323">
        <f>VLOOKUP(A108,'[1]TAB OGU JUN18'!$A:$G,6,"falso")</f>
        <v>2.46</v>
      </c>
      <c r="J108" s="323">
        <f>VLOOKUP(A108,'[1]TAB OGU JUN18'!$A:$G,4,"falso")</f>
        <v>2.34</v>
      </c>
      <c r="K108" s="308">
        <f>H108*J108</f>
        <v>810.37084542962418</v>
      </c>
      <c r="L108" s="323">
        <f>VLOOKUP(A108,'[1]TAB OGU JUN18'!$A:$G,5,"falso")</f>
        <v>0.12</v>
      </c>
      <c r="M108" s="308">
        <f>H108*L108</f>
        <v>41.557479252801237</v>
      </c>
      <c r="N108" s="315">
        <f>H108*I108</f>
        <v>851.92832468242545</v>
      </c>
      <c r="O108" s="185">
        <f>N108/N110</f>
        <v>1</v>
      </c>
    </row>
    <row r="109" spans="1:15" ht="11.25" customHeight="1" x14ac:dyDescent="0.2">
      <c r="B109" s="130"/>
      <c r="G109" s="52"/>
      <c r="H109" s="324"/>
      <c r="I109" s="313"/>
      <c r="J109" s="313"/>
      <c r="K109" s="313"/>
      <c r="L109" s="313"/>
      <c r="M109" s="313"/>
      <c r="N109" s="308"/>
      <c r="O109" s="185"/>
    </row>
    <row r="110" spans="1:15" ht="11.25" customHeight="1" x14ac:dyDescent="0.2">
      <c r="B110" s="130" t="s">
        <v>18</v>
      </c>
      <c r="C110" s="131"/>
      <c r="D110" s="131"/>
      <c r="E110" s="131"/>
      <c r="F110" s="131"/>
      <c r="G110" s="53"/>
      <c r="H110" s="325"/>
      <c r="I110" s="326"/>
      <c r="J110" s="326"/>
      <c r="K110" s="326"/>
      <c r="L110" s="326"/>
      <c r="M110" s="326"/>
      <c r="N110" s="308">
        <f>N108</f>
        <v>851.92832468242545</v>
      </c>
      <c r="O110" s="185">
        <f>N110/N112</f>
        <v>1</v>
      </c>
    </row>
    <row r="111" spans="1:15" ht="11.25" customHeight="1" x14ac:dyDescent="0.2">
      <c r="A111" s="98"/>
      <c r="B111" s="88"/>
      <c r="G111" s="97"/>
      <c r="H111" s="308"/>
      <c r="I111" s="308"/>
      <c r="J111" s="308"/>
      <c r="K111" s="308"/>
      <c r="L111" s="308"/>
      <c r="M111" s="308"/>
      <c r="N111" s="308"/>
      <c r="O111" s="185"/>
    </row>
    <row r="112" spans="1:15" s="132" customFormat="1" ht="11.25" customHeight="1" x14ac:dyDescent="0.2">
      <c r="A112" s="145"/>
      <c r="B112" s="133" t="s">
        <v>20</v>
      </c>
      <c r="C112" s="134"/>
      <c r="D112" s="134"/>
      <c r="E112" s="134"/>
      <c r="F112" s="134"/>
      <c r="G112" s="78"/>
      <c r="H112" s="327"/>
      <c r="I112" s="328"/>
      <c r="J112" s="328"/>
      <c r="K112" s="328"/>
      <c r="L112" s="328"/>
      <c r="M112" s="328"/>
      <c r="N112" s="310">
        <f>N110</f>
        <v>851.92832468242545</v>
      </c>
      <c r="O112" s="186">
        <f>N112/N114</f>
        <v>1.5374244154933324E-3</v>
      </c>
    </row>
    <row r="113" spans="1:16" ht="6.75" customHeight="1" x14ac:dyDescent="0.2">
      <c r="A113" s="98"/>
      <c r="B113" s="88"/>
      <c r="G113" s="97"/>
      <c r="H113" s="308"/>
      <c r="I113" s="308"/>
      <c r="J113" s="308"/>
      <c r="K113" s="308"/>
      <c r="L113" s="308"/>
      <c r="M113" s="308"/>
      <c r="N113" s="308"/>
      <c r="O113" s="185"/>
    </row>
    <row r="114" spans="1:16" ht="10.5" customHeight="1" x14ac:dyDescent="0.2">
      <c r="A114" s="206"/>
      <c r="B114" s="147" t="s">
        <v>30</v>
      </c>
      <c r="C114" s="146"/>
      <c r="D114" s="146"/>
      <c r="E114" s="146"/>
      <c r="F114" s="146"/>
      <c r="G114" s="146"/>
      <c r="H114" s="350"/>
      <c r="I114" s="345"/>
      <c r="J114" s="345"/>
      <c r="K114" s="275">
        <f>SUM(K12:K112)</f>
        <v>246553.56198420704</v>
      </c>
      <c r="L114" s="275"/>
      <c r="M114" s="275">
        <f>SUM(M12:M111)</f>
        <v>307573.40263086761</v>
      </c>
      <c r="N114" s="316">
        <f>N31+N89+N104+N70+N23+N112+N78</f>
        <v>554126.96461507457</v>
      </c>
      <c r="O114" s="237"/>
      <c r="P114" s="149"/>
    </row>
    <row r="115" spans="1:16" ht="6.75" customHeight="1" x14ac:dyDescent="0.2">
      <c r="H115" s="313"/>
      <c r="I115" s="311"/>
      <c r="J115" s="311"/>
      <c r="K115" s="311"/>
      <c r="L115" s="311"/>
      <c r="M115" s="311"/>
      <c r="N115" s="311"/>
      <c r="O115" s="431"/>
      <c r="P115" s="149"/>
    </row>
    <row r="116" spans="1:16" ht="15" customHeight="1" x14ac:dyDescent="0.2">
      <c r="A116" s="206"/>
      <c r="B116" s="147" t="s">
        <v>265</v>
      </c>
      <c r="C116" s="146"/>
      <c r="D116" s="146"/>
      <c r="E116" s="146"/>
      <c r="F116" s="146"/>
      <c r="G116" s="146"/>
      <c r="H116" s="350"/>
      <c r="I116" s="345"/>
      <c r="J116" s="345"/>
      <c r="K116" s="275">
        <f>K114*(1+O5)</f>
        <v>314553.03437945136</v>
      </c>
      <c r="L116" s="275"/>
      <c r="M116" s="275">
        <f>M114*(1+O7)</f>
        <v>362075.40957705735</v>
      </c>
      <c r="N116" s="316">
        <f>K116+M116</f>
        <v>676628.44395650877</v>
      </c>
      <c r="O116" s="237">
        <f>N116/RESUMO!H95</f>
        <v>9.3437810928541018E-2</v>
      </c>
      <c r="P116" s="149"/>
    </row>
    <row r="120" spans="1:16" s="150" customFormat="1" ht="12" customHeight="1" x14ac:dyDescent="0.2">
      <c r="A120" s="156"/>
      <c r="B120" s="51"/>
      <c r="C120" s="51"/>
      <c r="D120" s="51"/>
      <c r="E120" s="51"/>
      <c r="F120" s="51"/>
      <c r="G120" s="51"/>
      <c r="H120" s="52"/>
      <c r="I120" s="51"/>
      <c r="J120" s="51"/>
      <c r="K120" s="51"/>
      <c r="L120" s="51"/>
      <c r="M120" s="51"/>
      <c r="N120" s="303"/>
      <c r="O120" s="52"/>
    </row>
    <row r="121" spans="1:16" s="150" customFormat="1" ht="12" customHeight="1" x14ac:dyDescent="0.2">
      <c r="A121" s="156"/>
      <c r="B121" s="51"/>
      <c r="C121" s="51"/>
      <c r="D121" s="51"/>
      <c r="E121" s="51"/>
      <c r="F121" s="51"/>
      <c r="G121" s="51"/>
      <c r="H121" s="52"/>
      <c r="I121" s="51"/>
      <c r="J121" s="51"/>
      <c r="K121" s="51"/>
      <c r="L121" s="51"/>
      <c r="M121" s="51"/>
      <c r="N121" s="303"/>
      <c r="O121" s="52"/>
    </row>
  </sheetData>
  <mergeCells count="18">
    <mergeCell ref="B108:F108"/>
    <mergeCell ref="B34:F34"/>
    <mergeCell ref="B39:F39"/>
    <mergeCell ref="B55:F55"/>
    <mergeCell ref="B56:F56"/>
    <mergeCell ref="B80:E80"/>
    <mergeCell ref="B81:E81"/>
    <mergeCell ref="B84:E84"/>
    <mergeCell ref="B85:E85"/>
    <mergeCell ref="B91:E91"/>
    <mergeCell ref="B92:E92"/>
    <mergeCell ref="B98:E98"/>
    <mergeCell ref="B27:E27"/>
    <mergeCell ref="A2:O2"/>
    <mergeCell ref="N4:O4"/>
    <mergeCell ref="A5:B6"/>
    <mergeCell ref="B14:F14"/>
    <mergeCell ref="B26:E26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legacyDrawingHF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Planilha7">
    <tabColor theme="6" tint="0.39997558519241921"/>
    <pageSetUpPr fitToPage="1"/>
  </sheetPr>
  <dimension ref="A1:P28"/>
  <sheetViews>
    <sheetView view="pageBreakPreview" zoomScale="80" zoomScaleNormal="90" zoomScaleSheetLayoutView="80" workbookViewId="0">
      <selection activeCell="Q46" sqref="Q46"/>
    </sheetView>
  </sheetViews>
  <sheetFormatPr defaultColWidth="11.42578125" defaultRowHeight="12" customHeight="1" x14ac:dyDescent="0.2"/>
  <cols>
    <col min="6" max="6" width="28.5703125" customWidth="1"/>
    <col min="7" max="7" width="11.42578125" customWidth="1"/>
    <col min="8" max="8" width="11.42578125" style="52" customWidth="1"/>
    <col min="9" max="9" width="11.42578125" customWidth="1"/>
    <col min="10" max="10" width="11.42578125" hidden="1" customWidth="1"/>
    <col min="11" max="11" width="14.28515625" customWidth="1"/>
    <col min="12" max="12" width="9.42578125" hidden="1" customWidth="1"/>
    <col min="13" max="13" width="14.28515625" customWidth="1"/>
    <col min="14" max="14" width="17.140625" customWidth="1"/>
    <col min="15" max="15" width="11.42578125" style="13" customWidth="1"/>
  </cols>
  <sheetData>
    <row r="1" spans="1:15" ht="7.5" customHeight="1" x14ac:dyDescent="0.2"/>
    <row r="2" spans="1:15" ht="12" customHeight="1" x14ac:dyDescent="0.2">
      <c r="A2" s="830" t="s">
        <v>39</v>
      </c>
      <c r="B2" s="830"/>
      <c r="C2" s="830"/>
      <c r="D2" s="830"/>
      <c r="E2" s="830"/>
      <c r="F2" s="830"/>
      <c r="G2" s="830"/>
      <c r="H2" s="830"/>
      <c r="I2" s="830"/>
      <c r="J2" s="830"/>
      <c r="K2" s="830"/>
      <c r="L2" s="830"/>
      <c r="M2" s="830"/>
      <c r="N2" s="830"/>
      <c r="O2" s="830"/>
    </row>
    <row r="3" spans="1:15" ht="7.5" customHeight="1" thickBot="1" x14ac:dyDescent="0.25">
      <c r="A3" s="2"/>
      <c r="B3" s="2"/>
      <c r="C3" s="2"/>
      <c r="D3" s="2"/>
      <c r="E3" s="2"/>
      <c r="F3" s="2"/>
      <c r="G3" s="2"/>
      <c r="H3" s="195"/>
      <c r="I3" s="2"/>
      <c r="J3" s="2"/>
      <c r="K3" s="2"/>
      <c r="L3" s="2"/>
      <c r="M3" s="2"/>
      <c r="N3" s="2"/>
      <c r="O3" s="432"/>
    </row>
    <row r="4" spans="1:15" ht="12" customHeight="1" thickTop="1" x14ac:dyDescent="0.2">
      <c r="C4" s="36" t="s">
        <v>0</v>
      </c>
      <c r="D4" s="37" t="str">
        <f>RESUMO!D4</f>
        <v>SÃO JOSÉ DAS PALMEIRAS</v>
      </c>
      <c r="E4" s="34"/>
      <c r="F4" s="34"/>
      <c r="G4" s="36" t="s">
        <v>1</v>
      </c>
      <c r="H4"/>
      <c r="J4" s="38"/>
      <c r="K4" s="38"/>
      <c r="L4" s="38"/>
      <c r="M4" s="38">
        <f ca="1">RESUMO!G4</f>
        <v>43657</v>
      </c>
      <c r="N4" s="826" t="str">
        <f>RESUMO!H4</f>
        <v>BDI Aplicado</v>
      </c>
      <c r="O4" s="827"/>
    </row>
    <row r="5" spans="1:15" ht="12" customHeight="1" x14ac:dyDescent="0.2">
      <c r="A5" s="828" t="s">
        <v>193</v>
      </c>
      <c r="B5" s="829"/>
      <c r="C5" s="39" t="s">
        <v>2</v>
      </c>
      <c r="D5" s="37" t="str">
        <f>RESUMO!D5</f>
        <v>SISTEMA DE ESGOTAMENTO SANITARIO - SES</v>
      </c>
      <c r="E5" s="34"/>
      <c r="F5" s="34"/>
      <c r="G5" s="39" t="s">
        <v>3</v>
      </c>
      <c r="H5"/>
      <c r="J5" s="34"/>
      <c r="K5" s="34"/>
      <c r="L5" s="34"/>
      <c r="M5" s="34"/>
      <c r="N5" s="35" t="str">
        <f>RESUMO!H5</f>
        <v>Serviços</v>
      </c>
      <c r="O5" s="433">
        <f>RESUMO!I5</f>
        <v>0.27579999999999999</v>
      </c>
    </row>
    <row r="6" spans="1:15" ht="12" customHeight="1" x14ac:dyDescent="0.2">
      <c r="A6" s="828"/>
      <c r="B6" s="829"/>
      <c r="C6" s="39" t="s">
        <v>4</v>
      </c>
      <c r="D6" s="37"/>
      <c r="E6" s="34"/>
      <c r="F6" s="34"/>
      <c r="G6" s="39" t="s">
        <v>5</v>
      </c>
      <c r="H6"/>
      <c r="J6" s="34"/>
      <c r="K6" s="34"/>
      <c r="L6" s="34"/>
      <c r="M6" s="34"/>
      <c r="N6" s="35" t="str">
        <f>RESUMO!H6</f>
        <v>Serv Terc:</v>
      </c>
      <c r="O6" s="433">
        <f>RESUMO!I6</f>
        <v>0.1772</v>
      </c>
    </row>
    <row r="7" spans="1:15" ht="12" customHeight="1" x14ac:dyDescent="0.2">
      <c r="A7" s="33"/>
      <c r="B7" s="33"/>
      <c r="C7" s="39" t="s">
        <v>6</v>
      </c>
      <c r="D7" s="65" t="str">
        <f>RESUMO!A47</f>
        <v>U.C. : 13</v>
      </c>
      <c r="E7" s="34"/>
      <c r="F7" s="34"/>
      <c r="G7" s="39" t="s">
        <v>9</v>
      </c>
      <c r="H7"/>
      <c r="J7" s="40"/>
      <c r="K7" s="40"/>
      <c r="L7" s="40"/>
      <c r="M7" s="40" t="str">
        <f>RESUMO!G7</f>
        <v>Jun18 MOS4aEd v00</v>
      </c>
      <c r="N7" s="35" t="str">
        <f>RESUMO!H7</f>
        <v>Mat/Equip:</v>
      </c>
      <c r="O7" s="433">
        <f>RESUMO!I7</f>
        <v>0.1772</v>
      </c>
    </row>
    <row r="8" spans="1:15" ht="12" customHeight="1" thickBot="1" x14ac:dyDescent="0.25">
      <c r="A8" s="91"/>
      <c r="B8" s="92"/>
      <c r="C8" s="43" t="s">
        <v>8</v>
      </c>
      <c r="D8" s="44" t="str">
        <f>RESUMO!B47</f>
        <v>ESTAÇÃO DE TRATAMENTO DE ESGOTO - ETE</v>
      </c>
      <c r="E8" s="45"/>
      <c r="F8" s="45"/>
      <c r="G8" s="43"/>
      <c r="H8" s="2"/>
      <c r="I8" s="46"/>
      <c r="J8" s="46"/>
      <c r="K8" s="46"/>
      <c r="L8" s="46"/>
      <c r="M8" s="278" t="s">
        <v>654</v>
      </c>
      <c r="N8" s="47"/>
      <c r="O8" s="434"/>
    </row>
    <row r="9" spans="1:15" ht="12" customHeight="1" thickTop="1" x14ac:dyDescent="0.2">
      <c r="A9" s="30"/>
      <c r="B9" s="30" t="s">
        <v>10</v>
      </c>
      <c r="C9" s="31"/>
      <c r="D9" s="31"/>
      <c r="E9" s="31"/>
      <c r="F9" s="31"/>
      <c r="G9" s="32" t="s">
        <v>11</v>
      </c>
      <c r="H9" s="128" t="s">
        <v>12</v>
      </c>
      <c r="I9" s="32" t="s">
        <v>13</v>
      </c>
      <c r="J9" s="32"/>
      <c r="K9" s="32" t="s">
        <v>212</v>
      </c>
      <c r="L9" s="32"/>
      <c r="M9" s="32" t="s">
        <v>213</v>
      </c>
      <c r="N9" s="32" t="s">
        <v>14</v>
      </c>
      <c r="O9" s="32" t="s">
        <v>15</v>
      </c>
    </row>
    <row r="10" spans="1:15" ht="7.5" customHeight="1" x14ac:dyDescent="0.2">
      <c r="O10" s="19"/>
    </row>
    <row r="11" spans="1:15" ht="12" customHeight="1" x14ac:dyDescent="0.2">
      <c r="A11" s="1">
        <f>RESUMO!A50</f>
        <v>3</v>
      </c>
      <c r="B11" s="1" t="str">
        <f>RESUMO!B50</f>
        <v>URBANIZAÇÃO - MATERIAIS</v>
      </c>
      <c r="H11" s="19"/>
      <c r="O11" s="19"/>
    </row>
    <row r="12" spans="1:15" ht="12" customHeight="1" x14ac:dyDescent="0.2">
      <c r="A12" s="8" t="s">
        <v>566</v>
      </c>
      <c r="B12" s="7" t="s">
        <v>556</v>
      </c>
      <c r="K12" s="61"/>
    </row>
    <row r="13" spans="1:15" ht="12" customHeight="1" x14ac:dyDescent="0.2">
      <c r="A13" s="238"/>
      <c r="B13" s="834" t="s">
        <v>557</v>
      </c>
      <c r="C13" s="834"/>
      <c r="D13" s="834"/>
      <c r="E13" s="834"/>
      <c r="F13" s="152"/>
      <c r="G13" s="152"/>
      <c r="H13" s="162"/>
      <c r="I13" s="152"/>
      <c r="J13" s="152"/>
      <c r="K13" s="61"/>
    </row>
    <row r="14" spans="1:15" ht="12" customHeight="1" x14ac:dyDescent="0.2">
      <c r="A14" s="298" t="s">
        <v>545</v>
      </c>
      <c r="B14" s="142" t="s">
        <v>653</v>
      </c>
      <c r="C14" s="142"/>
      <c r="D14" s="142"/>
      <c r="E14" s="142"/>
      <c r="F14" s="152"/>
      <c r="G14" s="139" t="s">
        <v>24</v>
      </c>
      <c r="H14" s="189">
        <v>1</v>
      </c>
      <c r="I14" s="308">
        <v>8500</v>
      </c>
      <c r="J14" s="351"/>
      <c r="K14" s="308"/>
      <c r="L14" s="351">
        <v>8500</v>
      </c>
      <c r="M14" s="308">
        <f>L14*H14</f>
        <v>8500</v>
      </c>
      <c r="N14" s="352">
        <f>I14*H14</f>
        <v>8500</v>
      </c>
      <c r="O14" s="25">
        <f>N14/$N$16</f>
        <v>1</v>
      </c>
    </row>
    <row r="15" spans="1:15" ht="12" customHeight="1" x14ac:dyDescent="0.2">
      <c r="A15" s="239"/>
      <c r="B15" s="138"/>
      <c r="C15" s="138"/>
      <c r="D15" s="138"/>
      <c r="E15" s="138"/>
      <c r="F15" s="152"/>
      <c r="G15" s="139"/>
      <c r="H15" s="189"/>
      <c r="I15" s="353"/>
      <c r="J15" s="354"/>
      <c r="K15" s="354"/>
      <c r="L15" s="355"/>
      <c r="M15" s="355"/>
      <c r="N15" s="352"/>
      <c r="O15" s="25"/>
    </row>
    <row r="16" spans="1:15" ht="12" customHeight="1" x14ac:dyDescent="0.2">
      <c r="A16" s="152"/>
      <c r="B16" s="142" t="s">
        <v>533</v>
      </c>
      <c r="C16" s="143"/>
      <c r="D16" s="143"/>
      <c r="E16" s="143"/>
      <c r="F16" s="154"/>
      <c r="G16" s="172"/>
      <c r="H16" s="335"/>
      <c r="I16" s="356"/>
      <c r="J16" s="356"/>
      <c r="K16" s="356"/>
      <c r="L16" s="356"/>
      <c r="M16" s="356"/>
      <c r="N16" s="352">
        <f>SUM(N14:N15)</f>
        <v>8500</v>
      </c>
      <c r="O16" s="439">
        <f>N16/N18</f>
        <v>1</v>
      </c>
    </row>
    <row r="17" spans="1:16" ht="12" customHeight="1" x14ac:dyDescent="0.2">
      <c r="A17" s="152"/>
      <c r="B17" s="138"/>
      <c r="C17" s="138"/>
      <c r="D17" s="138"/>
      <c r="E17" s="138"/>
      <c r="F17" s="152"/>
      <c r="G17" s="159"/>
      <c r="H17" s="333"/>
      <c r="I17" s="355"/>
      <c r="J17" s="355"/>
      <c r="K17" s="355"/>
      <c r="L17" s="355"/>
      <c r="M17" s="355"/>
      <c r="N17" s="352"/>
      <c r="O17" s="439"/>
    </row>
    <row r="18" spans="1:16" s="74" customFormat="1" ht="12" customHeight="1" x14ac:dyDescent="0.2">
      <c r="A18" s="174"/>
      <c r="B18" s="175" t="s">
        <v>20</v>
      </c>
      <c r="C18" s="176"/>
      <c r="D18" s="176"/>
      <c r="E18" s="176"/>
      <c r="F18" s="183"/>
      <c r="G18" s="177"/>
      <c r="H18" s="337"/>
      <c r="I18" s="357"/>
      <c r="J18" s="357"/>
      <c r="K18" s="357"/>
      <c r="L18" s="357"/>
      <c r="M18" s="357"/>
      <c r="N18" s="358">
        <f>N16</f>
        <v>8500</v>
      </c>
      <c r="O18" s="440">
        <f>N18/$N$20</f>
        <v>1</v>
      </c>
    </row>
    <row r="19" spans="1:16" ht="7.5" customHeight="1" x14ac:dyDescent="0.2">
      <c r="A19" s="152"/>
      <c r="B19" s="138"/>
      <c r="C19" s="138"/>
      <c r="D19" s="138"/>
      <c r="E19" s="138"/>
      <c r="F19" s="152"/>
      <c r="G19" s="159"/>
      <c r="H19" s="333"/>
      <c r="I19" s="353"/>
      <c r="J19" s="354"/>
      <c r="K19" s="354"/>
      <c r="L19" s="355"/>
      <c r="M19" s="355"/>
      <c r="N19" s="352"/>
      <c r="O19" s="25"/>
    </row>
    <row r="20" spans="1:16" ht="12" customHeight="1" x14ac:dyDescent="0.2">
      <c r="A20" s="5"/>
      <c r="B20" s="95" t="s">
        <v>30</v>
      </c>
      <c r="C20" s="5"/>
      <c r="D20" s="5"/>
      <c r="E20" s="5"/>
      <c r="F20" s="5"/>
      <c r="G20" s="5"/>
      <c r="H20" s="350"/>
      <c r="I20" s="359"/>
      <c r="J20" s="359"/>
      <c r="K20" s="360"/>
      <c r="L20" s="360"/>
      <c r="M20" s="360">
        <f>SUM(M14:M19)</f>
        <v>8500</v>
      </c>
      <c r="N20" s="361">
        <f>N18</f>
        <v>8500</v>
      </c>
      <c r="O20" s="29"/>
      <c r="P20" s="21"/>
    </row>
    <row r="21" spans="1:16" ht="7.5" customHeight="1" x14ac:dyDescent="0.2">
      <c r="H21" s="313"/>
      <c r="I21" s="354"/>
      <c r="J21" s="354"/>
      <c r="K21" s="354"/>
      <c r="L21" s="354"/>
      <c r="M21" s="354"/>
      <c r="N21" s="354"/>
      <c r="P21" s="21"/>
    </row>
    <row r="22" spans="1:16" ht="12" customHeight="1" x14ac:dyDescent="0.2">
      <c r="A22" s="5"/>
      <c r="B22" s="95" t="s">
        <v>265</v>
      </c>
      <c r="C22" s="5"/>
      <c r="D22" s="5"/>
      <c r="E22" s="5"/>
      <c r="F22" s="5"/>
      <c r="G22" s="5"/>
      <c r="H22" s="350"/>
      <c r="I22" s="359"/>
      <c r="J22" s="359"/>
      <c r="K22" s="360"/>
      <c r="L22" s="360"/>
      <c r="M22" s="360">
        <f>M20*(1+O7)</f>
        <v>10006.200000000001</v>
      </c>
      <c r="N22" s="361">
        <f>M22</f>
        <v>10006.200000000001</v>
      </c>
      <c r="O22" s="29">
        <f>N22/RESUMO!H95</f>
        <v>1.3817885311561966E-3</v>
      </c>
      <c r="P22" s="21"/>
    </row>
    <row r="27" spans="1:16" s="9" customFormat="1" ht="12" customHeight="1" x14ac:dyDescent="0.2">
      <c r="A27"/>
      <c r="B27"/>
      <c r="C27"/>
      <c r="D27"/>
      <c r="E27"/>
      <c r="F27"/>
      <c r="G27"/>
      <c r="H27" s="52"/>
      <c r="I27"/>
      <c r="J27"/>
      <c r="K27"/>
      <c r="L27"/>
      <c r="M27"/>
      <c r="N27"/>
      <c r="O27" s="13"/>
    </row>
    <row r="28" spans="1:16" s="9" customFormat="1" ht="12" customHeight="1" x14ac:dyDescent="0.2">
      <c r="A28"/>
      <c r="B28"/>
      <c r="C28"/>
      <c r="D28"/>
      <c r="E28"/>
      <c r="F28"/>
      <c r="G28"/>
      <c r="H28" s="52"/>
      <c r="I28"/>
      <c r="J28"/>
      <c r="K28"/>
      <c r="L28"/>
      <c r="M28"/>
      <c r="N28"/>
      <c r="O28" s="13"/>
    </row>
  </sheetData>
  <mergeCells count="4">
    <mergeCell ref="A2:O2"/>
    <mergeCell ref="N4:O4"/>
    <mergeCell ref="A5:B6"/>
    <mergeCell ref="B13:E13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legacyDrawingHF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Planilha8">
    <tabColor theme="6" tint="0.39997558519241921"/>
    <pageSetUpPr fitToPage="1"/>
  </sheetPr>
  <dimension ref="A1:P144"/>
  <sheetViews>
    <sheetView view="pageBreakPreview" zoomScale="90" zoomScaleNormal="90" zoomScaleSheetLayoutView="90" workbookViewId="0">
      <selection activeCell="N142" sqref="N142"/>
    </sheetView>
  </sheetViews>
  <sheetFormatPr defaultColWidth="11.42578125" defaultRowHeight="12" customHeight="1" x14ac:dyDescent="0.2"/>
  <cols>
    <col min="1" max="5" width="11.42578125" style="51"/>
    <col min="6" max="6" width="28.5703125" style="51" customWidth="1"/>
    <col min="7" max="7" width="11.42578125" style="51"/>
    <col min="8" max="9" width="11.42578125" style="51" customWidth="1"/>
    <col min="10" max="10" width="6" style="51" hidden="1" customWidth="1"/>
    <col min="11" max="11" width="14.28515625" style="51" customWidth="1"/>
    <col min="12" max="12" width="6" style="51" hidden="1" customWidth="1"/>
    <col min="13" max="13" width="14.28515625" style="51" customWidth="1"/>
    <col min="14" max="14" width="17.140625" style="51" customWidth="1"/>
    <col min="15" max="15" width="11.42578125" style="52" customWidth="1"/>
    <col min="16" max="16384" width="11.42578125" style="51"/>
  </cols>
  <sheetData>
    <row r="1" spans="1:15" ht="6" customHeight="1" x14ac:dyDescent="0.2"/>
    <row r="2" spans="1:15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5" ht="6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95"/>
    </row>
    <row r="4" spans="1:15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5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5" ht="11.25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5" ht="12" customHeight="1" x14ac:dyDescent="0.2">
      <c r="A7" s="253"/>
      <c r="B7" s="253"/>
      <c r="C7" s="260" t="s">
        <v>6</v>
      </c>
      <c r="D7" s="263" t="str">
        <f>RESUMO!A47</f>
        <v>U.C. : 13</v>
      </c>
      <c r="E7" s="258"/>
      <c r="F7" s="258"/>
      <c r="G7" s="260" t="s">
        <v>9</v>
      </c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5" ht="12" customHeight="1" thickBot="1" x14ac:dyDescent="0.25">
      <c r="A8" s="124"/>
      <c r="B8" s="125"/>
      <c r="C8" s="266" t="s">
        <v>8</v>
      </c>
      <c r="D8" s="267" t="str">
        <f>RESUMO!B47</f>
        <v>ESTAÇÃO DE TRATAMENTO DE ESGOTO - ETE</v>
      </c>
      <c r="E8" s="268"/>
      <c r="F8" s="268"/>
      <c r="G8" s="266"/>
      <c r="H8" s="123"/>
      <c r="I8" s="278"/>
      <c r="J8" s="278"/>
      <c r="K8" s="278"/>
      <c r="L8" s="278"/>
      <c r="M8" s="278"/>
      <c r="N8" s="271"/>
      <c r="O8" s="427"/>
    </row>
    <row r="9" spans="1:15" ht="11.25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5" ht="6" customHeight="1" x14ac:dyDescent="0.2">
      <c r="O10" s="19"/>
    </row>
    <row r="11" spans="1:15" ht="12" customHeight="1" x14ac:dyDescent="0.2">
      <c r="A11" s="93">
        <f>RESUMO!A51</f>
        <v>4</v>
      </c>
      <c r="B11" s="93" t="str">
        <f>RESUMO!B51</f>
        <v>INTERLIGAÇÕES - SERVIÇOS</v>
      </c>
      <c r="H11" s="61"/>
      <c r="O11" s="19"/>
    </row>
    <row r="12" spans="1:15" ht="12" customHeight="1" x14ac:dyDescent="0.2">
      <c r="A12" s="129" t="s">
        <v>48</v>
      </c>
      <c r="B12" s="88" t="s">
        <v>16</v>
      </c>
      <c r="H12" s="61"/>
      <c r="O12" s="19"/>
    </row>
    <row r="13" spans="1:15" ht="12" customHeight="1" x14ac:dyDescent="0.2">
      <c r="A13" s="129" t="s">
        <v>79</v>
      </c>
      <c r="B13" s="88" t="s">
        <v>80</v>
      </c>
      <c r="H13" s="61"/>
      <c r="O13" s="19"/>
    </row>
    <row r="14" spans="1:15" ht="12" customHeight="1" x14ac:dyDescent="0.2">
      <c r="A14" s="129" t="s">
        <v>209</v>
      </c>
      <c r="B14" s="88" t="s">
        <v>210</v>
      </c>
      <c r="G14" s="97" t="s">
        <v>17</v>
      </c>
      <c r="H14" s="495">
        <v>709.55</v>
      </c>
      <c r="I14" s="323">
        <f>VLOOKUP(A14,'[1]TAB OGU JUN18'!$A:$G,6,"falso")</f>
        <v>1.2</v>
      </c>
      <c r="J14" s="323">
        <f>VLOOKUP(A14,'[1]TAB OGU JUN18'!$A:$G,4,"falso")</f>
        <v>0.82</v>
      </c>
      <c r="K14" s="308">
        <f>H14*J14</f>
        <v>581.8309999999999</v>
      </c>
      <c r="L14" s="323">
        <f>VLOOKUP(A14,'[1]TAB OGU JUN18'!$A:$G,5,"falso")</f>
        <v>0.38</v>
      </c>
      <c r="M14" s="308">
        <f>L14*H14</f>
        <v>269.62899999999996</v>
      </c>
      <c r="N14" s="308">
        <f>H14*I14</f>
        <v>851.45999999999992</v>
      </c>
      <c r="O14" s="25">
        <f>N14/N17</f>
        <v>1</v>
      </c>
    </row>
    <row r="15" spans="1:15" ht="12" customHeight="1" x14ac:dyDescent="0.2">
      <c r="B15" s="258" t="s">
        <v>211</v>
      </c>
      <c r="G15" s="52"/>
      <c r="H15" s="324"/>
      <c r="I15" s="323"/>
      <c r="J15" s="323"/>
      <c r="K15" s="313"/>
      <c r="L15" s="323"/>
      <c r="M15" s="313"/>
      <c r="N15" s="309"/>
      <c r="O15" s="25"/>
    </row>
    <row r="16" spans="1:15" ht="12" customHeight="1" x14ac:dyDescent="0.2">
      <c r="G16" s="52"/>
      <c r="H16" s="324"/>
      <c r="I16" s="323"/>
      <c r="J16" s="323"/>
      <c r="K16" s="313"/>
      <c r="L16" s="323"/>
      <c r="M16" s="313"/>
      <c r="N16" s="309"/>
      <c r="O16" s="25"/>
    </row>
    <row r="17" spans="1:15" ht="12" customHeight="1" x14ac:dyDescent="0.2">
      <c r="B17" s="130" t="s">
        <v>18</v>
      </c>
      <c r="C17" s="131"/>
      <c r="D17" s="131"/>
      <c r="E17" s="131"/>
      <c r="F17" s="131"/>
      <c r="G17" s="53"/>
      <c r="H17" s="325"/>
      <c r="I17" s="582"/>
      <c r="J17" s="582"/>
      <c r="K17" s="326"/>
      <c r="L17" s="582"/>
      <c r="M17" s="326"/>
      <c r="N17" s="308">
        <f>SUM(N14:N14)</f>
        <v>851.45999999999992</v>
      </c>
      <c r="O17" s="25">
        <f>N17/N24</f>
        <v>0.75</v>
      </c>
    </row>
    <row r="18" spans="1:15" ht="12" customHeight="1" x14ac:dyDescent="0.2">
      <c r="B18" s="130"/>
      <c r="G18" s="52"/>
      <c r="H18" s="324"/>
      <c r="I18" s="323"/>
      <c r="J18" s="323"/>
      <c r="K18" s="313"/>
      <c r="L18" s="323"/>
      <c r="M18" s="313"/>
      <c r="N18" s="308"/>
      <c r="O18" s="25"/>
    </row>
    <row r="19" spans="1:15" ht="12" customHeight="1" x14ac:dyDescent="0.2">
      <c r="A19" s="129" t="s">
        <v>779</v>
      </c>
      <c r="B19" s="88" t="s">
        <v>780</v>
      </c>
      <c r="H19" s="61"/>
      <c r="I19" s="323"/>
      <c r="J19" s="323"/>
      <c r="L19" s="323"/>
      <c r="O19" s="19"/>
    </row>
    <row r="20" spans="1:15" ht="12" customHeight="1" x14ac:dyDescent="0.2">
      <c r="A20" s="129" t="s">
        <v>782</v>
      </c>
      <c r="B20" s="88" t="s">
        <v>781</v>
      </c>
      <c r="G20" s="97" t="s">
        <v>17</v>
      </c>
      <c r="H20" s="308">
        <f>H14</f>
        <v>709.55</v>
      </c>
      <c r="I20" s="323">
        <f>VLOOKUP(A20,'[1]TAB OGU JUN18'!$A:$G,6,"falso")</f>
        <v>0.4</v>
      </c>
      <c r="J20" s="323">
        <f>VLOOKUP(A20,'[1]TAB OGU JUN18'!$A:$G,4,"falso")</f>
        <v>0.4</v>
      </c>
      <c r="K20" s="308">
        <f>H20*J20</f>
        <v>283.82</v>
      </c>
      <c r="L20" s="323">
        <f>VLOOKUP(A20,'[1]TAB OGU JUN18'!$A:$G,5,"falso")</f>
        <v>0</v>
      </c>
      <c r="M20" s="308"/>
      <c r="N20" s="308">
        <f>H20*I20</f>
        <v>283.82</v>
      </c>
      <c r="O20" s="25">
        <f>N20/N22</f>
        <v>1</v>
      </c>
    </row>
    <row r="21" spans="1:15" ht="12" customHeight="1" x14ac:dyDescent="0.2">
      <c r="G21" s="52"/>
      <c r="H21" s="324"/>
      <c r="I21" s="323"/>
      <c r="J21" s="323"/>
      <c r="K21" s="313"/>
      <c r="L21" s="323"/>
      <c r="M21" s="313"/>
      <c r="N21" s="309"/>
      <c r="O21" s="25"/>
    </row>
    <row r="22" spans="1:15" ht="12" customHeight="1" x14ac:dyDescent="0.2">
      <c r="B22" s="130" t="s">
        <v>18</v>
      </c>
      <c r="C22" s="131"/>
      <c r="D22" s="131"/>
      <c r="E22" s="131"/>
      <c r="F22" s="131"/>
      <c r="G22" s="53"/>
      <c r="H22" s="325"/>
      <c r="I22" s="582"/>
      <c r="J22" s="582"/>
      <c r="K22" s="326"/>
      <c r="L22" s="582"/>
      <c r="M22" s="326"/>
      <c r="N22" s="308">
        <f>SUM(N20:N20)</f>
        <v>283.82</v>
      </c>
      <c r="O22" s="25">
        <f>N22/N24</f>
        <v>0.25</v>
      </c>
    </row>
    <row r="23" spans="1:15" ht="12" customHeight="1" x14ac:dyDescent="0.2">
      <c r="B23" s="130"/>
      <c r="G23" s="52"/>
      <c r="H23" s="324"/>
      <c r="I23" s="323"/>
      <c r="J23" s="323"/>
      <c r="K23" s="313"/>
      <c r="L23" s="323"/>
      <c r="M23" s="313"/>
      <c r="N23" s="308"/>
      <c r="O23" s="25"/>
    </row>
    <row r="24" spans="1:15" s="132" customFormat="1" ht="12" customHeight="1" x14ac:dyDescent="0.2">
      <c r="B24" s="133" t="s">
        <v>20</v>
      </c>
      <c r="C24" s="134"/>
      <c r="D24" s="134"/>
      <c r="E24" s="134"/>
      <c r="F24" s="134"/>
      <c r="G24" s="78"/>
      <c r="H24" s="327"/>
      <c r="I24" s="582"/>
      <c r="J24" s="582"/>
      <c r="K24" s="328"/>
      <c r="L24" s="582"/>
      <c r="M24" s="328"/>
      <c r="N24" s="310">
        <f>N17+N22</f>
        <v>1135.28</v>
      </c>
      <c r="O24" s="77">
        <f>N24/N136</f>
        <v>3.3257756603680508E-2</v>
      </c>
    </row>
    <row r="25" spans="1:15" ht="12" customHeight="1" x14ac:dyDescent="0.2">
      <c r="B25" s="130"/>
      <c r="G25" s="52"/>
      <c r="H25" s="324"/>
      <c r="I25" s="323"/>
      <c r="J25" s="323"/>
      <c r="K25" s="313"/>
      <c r="L25" s="323"/>
      <c r="M25" s="313"/>
      <c r="N25" s="308"/>
      <c r="O25" s="25"/>
    </row>
    <row r="26" spans="1:15" ht="12" customHeight="1" x14ac:dyDescent="0.2">
      <c r="A26" s="129" t="s">
        <v>93</v>
      </c>
      <c r="B26" s="88" t="s">
        <v>96</v>
      </c>
      <c r="H26" s="329"/>
      <c r="I26" s="323"/>
      <c r="J26" s="323"/>
      <c r="K26" s="311"/>
      <c r="L26" s="323"/>
      <c r="M26" s="311"/>
      <c r="N26" s="311"/>
      <c r="O26" s="19"/>
    </row>
    <row r="27" spans="1:15" ht="12" customHeight="1" x14ac:dyDescent="0.2">
      <c r="A27" s="129" t="s">
        <v>94</v>
      </c>
      <c r="B27" s="88" t="s">
        <v>97</v>
      </c>
      <c r="H27" s="329"/>
      <c r="I27" s="323"/>
      <c r="J27" s="323"/>
      <c r="K27" s="311"/>
      <c r="L27" s="323"/>
      <c r="M27" s="311"/>
      <c r="N27" s="311"/>
      <c r="O27" s="19"/>
    </row>
    <row r="28" spans="1:15" ht="12" customHeight="1" x14ac:dyDescent="0.2">
      <c r="A28" s="129" t="s">
        <v>95</v>
      </c>
      <c r="B28" s="88" t="s">
        <v>641</v>
      </c>
      <c r="G28" s="97" t="s">
        <v>32</v>
      </c>
      <c r="H28" s="308">
        <f>H14*1*0.65*0.2</f>
        <v>92.241500000000002</v>
      </c>
      <c r="I28" s="323">
        <f>VLOOKUP(A28,'[1]TAB OGU JUN18'!$A:$G,6,"falso")</f>
        <v>32.9</v>
      </c>
      <c r="J28" s="323">
        <f>VLOOKUP(A28,'[1]TAB OGU JUN18'!$A:$G,4,"falso")</f>
        <v>32.9</v>
      </c>
      <c r="K28" s="308">
        <f>H28*J28</f>
        <v>3034.7453500000001</v>
      </c>
      <c r="L28" s="323">
        <f>VLOOKUP(A28,'[1]TAB OGU JUN18'!$A:$G,5,"falso")</f>
        <v>0</v>
      </c>
      <c r="M28" s="308"/>
      <c r="N28" s="308">
        <f>H28*I28</f>
        <v>3034.7453500000001</v>
      </c>
      <c r="O28" s="25">
        <f>N28/N31</f>
        <v>0.61535584026933499</v>
      </c>
    </row>
    <row r="29" spans="1:15" ht="12" customHeight="1" x14ac:dyDescent="0.2">
      <c r="A29" s="129" t="s">
        <v>261</v>
      </c>
      <c r="B29" s="88" t="s">
        <v>643</v>
      </c>
      <c r="G29" s="97" t="s">
        <v>32</v>
      </c>
      <c r="H29" s="308">
        <f>H14*1*0.65*0.1</f>
        <v>46.120750000000001</v>
      </c>
      <c r="I29" s="323">
        <f>VLOOKUP(A29,'[1]TAB OGU JUN18'!$A:$G,6,"falso")</f>
        <v>41.13</v>
      </c>
      <c r="J29" s="323">
        <f>VLOOKUP(A29,'[1]TAB OGU JUN18'!$A:$G,4,"falso")</f>
        <v>41.13</v>
      </c>
      <c r="K29" s="308">
        <f>H29*J29</f>
        <v>1896.9464475000002</v>
      </c>
      <c r="L29" s="323">
        <f>VLOOKUP(A29,'[1]TAB OGU JUN18'!$A:$G,5,"falso")</f>
        <v>0</v>
      </c>
      <c r="M29" s="308"/>
      <c r="N29" s="308">
        <f>H29*I29</f>
        <v>1896.9464475000002</v>
      </c>
      <c r="O29" s="25">
        <f>N29/N31</f>
        <v>0.3846441597306649</v>
      </c>
    </row>
    <row r="30" spans="1:15" ht="12" customHeight="1" x14ac:dyDescent="0.2">
      <c r="G30" s="52"/>
      <c r="H30" s="324"/>
      <c r="I30" s="323"/>
      <c r="J30" s="323"/>
      <c r="K30" s="313"/>
      <c r="L30" s="323"/>
      <c r="M30" s="313"/>
      <c r="N30" s="309"/>
      <c r="O30" s="25"/>
    </row>
    <row r="31" spans="1:15" ht="12" customHeight="1" x14ac:dyDescent="0.2">
      <c r="B31" s="130" t="s">
        <v>18</v>
      </c>
      <c r="C31" s="131"/>
      <c r="D31" s="131"/>
      <c r="E31" s="131"/>
      <c r="F31" s="131"/>
      <c r="G31" s="53"/>
      <c r="H31" s="325"/>
      <c r="I31" s="582"/>
      <c r="J31" s="582"/>
      <c r="K31" s="326"/>
      <c r="L31" s="582"/>
      <c r="M31" s="326"/>
      <c r="N31" s="308">
        <f>SUM(N28:N29)</f>
        <v>4931.6917975000006</v>
      </c>
      <c r="O31" s="25">
        <f>N31/N60</f>
        <v>0.38388425672461612</v>
      </c>
    </row>
    <row r="32" spans="1:15" ht="12" customHeight="1" x14ac:dyDescent="0.2">
      <c r="B32" s="130"/>
      <c r="G32" s="52"/>
      <c r="H32" s="324"/>
      <c r="I32" s="323"/>
      <c r="J32" s="323"/>
      <c r="K32" s="313"/>
      <c r="L32" s="323"/>
      <c r="M32" s="313"/>
      <c r="N32" s="308"/>
      <c r="O32" s="25"/>
    </row>
    <row r="33" spans="1:15" ht="12" customHeight="1" x14ac:dyDescent="0.2">
      <c r="A33" s="98" t="s">
        <v>98</v>
      </c>
      <c r="B33" s="88" t="s">
        <v>100</v>
      </c>
      <c r="G33" s="52"/>
      <c r="H33" s="324"/>
      <c r="I33" s="323"/>
      <c r="J33" s="323"/>
      <c r="K33" s="313"/>
      <c r="L33" s="323"/>
      <c r="M33" s="313"/>
      <c r="N33" s="313"/>
      <c r="O33" s="19"/>
    </row>
    <row r="34" spans="1:15" ht="12" customHeight="1" x14ac:dyDescent="0.2">
      <c r="A34" s="98" t="s">
        <v>99</v>
      </c>
      <c r="B34" s="88" t="s">
        <v>227</v>
      </c>
      <c r="G34" s="97" t="s">
        <v>32</v>
      </c>
      <c r="H34" s="308">
        <f>H14*0.65*0.7</f>
        <v>322.84524999999996</v>
      </c>
      <c r="I34" s="323">
        <f>VLOOKUP(A34,'[1]TAB OGU JUN18'!$A:$G,6,"falso")</f>
        <v>9.77</v>
      </c>
      <c r="J34" s="323">
        <f>VLOOKUP(A34,'[1]TAB OGU JUN18'!$A:$G,4,"falso")</f>
        <v>9.77</v>
      </c>
      <c r="K34" s="308">
        <f>H34*J34</f>
        <v>3154.1980924999993</v>
      </c>
      <c r="L34" s="323">
        <f>VLOOKUP(A34,'[1]TAB OGU JUN18'!$A:$G,5,"falso")</f>
        <v>0</v>
      </c>
      <c r="M34" s="308"/>
      <c r="N34" s="308">
        <f>H34*I34</f>
        <v>3154.1980924999993</v>
      </c>
      <c r="O34" s="25">
        <f>N34/N36</f>
        <v>1</v>
      </c>
    </row>
    <row r="35" spans="1:15" ht="12" customHeight="1" x14ac:dyDescent="0.2">
      <c r="G35" s="52"/>
      <c r="H35" s="324"/>
      <c r="I35" s="323"/>
      <c r="J35" s="323"/>
      <c r="K35" s="313"/>
      <c r="L35" s="323"/>
      <c r="M35" s="313"/>
      <c r="N35" s="313"/>
      <c r="O35" s="19"/>
    </row>
    <row r="36" spans="1:15" ht="12" customHeight="1" x14ac:dyDescent="0.2">
      <c r="B36" s="130" t="s">
        <v>18</v>
      </c>
      <c r="C36" s="131"/>
      <c r="D36" s="131"/>
      <c r="E36" s="131"/>
      <c r="F36" s="131"/>
      <c r="G36" s="53"/>
      <c r="H36" s="325"/>
      <c r="I36" s="582"/>
      <c r="J36" s="582"/>
      <c r="K36" s="326"/>
      <c r="L36" s="582"/>
      <c r="M36" s="326"/>
      <c r="N36" s="308">
        <f>N34</f>
        <v>3154.1980924999993</v>
      </c>
      <c r="O36" s="25">
        <f>N36/N60</f>
        <v>0.24552365395489095</v>
      </c>
    </row>
    <row r="37" spans="1:15" ht="12" customHeight="1" x14ac:dyDescent="0.2">
      <c r="B37" s="130"/>
      <c r="G37" s="52"/>
      <c r="H37" s="324"/>
      <c r="I37" s="323"/>
      <c r="J37" s="323"/>
      <c r="K37" s="313"/>
      <c r="L37" s="323"/>
      <c r="M37" s="313"/>
      <c r="N37" s="308"/>
      <c r="O37" s="25"/>
    </row>
    <row r="38" spans="1:15" ht="12" customHeight="1" x14ac:dyDescent="0.2">
      <c r="A38" s="98" t="s">
        <v>101</v>
      </c>
      <c r="B38" s="88" t="s">
        <v>21</v>
      </c>
      <c r="G38" s="97"/>
      <c r="H38" s="308"/>
      <c r="I38" s="323"/>
      <c r="J38" s="323"/>
      <c r="K38" s="308"/>
      <c r="L38" s="323"/>
      <c r="M38" s="308"/>
      <c r="N38" s="308"/>
      <c r="O38" s="25"/>
    </row>
    <row r="39" spans="1:15" ht="12" customHeight="1" x14ac:dyDescent="0.2">
      <c r="A39" s="98" t="s">
        <v>102</v>
      </c>
      <c r="B39" s="88" t="s">
        <v>104</v>
      </c>
      <c r="G39" s="97" t="s">
        <v>32</v>
      </c>
      <c r="H39" s="308">
        <f>(H28+H29)*0.75</f>
        <v>103.77168750000001</v>
      </c>
      <c r="I39" s="323">
        <f>VLOOKUP(A39,'[1]TAB OGU JUN18'!$A:$G,6,"falso")</f>
        <v>7.4</v>
      </c>
      <c r="J39" s="323">
        <f>VLOOKUP(A39,'[1]TAB OGU JUN18'!$A:$G,4,"falso")</f>
        <v>7.4</v>
      </c>
      <c r="K39" s="308">
        <f>H39*J39</f>
        <v>767.91048750000016</v>
      </c>
      <c r="L39" s="323">
        <f>VLOOKUP(A39,'[1]TAB OGU JUN18'!$A:$G,5,"falso")</f>
        <v>0</v>
      </c>
      <c r="M39" s="308"/>
      <c r="N39" s="308">
        <f>H39*I39</f>
        <v>767.91048750000016</v>
      </c>
      <c r="O39" s="25">
        <f>N39/N42</f>
        <v>0.70610687022900775</v>
      </c>
    </row>
    <row r="40" spans="1:15" ht="12" customHeight="1" x14ac:dyDescent="0.2">
      <c r="A40" s="98" t="s">
        <v>103</v>
      </c>
      <c r="B40" s="88" t="s">
        <v>105</v>
      </c>
      <c r="G40" s="97" t="s">
        <v>32</v>
      </c>
      <c r="H40" s="308">
        <f>H34*0.75</f>
        <v>242.13393749999997</v>
      </c>
      <c r="I40" s="323">
        <f>VLOOKUP(A40,'[1]TAB OGU JUN18'!$A:$G,6,"falso")</f>
        <v>1.32</v>
      </c>
      <c r="J40" s="323">
        <f>VLOOKUP(A40,'[1]TAB OGU JUN18'!$A:$G,4,"falso")</f>
        <v>1.32</v>
      </c>
      <c r="K40" s="308">
        <f>H40*J40</f>
        <v>319.61679749999996</v>
      </c>
      <c r="L40" s="323">
        <f>VLOOKUP(A40,'[1]TAB OGU JUN18'!$A:$G,5,"falso")</f>
        <v>0</v>
      </c>
      <c r="M40" s="308"/>
      <c r="N40" s="308">
        <f>H40*I40</f>
        <v>319.61679749999996</v>
      </c>
      <c r="O40" s="25">
        <f>N40/N42</f>
        <v>0.2938931297709923</v>
      </c>
    </row>
    <row r="41" spans="1:15" ht="12" customHeight="1" x14ac:dyDescent="0.2">
      <c r="B41" s="130"/>
      <c r="G41" s="52"/>
      <c r="H41" s="324"/>
      <c r="I41" s="323"/>
      <c r="J41" s="323"/>
      <c r="K41" s="313"/>
      <c r="L41" s="323"/>
      <c r="M41" s="313"/>
      <c r="N41" s="308"/>
      <c r="O41" s="25"/>
    </row>
    <row r="42" spans="1:15" ht="12" customHeight="1" x14ac:dyDescent="0.2">
      <c r="B42" s="130" t="s">
        <v>18</v>
      </c>
      <c r="C42" s="131"/>
      <c r="D42" s="131"/>
      <c r="E42" s="131"/>
      <c r="F42" s="131"/>
      <c r="G42" s="53"/>
      <c r="H42" s="325"/>
      <c r="I42" s="582"/>
      <c r="J42" s="582"/>
      <c r="K42" s="326"/>
      <c r="L42" s="582"/>
      <c r="M42" s="326"/>
      <c r="N42" s="308">
        <f>N40+N39</f>
        <v>1087.5272850000001</v>
      </c>
      <c r="O42" s="25">
        <f>N42/N60</f>
        <v>8.4653425358332077E-2</v>
      </c>
    </row>
    <row r="43" spans="1:15" ht="12" customHeight="1" x14ac:dyDescent="0.2">
      <c r="B43" s="130"/>
      <c r="G43" s="52"/>
      <c r="H43" s="324"/>
      <c r="I43" s="323"/>
      <c r="J43" s="323"/>
      <c r="K43" s="313"/>
      <c r="L43" s="323"/>
      <c r="M43" s="313"/>
      <c r="N43" s="308"/>
      <c r="O43" s="25"/>
    </row>
    <row r="44" spans="1:15" ht="12" customHeight="1" x14ac:dyDescent="0.2">
      <c r="A44" s="98" t="s">
        <v>106</v>
      </c>
      <c r="B44" s="88" t="s">
        <v>109</v>
      </c>
      <c r="G44" s="97"/>
      <c r="H44" s="308"/>
      <c r="I44" s="323"/>
      <c r="J44" s="323"/>
      <c r="K44" s="308"/>
      <c r="L44" s="323"/>
      <c r="M44" s="308"/>
      <c r="N44" s="308"/>
      <c r="O44" s="25"/>
    </row>
    <row r="45" spans="1:15" ht="12" customHeight="1" x14ac:dyDescent="0.2">
      <c r="A45" s="98" t="s">
        <v>107</v>
      </c>
      <c r="B45" s="88" t="s">
        <v>104</v>
      </c>
      <c r="G45" s="97" t="s">
        <v>32</v>
      </c>
      <c r="H45" s="308">
        <f>H39</f>
        <v>103.77168750000001</v>
      </c>
      <c r="I45" s="323">
        <f>VLOOKUP(A45,'[1]TAB OGU JUN18'!$A:$G,6,"falso")</f>
        <v>20.56</v>
      </c>
      <c r="J45" s="323">
        <f>VLOOKUP(A45,'[1]TAB OGU JUN18'!$A:$G,4,"falso")</f>
        <v>20.56</v>
      </c>
      <c r="K45" s="308">
        <f>H45*J45</f>
        <v>2133.5458950000002</v>
      </c>
      <c r="L45" s="323">
        <f>VLOOKUP(A45,'[1]TAB OGU JUN18'!$A:$G,5,"falso")</f>
        <v>0</v>
      </c>
      <c r="M45" s="308"/>
      <c r="N45" s="308">
        <f>H45*I45</f>
        <v>2133.5458950000002</v>
      </c>
      <c r="O45" s="25">
        <f>N45/N48</f>
        <v>0.68510496501166274</v>
      </c>
    </row>
    <row r="46" spans="1:15" ht="12" customHeight="1" x14ac:dyDescent="0.2">
      <c r="A46" s="98" t="s">
        <v>108</v>
      </c>
      <c r="B46" s="88" t="s">
        <v>105</v>
      </c>
      <c r="G46" s="97" t="s">
        <v>32</v>
      </c>
      <c r="H46" s="308">
        <f>H40</f>
        <v>242.13393749999997</v>
      </c>
      <c r="I46" s="323">
        <f>VLOOKUP(A46,'[1]TAB OGU JUN18'!$A:$G,6,"falso")</f>
        <v>4.05</v>
      </c>
      <c r="J46" s="323">
        <f>VLOOKUP(A46,'[1]TAB OGU JUN18'!$A:$G,4,"falso")</f>
        <v>4.05</v>
      </c>
      <c r="K46" s="308">
        <f>H46*J46</f>
        <v>980.64244687499991</v>
      </c>
      <c r="L46" s="323">
        <f>VLOOKUP(A46,'[1]TAB OGU JUN18'!$A:$G,5,"falso")</f>
        <v>0</v>
      </c>
      <c r="M46" s="308"/>
      <c r="N46" s="308">
        <f>H46*I46</f>
        <v>980.64244687499991</v>
      </c>
      <c r="O46" s="25">
        <f>N46/N48</f>
        <v>0.31489503498833715</v>
      </c>
    </row>
    <row r="47" spans="1:15" ht="12" customHeight="1" x14ac:dyDescent="0.2">
      <c r="B47" s="130"/>
      <c r="G47" s="52"/>
      <c r="H47" s="324"/>
      <c r="I47" s="323"/>
      <c r="J47" s="323"/>
      <c r="K47" s="313"/>
      <c r="L47" s="323"/>
      <c r="M47" s="313"/>
      <c r="N47" s="308"/>
      <c r="O47" s="25"/>
    </row>
    <row r="48" spans="1:15" ht="12" customHeight="1" x14ac:dyDescent="0.2">
      <c r="B48" s="130" t="s">
        <v>18</v>
      </c>
      <c r="C48" s="131"/>
      <c r="D48" s="131"/>
      <c r="E48" s="131"/>
      <c r="F48" s="131"/>
      <c r="G48" s="53"/>
      <c r="H48" s="325"/>
      <c r="I48" s="582"/>
      <c r="J48" s="582"/>
      <c r="K48" s="326"/>
      <c r="L48" s="582"/>
      <c r="M48" s="326"/>
      <c r="N48" s="308">
        <f>N46+N45</f>
        <v>3114.1883418750003</v>
      </c>
      <c r="O48" s="25">
        <f>N48/N60</f>
        <v>0.24240928387438412</v>
      </c>
    </row>
    <row r="49" spans="1:15" ht="12" customHeight="1" x14ac:dyDescent="0.2">
      <c r="B49" s="130"/>
      <c r="G49" s="52"/>
      <c r="H49" s="324"/>
      <c r="I49" s="323"/>
      <c r="J49" s="323"/>
      <c r="K49" s="313"/>
      <c r="L49" s="323"/>
      <c r="M49" s="313"/>
      <c r="N49" s="308"/>
      <c r="O49" s="25"/>
    </row>
    <row r="50" spans="1:15" ht="12" customHeight="1" x14ac:dyDescent="0.2">
      <c r="A50" s="98" t="s">
        <v>110</v>
      </c>
      <c r="B50" s="88" t="s">
        <v>112</v>
      </c>
      <c r="G50" s="52"/>
      <c r="H50" s="324"/>
      <c r="I50" s="323"/>
      <c r="J50" s="323"/>
      <c r="K50" s="313"/>
      <c r="L50" s="323"/>
      <c r="M50" s="313"/>
      <c r="N50" s="313"/>
      <c r="O50" s="19"/>
    </row>
    <row r="51" spans="1:15" ht="12" customHeight="1" x14ac:dyDescent="0.2">
      <c r="A51" s="98" t="s">
        <v>111</v>
      </c>
      <c r="B51" s="88" t="s">
        <v>113</v>
      </c>
      <c r="G51" s="97" t="s">
        <v>32</v>
      </c>
      <c r="H51" s="308">
        <f>(H28+H29+H34)-(H39+H40)</f>
        <v>115.301875</v>
      </c>
      <c r="I51" s="323">
        <f>VLOOKUP(A51,'[1]TAB OGU JUN18'!$A:$G,6,"falso")</f>
        <v>1.85</v>
      </c>
      <c r="J51" s="323">
        <f>VLOOKUP(A51,'[1]TAB OGU JUN18'!$A:$G,4,"falso")</f>
        <v>1.85</v>
      </c>
      <c r="K51" s="308">
        <f>H51*J51</f>
        <v>213.30846875</v>
      </c>
      <c r="L51" s="323">
        <f>VLOOKUP(A51,'[1]TAB OGU JUN18'!$A:$G,5,"falso")</f>
        <v>0</v>
      </c>
      <c r="M51" s="308"/>
      <c r="N51" s="308">
        <f>H51*I51</f>
        <v>213.30846875</v>
      </c>
      <c r="O51" s="25">
        <f>N51/N53</f>
        <v>1</v>
      </c>
    </row>
    <row r="52" spans="1:15" ht="12" customHeight="1" x14ac:dyDescent="0.2">
      <c r="G52" s="52"/>
      <c r="H52" s="324"/>
      <c r="I52" s="323"/>
      <c r="J52" s="323"/>
      <c r="K52" s="313"/>
      <c r="L52" s="323"/>
      <c r="M52" s="313"/>
      <c r="N52" s="313"/>
      <c r="O52" s="19"/>
    </row>
    <row r="53" spans="1:15" ht="12" customHeight="1" x14ac:dyDescent="0.2">
      <c r="B53" s="130" t="s">
        <v>18</v>
      </c>
      <c r="C53" s="131"/>
      <c r="D53" s="131"/>
      <c r="E53" s="131"/>
      <c r="F53" s="131"/>
      <c r="G53" s="53"/>
      <c r="H53" s="325"/>
      <c r="I53" s="582"/>
      <c r="J53" s="582"/>
      <c r="K53" s="326"/>
      <c r="L53" s="582"/>
      <c r="M53" s="326"/>
      <c r="N53" s="308">
        <f>N51</f>
        <v>213.30846875</v>
      </c>
      <c r="O53" s="25">
        <f>N53/N60</f>
        <v>1.6603990342760212E-2</v>
      </c>
    </row>
    <row r="54" spans="1:15" ht="12" customHeight="1" x14ac:dyDescent="0.2">
      <c r="B54" s="130"/>
      <c r="G54" s="52"/>
      <c r="H54" s="324"/>
      <c r="I54" s="323"/>
      <c r="J54" s="323"/>
      <c r="K54" s="313"/>
      <c r="L54" s="323"/>
      <c r="M54" s="313"/>
      <c r="N54" s="308"/>
      <c r="O54" s="25"/>
    </row>
    <row r="55" spans="1:15" ht="12" customHeight="1" x14ac:dyDescent="0.2">
      <c r="A55" s="98" t="s">
        <v>114</v>
      </c>
      <c r="B55" s="88" t="s">
        <v>737</v>
      </c>
      <c r="G55" s="52"/>
      <c r="H55" s="324"/>
      <c r="I55" s="323"/>
      <c r="J55" s="323"/>
      <c r="K55" s="313"/>
      <c r="L55" s="323"/>
      <c r="M55" s="313"/>
      <c r="N55" s="313"/>
      <c r="O55" s="19"/>
    </row>
    <row r="56" spans="1:15" ht="12" customHeight="1" x14ac:dyDescent="0.2">
      <c r="A56" s="98" t="s">
        <v>115</v>
      </c>
      <c r="B56" s="88" t="s">
        <v>116</v>
      </c>
      <c r="G56" s="97" t="s">
        <v>180</v>
      </c>
      <c r="H56" s="308">
        <f>H51*3</f>
        <v>345.90562499999999</v>
      </c>
      <c r="I56" s="323">
        <f>VLOOKUP(A56,'[1]TAB OGU JUN18'!$A:$G,6,"falso")</f>
        <v>1</v>
      </c>
      <c r="J56" s="323">
        <f>VLOOKUP(A56,'[1]TAB OGU JUN18'!$A:$G,4,"falso")</f>
        <v>1</v>
      </c>
      <c r="K56" s="308">
        <f>H56*J56</f>
        <v>345.90562499999999</v>
      </c>
      <c r="L56" s="323">
        <f>VLOOKUP(A56,'[1]TAB OGU JUN18'!$A:$G,5,"falso")</f>
        <v>0</v>
      </c>
      <c r="M56" s="308"/>
      <c r="N56" s="308">
        <f>H56*I56</f>
        <v>345.90562499999999</v>
      </c>
      <c r="O56" s="25">
        <f>N56/N58</f>
        <v>1</v>
      </c>
    </row>
    <row r="57" spans="1:15" ht="12" customHeight="1" x14ac:dyDescent="0.2">
      <c r="G57" s="52"/>
      <c r="H57" s="324"/>
      <c r="I57" s="323"/>
      <c r="J57" s="323"/>
      <c r="K57" s="313"/>
      <c r="L57" s="323"/>
      <c r="M57" s="313"/>
      <c r="N57" s="313"/>
      <c r="O57" s="19"/>
    </row>
    <row r="58" spans="1:15" ht="12" customHeight="1" x14ac:dyDescent="0.2">
      <c r="B58" s="130" t="s">
        <v>18</v>
      </c>
      <c r="C58" s="131"/>
      <c r="D58" s="131"/>
      <c r="E58" s="131"/>
      <c r="F58" s="131"/>
      <c r="G58" s="53"/>
      <c r="H58" s="325"/>
      <c r="I58" s="582"/>
      <c r="J58" s="582"/>
      <c r="K58" s="326"/>
      <c r="L58" s="582"/>
      <c r="M58" s="326"/>
      <c r="N58" s="308">
        <f>N56</f>
        <v>345.90562499999999</v>
      </c>
      <c r="O58" s="25">
        <f>N58/N60</f>
        <v>2.692538974501656E-2</v>
      </c>
    </row>
    <row r="59" spans="1:15" ht="12" customHeight="1" x14ac:dyDescent="0.2">
      <c r="B59" s="130"/>
      <c r="G59" s="52"/>
      <c r="H59" s="324"/>
      <c r="I59" s="323"/>
      <c r="J59" s="323"/>
      <c r="K59" s="313"/>
      <c r="L59" s="323"/>
      <c r="M59" s="313"/>
      <c r="N59" s="308"/>
      <c r="O59" s="25"/>
    </row>
    <row r="60" spans="1:15" s="132" customFormat="1" ht="12" customHeight="1" x14ac:dyDescent="0.2">
      <c r="B60" s="133" t="s">
        <v>20</v>
      </c>
      <c r="C60" s="134"/>
      <c r="D60" s="134"/>
      <c r="E60" s="134"/>
      <c r="F60" s="134"/>
      <c r="G60" s="78"/>
      <c r="H60" s="327"/>
      <c r="I60" s="582"/>
      <c r="J60" s="582"/>
      <c r="K60" s="328"/>
      <c r="L60" s="582"/>
      <c r="M60" s="328"/>
      <c r="N60" s="310">
        <f>N58+N53+N48+N42+N36+N31</f>
        <v>12846.819610625</v>
      </c>
      <c r="O60" s="77">
        <f>N60/N136</f>
        <v>0.37634451390102514</v>
      </c>
    </row>
    <row r="61" spans="1:15" ht="12" customHeight="1" x14ac:dyDescent="0.2">
      <c r="B61" s="130"/>
      <c r="G61" s="52"/>
      <c r="H61" s="324"/>
      <c r="I61" s="323"/>
      <c r="J61" s="323"/>
      <c r="K61" s="313"/>
      <c r="L61" s="323"/>
      <c r="M61" s="313"/>
      <c r="N61" s="308"/>
      <c r="O61" s="25"/>
    </row>
    <row r="62" spans="1:15" ht="12" customHeight="1" x14ac:dyDescent="0.2">
      <c r="A62" s="129" t="s">
        <v>117</v>
      </c>
      <c r="B62" s="88" t="s">
        <v>22</v>
      </c>
      <c r="H62" s="329"/>
      <c r="I62" s="323"/>
      <c r="J62" s="323"/>
      <c r="K62" s="311"/>
      <c r="L62" s="323"/>
      <c r="M62" s="311"/>
      <c r="N62" s="311"/>
      <c r="O62" s="19"/>
    </row>
    <row r="63" spans="1:15" ht="12" customHeight="1" x14ac:dyDescent="0.2">
      <c r="A63" s="129" t="s">
        <v>118</v>
      </c>
      <c r="B63" s="88" t="s">
        <v>23</v>
      </c>
      <c r="H63" s="329"/>
      <c r="I63" s="323"/>
      <c r="J63" s="323"/>
      <c r="K63" s="311"/>
      <c r="L63" s="323"/>
      <c r="M63" s="311"/>
      <c r="N63" s="311"/>
      <c r="O63" s="19"/>
    </row>
    <row r="64" spans="1:15" ht="12" customHeight="1" x14ac:dyDescent="0.2">
      <c r="A64" s="129" t="s">
        <v>119</v>
      </c>
      <c r="B64" s="88" t="s">
        <v>120</v>
      </c>
      <c r="G64" s="97" t="s">
        <v>31</v>
      </c>
      <c r="H64" s="308">
        <f>((H14*1.5*2)/5)*0.95</f>
        <v>404.44349999999991</v>
      </c>
      <c r="I64" s="323">
        <f>VLOOKUP(A64,'[1]TAB OGU JUN18'!$A:$G,6,"falso")</f>
        <v>14.81</v>
      </c>
      <c r="J64" s="323">
        <f>VLOOKUP(A64,'[1]TAB OGU JUN18'!$A:$G,4,"falso")</f>
        <v>13.63</v>
      </c>
      <c r="K64" s="308">
        <f>H64*J64</f>
        <v>5512.5649049999993</v>
      </c>
      <c r="L64" s="323">
        <f>VLOOKUP(A64,'[1]TAB OGU JUN18'!$A:$G,5,"falso")</f>
        <v>1.18</v>
      </c>
      <c r="M64" s="308">
        <f>L64*H64</f>
        <v>477.2433299999999</v>
      </c>
      <c r="N64" s="308">
        <f>H64*I64</f>
        <v>5989.8082349999986</v>
      </c>
      <c r="O64" s="25">
        <f>N64/N67</f>
        <v>0.92425685662670387</v>
      </c>
    </row>
    <row r="65" spans="1:15" ht="12" customHeight="1" x14ac:dyDescent="0.2">
      <c r="A65" s="129" t="s">
        <v>224</v>
      </c>
      <c r="B65" s="88" t="s">
        <v>225</v>
      </c>
      <c r="G65" s="97" t="s">
        <v>31</v>
      </c>
      <c r="H65" s="308">
        <f>((H14*1.5*2)/5)*0.05</f>
        <v>21.286499999999997</v>
      </c>
      <c r="I65" s="323">
        <f>VLOOKUP(A65,'[1]TAB OGU JUN18'!$A:$G,6,"falso")</f>
        <v>23.06</v>
      </c>
      <c r="J65" s="323">
        <f>VLOOKUP(A65,'[1]TAB OGU JUN18'!$A:$G,4,"falso")</f>
        <v>22.37</v>
      </c>
      <c r="K65" s="308">
        <f>H65*J65</f>
        <v>476.17900499999996</v>
      </c>
      <c r="L65" s="323">
        <f>VLOOKUP(A65,'[1]TAB OGU JUN18'!$A:$G,5,"falso")</f>
        <v>0.69</v>
      </c>
      <c r="M65" s="308">
        <f>L65*H65</f>
        <v>14.687684999999997</v>
      </c>
      <c r="N65" s="308">
        <f>H65*I65</f>
        <v>490.86668999999989</v>
      </c>
      <c r="O65" s="25">
        <f>N65/N67</f>
        <v>7.5743143373296115E-2</v>
      </c>
    </row>
    <row r="66" spans="1:15" ht="12" customHeight="1" x14ac:dyDescent="0.2">
      <c r="B66" s="130"/>
      <c r="G66" s="52"/>
      <c r="H66" s="324"/>
      <c r="I66" s="323"/>
      <c r="J66" s="323"/>
      <c r="K66" s="313"/>
      <c r="L66" s="323"/>
      <c r="M66" s="313"/>
      <c r="N66" s="308"/>
      <c r="O66" s="25"/>
    </row>
    <row r="67" spans="1:15" ht="12" customHeight="1" x14ac:dyDescent="0.2">
      <c r="B67" s="130" t="s">
        <v>18</v>
      </c>
      <c r="C67" s="131"/>
      <c r="D67" s="131"/>
      <c r="E67" s="131"/>
      <c r="F67" s="131"/>
      <c r="G67" s="53"/>
      <c r="H67" s="325"/>
      <c r="I67" s="582"/>
      <c r="J67" s="582"/>
      <c r="K67" s="326"/>
      <c r="L67" s="582"/>
      <c r="M67" s="326"/>
      <c r="N67" s="308">
        <f>N64+N65</f>
        <v>6480.6749249999984</v>
      </c>
      <c r="O67" s="25">
        <f>N67/N69</f>
        <v>1</v>
      </c>
    </row>
    <row r="68" spans="1:15" ht="12" customHeight="1" x14ac:dyDescent="0.2">
      <c r="B68" s="130"/>
      <c r="G68" s="52"/>
      <c r="H68" s="324"/>
      <c r="I68" s="323"/>
      <c r="J68" s="323"/>
      <c r="K68" s="313"/>
      <c r="L68" s="323"/>
      <c r="M68" s="313"/>
      <c r="N68" s="308"/>
      <c r="O68" s="25"/>
    </row>
    <row r="69" spans="1:15" s="132" customFormat="1" ht="12" customHeight="1" x14ac:dyDescent="0.2">
      <c r="B69" s="133" t="s">
        <v>20</v>
      </c>
      <c r="C69" s="134"/>
      <c r="D69" s="134"/>
      <c r="E69" s="134"/>
      <c r="F69" s="134"/>
      <c r="G69" s="78"/>
      <c r="H69" s="327"/>
      <c r="I69" s="582"/>
      <c r="J69" s="582"/>
      <c r="K69" s="328"/>
      <c r="L69" s="582"/>
      <c r="M69" s="328"/>
      <c r="N69" s="310">
        <f>N67</f>
        <v>6480.6749249999984</v>
      </c>
      <c r="O69" s="77">
        <f>N69/N136</f>
        <v>0.18984982496232239</v>
      </c>
    </row>
    <row r="70" spans="1:15" ht="12" customHeight="1" x14ac:dyDescent="0.2">
      <c r="B70" s="130"/>
      <c r="G70" s="52"/>
      <c r="H70" s="324"/>
      <c r="I70" s="323"/>
      <c r="J70" s="323"/>
      <c r="K70" s="313"/>
      <c r="L70" s="323"/>
      <c r="M70" s="313"/>
      <c r="N70" s="308"/>
      <c r="O70" s="25"/>
    </row>
    <row r="71" spans="1:15" ht="12" customHeight="1" x14ac:dyDescent="0.2">
      <c r="A71" s="129" t="s">
        <v>124</v>
      </c>
      <c r="B71" s="88" t="s">
        <v>121</v>
      </c>
      <c r="H71" s="329"/>
      <c r="I71" s="323"/>
      <c r="J71" s="323"/>
      <c r="K71" s="311"/>
      <c r="L71" s="323"/>
      <c r="M71" s="311"/>
      <c r="N71" s="311"/>
      <c r="O71" s="19"/>
    </row>
    <row r="72" spans="1:15" ht="12" customHeight="1" x14ac:dyDescent="0.2">
      <c r="A72" s="129" t="s">
        <v>125</v>
      </c>
      <c r="B72" s="88" t="s">
        <v>122</v>
      </c>
      <c r="H72" s="329"/>
      <c r="I72" s="323"/>
      <c r="J72" s="323"/>
      <c r="K72" s="311"/>
      <c r="L72" s="323"/>
      <c r="M72" s="311"/>
      <c r="N72" s="311"/>
      <c r="O72" s="19"/>
    </row>
    <row r="73" spans="1:15" ht="12" customHeight="1" x14ac:dyDescent="0.2">
      <c r="A73" s="129" t="s">
        <v>126</v>
      </c>
      <c r="B73" s="88" t="s">
        <v>189</v>
      </c>
      <c r="G73" s="97" t="s">
        <v>123</v>
      </c>
      <c r="H73" s="308">
        <f>(H34+H28+H29)*100/20000</f>
        <v>2.3060374999999995</v>
      </c>
      <c r="I73" s="323">
        <f>VLOOKUP(A73,'[1]TAB OGU JUN18'!$A:$G,6,"falso")</f>
        <v>5.52</v>
      </c>
      <c r="J73" s="323">
        <f>VLOOKUP(A73,'[1]TAB OGU JUN18'!$A:$G,4,"falso")</f>
        <v>5.52</v>
      </c>
      <c r="K73" s="308">
        <f>H73*J73</f>
        <v>12.729326999999996</v>
      </c>
      <c r="L73" s="323">
        <f>VLOOKUP(A73,'[1]TAB OGU JUN18'!$A:$G,5,"falso")</f>
        <v>0</v>
      </c>
      <c r="M73" s="308"/>
      <c r="N73" s="308">
        <f>H73*I73</f>
        <v>12.729326999999996</v>
      </c>
      <c r="O73" s="25">
        <f>N73/N75</f>
        <v>1</v>
      </c>
    </row>
    <row r="74" spans="1:15" ht="12" customHeight="1" x14ac:dyDescent="0.2">
      <c r="B74" s="130"/>
      <c r="G74" s="52"/>
      <c r="H74" s="324"/>
      <c r="I74" s="323"/>
      <c r="J74" s="323"/>
      <c r="K74" s="313"/>
      <c r="L74" s="323"/>
      <c r="M74" s="313"/>
      <c r="N74" s="308"/>
      <c r="O74" s="25"/>
    </row>
    <row r="75" spans="1:15" ht="12" customHeight="1" x14ac:dyDescent="0.2">
      <c r="B75" s="130" t="s">
        <v>18</v>
      </c>
      <c r="C75" s="131"/>
      <c r="D75" s="131"/>
      <c r="E75" s="131"/>
      <c r="F75" s="131"/>
      <c r="G75" s="53"/>
      <c r="H75" s="325"/>
      <c r="I75" s="582"/>
      <c r="J75" s="582"/>
      <c r="K75" s="326"/>
      <c r="L75" s="582"/>
      <c r="M75" s="326"/>
      <c r="N75" s="308">
        <f>N73</f>
        <v>12.729326999999996</v>
      </c>
      <c r="O75" s="25">
        <f>N75/N77</f>
        <v>1</v>
      </c>
    </row>
    <row r="76" spans="1:15" ht="12" customHeight="1" x14ac:dyDescent="0.2">
      <c r="B76" s="130"/>
      <c r="G76" s="52"/>
      <c r="H76" s="324"/>
      <c r="I76" s="323"/>
      <c r="J76" s="323"/>
      <c r="K76" s="313"/>
      <c r="L76" s="323"/>
      <c r="M76" s="313"/>
      <c r="N76" s="308"/>
      <c r="O76" s="25"/>
    </row>
    <row r="77" spans="1:15" s="132" customFormat="1" ht="12" customHeight="1" x14ac:dyDescent="0.2">
      <c r="B77" s="133" t="s">
        <v>20</v>
      </c>
      <c r="C77" s="134"/>
      <c r="D77" s="134"/>
      <c r="E77" s="134"/>
      <c r="F77" s="134"/>
      <c r="G77" s="78"/>
      <c r="H77" s="327"/>
      <c r="I77" s="582"/>
      <c r="J77" s="582"/>
      <c r="K77" s="328"/>
      <c r="L77" s="582"/>
      <c r="M77" s="328"/>
      <c r="N77" s="310">
        <f>N75</f>
        <v>12.729326999999996</v>
      </c>
      <c r="O77" s="77">
        <f>N77/N136</f>
        <v>3.7290259591876755E-4</v>
      </c>
    </row>
    <row r="78" spans="1:15" ht="12" customHeight="1" x14ac:dyDescent="0.2">
      <c r="B78" s="130"/>
      <c r="G78" s="52"/>
      <c r="H78" s="324"/>
      <c r="I78" s="323"/>
      <c r="J78" s="323"/>
      <c r="K78" s="313"/>
      <c r="L78" s="323"/>
      <c r="M78" s="313"/>
      <c r="N78" s="308"/>
      <c r="O78" s="25"/>
    </row>
    <row r="79" spans="1:15" ht="12" customHeight="1" x14ac:dyDescent="0.2">
      <c r="A79" s="129" t="s">
        <v>127</v>
      </c>
      <c r="B79" s="88" t="s">
        <v>130</v>
      </c>
      <c r="H79" s="329"/>
      <c r="I79" s="323"/>
      <c r="J79" s="323"/>
      <c r="K79" s="311"/>
      <c r="L79" s="323"/>
      <c r="M79" s="311"/>
      <c r="N79" s="311"/>
      <c r="O79" s="19"/>
    </row>
    <row r="80" spans="1:15" ht="12" customHeight="1" x14ac:dyDescent="0.2">
      <c r="A80" s="129" t="s">
        <v>128</v>
      </c>
      <c r="B80" s="88" t="s">
        <v>131</v>
      </c>
      <c r="H80" s="329"/>
      <c r="I80" s="323"/>
      <c r="J80" s="323"/>
      <c r="K80" s="311"/>
      <c r="L80" s="323"/>
      <c r="M80" s="311"/>
      <c r="N80" s="311"/>
      <c r="O80" s="19"/>
    </row>
    <row r="81" spans="1:15" ht="12" hidden="1" customHeight="1" x14ac:dyDescent="0.2">
      <c r="A81" s="129" t="s">
        <v>181</v>
      </c>
      <c r="B81" s="88" t="s">
        <v>182</v>
      </c>
      <c r="G81" s="97" t="s">
        <v>17</v>
      </c>
      <c r="H81" s="308">
        <v>0</v>
      </c>
      <c r="I81" s="323">
        <f>VLOOKUP(A81,'[1]TAB OGU JUN18'!$A:$G,6,"falso")</f>
        <v>2.17</v>
      </c>
      <c r="J81" s="323">
        <f>VLOOKUP(A81,'[1]TAB OGU JUN18'!$A:$G,4,"falso")</f>
        <v>2.13</v>
      </c>
      <c r="K81" s="308">
        <f>H81*J81</f>
        <v>0</v>
      </c>
      <c r="L81" s="323">
        <f>VLOOKUP(A81,'[1]TAB OGU JUN18'!$A:$G,5,"falso")</f>
        <v>0.04</v>
      </c>
      <c r="M81" s="308">
        <f>L81*H81</f>
        <v>0</v>
      </c>
      <c r="N81" s="308">
        <f>H81*I81</f>
        <v>0</v>
      </c>
      <c r="O81" s="25">
        <f>N81/$N$97</f>
        <v>0</v>
      </c>
    </row>
    <row r="82" spans="1:15" ht="12" hidden="1" customHeight="1" x14ac:dyDescent="0.2">
      <c r="A82" s="129" t="s">
        <v>129</v>
      </c>
      <c r="B82" s="88" t="s">
        <v>132</v>
      </c>
      <c r="G82" s="97" t="s">
        <v>17</v>
      </c>
      <c r="H82" s="308">
        <v>0</v>
      </c>
      <c r="I82" s="323">
        <f>VLOOKUP(A82,'[1]TAB OGU JUN18'!$A:$G,6,"falso")</f>
        <v>2.64</v>
      </c>
      <c r="J82" s="323">
        <f>VLOOKUP(A82,'[1]TAB OGU JUN18'!$A:$G,4,"falso")</f>
        <v>2.56</v>
      </c>
      <c r="K82" s="308">
        <f>H82*J82</f>
        <v>0</v>
      </c>
      <c r="L82" s="323">
        <f>VLOOKUP(A82,'[1]TAB OGU JUN18'!$A:$G,5,"falso")</f>
        <v>0.08</v>
      </c>
      <c r="M82" s="308">
        <f>H82*L82</f>
        <v>0</v>
      </c>
      <c r="N82" s="308">
        <f>H82*I82</f>
        <v>0</v>
      </c>
      <c r="O82" s="25">
        <f>N82/$N$97</f>
        <v>0</v>
      </c>
    </row>
    <row r="83" spans="1:15" ht="12" customHeight="1" x14ac:dyDescent="0.2">
      <c r="A83" s="129" t="s">
        <v>207</v>
      </c>
      <c r="B83" s="88" t="s">
        <v>206</v>
      </c>
      <c r="C83" s="258"/>
      <c r="D83" s="258"/>
      <c r="E83" s="258"/>
      <c r="F83" s="258"/>
      <c r="G83" s="97" t="s">
        <v>17</v>
      </c>
      <c r="H83" s="308">
        <v>598.65</v>
      </c>
      <c r="I83" s="323">
        <f>VLOOKUP(A83,'[1]TAB OGU JUN18'!$A:$G,6,"falso")</f>
        <v>3.14</v>
      </c>
      <c r="J83" s="323">
        <f>VLOOKUP(A83,'[1]TAB OGU JUN18'!$A:$G,4,"falso")</f>
        <v>3.01</v>
      </c>
      <c r="K83" s="308">
        <f>H83*J83</f>
        <v>1801.9364999999998</v>
      </c>
      <c r="L83" s="323">
        <f>VLOOKUP(A83,'[1]TAB OGU JUN18'!$A:$G,5,"falso")</f>
        <v>0.13</v>
      </c>
      <c r="M83" s="308">
        <f>H83*L83</f>
        <v>77.8245</v>
      </c>
      <c r="N83" s="308">
        <f>H83*I83</f>
        <v>1879.761</v>
      </c>
      <c r="O83" s="25">
        <f>N83/$N$97</f>
        <v>2.7207149442689103</v>
      </c>
    </row>
    <row r="84" spans="1:15" ht="12" hidden="1" customHeight="1" x14ac:dyDescent="0.2">
      <c r="A84" s="129" t="s">
        <v>790</v>
      </c>
      <c r="B84" s="88" t="s">
        <v>791</v>
      </c>
      <c r="C84" s="258"/>
      <c r="D84" s="258"/>
      <c r="E84" s="258"/>
      <c r="F84" s="258"/>
      <c r="G84" s="97" t="s">
        <v>17</v>
      </c>
      <c r="H84" s="308">
        <v>0</v>
      </c>
      <c r="I84" s="323">
        <f>VLOOKUP(A84,'[1]TAB OGU JUN18'!$A:$G,6,"falso")</f>
        <v>3.62</v>
      </c>
      <c r="J84" s="323">
        <f>VLOOKUP(A84,'[1]TAB OGU JUN18'!$A:$G,4,"falso")</f>
        <v>3.48</v>
      </c>
      <c r="K84" s="308">
        <f t="shared" ref="K84" si="0">H84*J84</f>
        <v>0</v>
      </c>
      <c r="L84" s="323">
        <f>VLOOKUP(A84,'[1]TAB OGU JUN18'!$A:$G,5,"falso")</f>
        <v>0.14000000000000001</v>
      </c>
      <c r="M84" s="308">
        <f t="shared" ref="M84" si="1">H84*L84</f>
        <v>0</v>
      </c>
      <c r="N84" s="308">
        <f t="shared" ref="N84:N91" si="2">H84*I84</f>
        <v>0</v>
      </c>
      <c r="O84" s="25">
        <f t="shared" ref="O84:O91" si="3">N84/$N$97</f>
        <v>0</v>
      </c>
    </row>
    <row r="85" spans="1:15" ht="12" hidden="1" customHeight="1" x14ac:dyDescent="0.2">
      <c r="A85" s="129" t="s">
        <v>1354</v>
      </c>
      <c r="B85" s="88" t="s">
        <v>1356</v>
      </c>
      <c r="C85" s="258"/>
      <c r="D85" s="258"/>
      <c r="E85" s="258"/>
      <c r="F85" s="258"/>
      <c r="G85" s="97" t="s">
        <v>17</v>
      </c>
      <c r="H85" s="308">
        <v>0</v>
      </c>
      <c r="I85" s="323">
        <f>VLOOKUP(A85,'[1]TAB OGU JUN18'!$A:$G,6,"falso")</f>
        <v>4.0999999999999996</v>
      </c>
      <c r="J85" s="323">
        <f>VLOOKUP(A85,'[1]TAB OGU JUN18'!$A:$G,4,"falso")</f>
        <v>3.94</v>
      </c>
      <c r="K85" s="308">
        <f t="shared" ref="K85:K86" si="4">H85*J85</f>
        <v>0</v>
      </c>
      <c r="L85" s="323">
        <f>VLOOKUP(A85,'[1]TAB OGU JUN18'!$A:$G,5,"falso")</f>
        <v>0.16</v>
      </c>
      <c r="M85" s="308">
        <f t="shared" ref="M85:M86" si="5">H85*L85</f>
        <v>0</v>
      </c>
      <c r="N85" s="308">
        <f t="shared" ref="N85:N86" si="6">H85*I85</f>
        <v>0</v>
      </c>
      <c r="O85" s="25">
        <f t="shared" ref="O85:O86" si="7">N85/$N$97</f>
        <v>0</v>
      </c>
    </row>
    <row r="86" spans="1:15" ht="12" hidden="1" customHeight="1" x14ac:dyDescent="0.2">
      <c r="A86" s="129" t="s">
        <v>1355</v>
      </c>
      <c r="B86" s="88" t="s">
        <v>1357</v>
      </c>
      <c r="C86" s="258"/>
      <c r="D86" s="258"/>
      <c r="E86" s="258"/>
      <c r="F86" s="258"/>
      <c r="G86" s="97" t="s">
        <v>17</v>
      </c>
      <c r="H86" s="308">
        <v>0</v>
      </c>
      <c r="I86" s="323">
        <f>VLOOKUP(A86,'[1]TAB OGU JUN18'!$A:$G,6,"falso")</f>
        <v>10.28</v>
      </c>
      <c r="J86" s="323">
        <f>VLOOKUP(A86,'[1]TAB OGU JUN18'!$A:$G,4,"falso")</f>
        <v>9.9700000000000006</v>
      </c>
      <c r="K86" s="308">
        <f t="shared" si="4"/>
        <v>0</v>
      </c>
      <c r="L86" s="323">
        <f>VLOOKUP(A86,'[1]TAB OGU JUN18'!$A:$G,5,"falso")</f>
        <v>0.31</v>
      </c>
      <c r="M86" s="308">
        <f t="shared" si="5"/>
        <v>0</v>
      </c>
      <c r="N86" s="308">
        <f t="shared" si="6"/>
        <v>0</v>
      </c>
      <c r="O86" s="25">
        <f t="shared" si="7"/>
        <v>0</v>
      </c>
    </row>
    <row r="87" spans="1:15" ht="12" customHeight="1" x14ac:dyDescent="0.2">
      <c r="A87" s="129"/>
      <c r="B87" s="88"/>
      <c r="C87" s="258"/>
      <c r="D87" s="258"/>
      <c r="E87" s="258"/>
      <c r="F87" s="258"/>
      <c r="G87" s="97"/>
      <c r="H87" s="308"/>
      <c r="I87" s="323"/>
      <c r="J87" s="323"/>
      <c r="K87" s="308"/>
      <c r="L87" s="323"/>
      <c r="M87" s="308"/>
      <c r="N87" s="308"/>
      <c r="O87" s="25"/>
    </row>
    <row r="88" spans="1:15" ht="12" customHeight="1" x14ac:dyDescent="0.2">
      <c r="A88" s="129"/>
      <c r="B88" s="130" t="s">
        <v>18</v>
      </c>
      <c r="C88" s="283"/>
      <c r="D88" s="283"/>
      <c r="E88" s="283"/>
      <c r="F88" s="283"/>
      <c r="G88" s="136"/>
      <c r="H88" s="362"/>
      <c r="I88" s="582"/>
      <c r="J88" s="582"/>
      <c r="K88" s="362"/>
      <c r="L88" s="582"/>
      <c r="M88" s="362"/>
      <c r="N88" s="308">
        <f>N81+N82+N83+N84+N85+N86</f>
        <v>1879.761</v>
      </c>
      <c r="O88" s="25">
        <f>N88/N104</f>
        <v>0.19069763573042084</v>
      </c>
    </row>
    <row r="89" spans="1:15" ht="12" customHeight="1" x14ac:dyDescent="0.2">
      <c r="A89" s="129"/>
      <c r="B89" s="88"/>
      <c r="C89" s="258"/>
      <c r="D89" s="258"/>
      <c r="E89" s="258"/>
      <c r="F89" s="258"/>
      <c r="G89" s="97"/>
      <c r="H89" s="308"/>
      <c r="I89" s="323"/>
      <c r="J89" s="323"/>
      <c r="K89" s="308"/>
      <c r="L89" s="323"/>
      <c r="M89" s="308"/>
      <c r="N89" s="308"/>
      <c r="O89" s="25"/>
    </row>
    <row r="90" spans="1:15" ht="12" customHeight="1" x14ac:dyDescent="0.2">
      <c r="A90" s="129" t="s">
        <v>800</v>
      </c>
      <c r="B90" s="88" t="s">
        <v>1035</v>
      </c>
      <c r="C90" s="258"/>
      <c r="D90" s="258"/>
      <c r="E90" s="258"/>
      <c r="F90" s="258"/>
      <c r="G90" s="97"/>
      <c r="H90" s="308"/>
      <c r="I90" s="323"/>
      <c r="J90" s="323"/>
      <c r="K90" s="308"/>
      <c r="L90" s="323"/>
      <c r="M90" s="308"/>
      <c r="N90" s="308"/>
      <c r="O90" s="25"/>
    </row>
    <row r="91" spans="1:15" ht="12" customHeight="1" x14ac:dyDescent="0.2">
      <c r="A91" s="129" t="s">
        <v>1036</v>
      </c>
      <c r="B91" s="88" t="s">
        <v>206</v>
      </c>
      <c r="C91" s="258"/>
      <c r="D91" s="258"/>
      <c r="E91" s="258"/>
      <c r="F91" s="258"/>
      <c r="G91" s="97" t="s">
        <v>17</v>
      </c>
      <c r="H91" s="308">
        <v>110.9</v>
      </c>
      <c r="I91" s="323">
        <f>VLOOKUP(A91,'[1]TAB OGU JUN18'!$A:$G,6,"falso")</f>
        <v>6.23</v>
      </c>
      <c r="J91" s="323">
        <f>VLOOKUP(A91,'[1]TAB OGU JUN18'!$A:$G,4,"falso")</f>
        <v>6.11</v>
      </c>
      <c r="K91" s="308">
        <f>H91*J91</f>
        <v>677.59900000000005</v>
      </c>
      <c r="L91" s="323">
        <f>VLOOKUP(A91,'[1]TAB OGU JUN18'!$A:$G,5,"falso")</f>
        <v>0.12</v>
      </c>
      <c r="M91" s="308"/>
      <c r="N91" s="308">
        <f t="shared" si="2"/>
        <v>690.90700000000004</v>
      </c>
      <c r="O91" s="25">
        <f t="shared" si="3"/>
        <v>1</v>
      </c>
    </row>
    <row r="92" spans="1:15" ht="12" hidden="1" customHeight="1" x14ac:dyDescent="0.2">
      <c r="A92" s="129" t="s">
        <v>1358</v>
      </c>
      <c r="B92" s="88" t="s">
        <v>791</v>
      </c>
      <c r="C92" s="258"/>
      <c r="D92" s="258"/>
      <c r="E92" s="258"/>
      <c r="F92" s="258"/>
      <c r="G92" s="97" t="s">
        <v>17</v>
      </c>
      <c r="H92" s="308">
        <v>0</v>
      </c>
      <c r="I92" s="323">
        <f>VLOOKUP(A92,'[1]TAB OGU JUN18'!$A:$G,6,"falso")</f>
        <v>7.32</v>
      </c>
      <c r="J92" s="323">
        <f>VLOOKUP(A92,'[1]TAB OGU JUN18'!$A:$G,4,"falso")</f>
        <v>7.17</v>
      </c>
      <c r="K92" s="308">
        <f t="shared" ref="K92:K95" si="8">H92*J92</f>
        <v>0</v>
      </c>
      <c r="L92" s="323">
        <f>VLOOKUP(A92,'[1]TAB OGU JUN18'!$A:$G,5,"falso")</f>
        <v>0.15</v>
      </c>
      <c r="M92" s="308"/>
      <c r="N92" s="308">
        <f t="shared" ref="N92:N95" si="9">H92*I92</f>
        <v>0</v>
      </c>
      <c r="O92" s="25">
        <f t="shared" ref="O92:O95" si="10">N92/$N$97</f>
        <v>0</v>
      </c>
    </row>
    <row r="93" spans="1:15" ht="12" hidden="1" customHeight="1" x14ac:dyDescent="0.2">
      <c r="A93" s="129" t="s">
        <v>1359</v>
      </c>
      <c r="B93" s="88" t="s">
        <v>1356</v>
      </c>
      <c r="C93" s="258"/>
      <c r="D93" s="258"/>
      <c r="E93" s="258"/>
      <c r="F93" s="258"/>
      <c r="G93" s="97" t="s">
        <v>17</v>
      </c>
      <c r="H93" s="308">
        <v>0</v>
      </c>
      <c r="I93" s="323">
        <f>VLOOKUP(A93,'[1]TAB OGU JUN18'!$A:$G,6,"falso")</f>
        <v>8.43</v>
      </c>
      <c r="J93" s="323">
        <f>VLOOKUP(A93,'[1]TAB OGU JUN18'!$A:$G,4,"falso")</f>
        <v>8.26</v>
      </c>
      <c r="K93" s="308">
        <f t="shared" si="8"/>
        <v>0</v>
      </c>
      <c r="L93" s="323">
        <f>VLOOKUP(A93,'[1]TAB OGU JUN18'!$A:$G,5,"falso")</f>
        <v>0.17</v>
      </c>
      <c r="M93" s="308"/>
      <c r="N93" s="308">
        <f t="shared" si="9"/>
        <v>0</v>
      </c>
      <c r="O93" s="25">
        <f t="shared" si="10"/>
        <v>0</v>
      </c>
    </row>
    <row r="94" spans="1:15" ht="12" hidden="1" customHeight="1" x14ac:dyDescent="0.2">
      <c r="A94" s="129" t="s">
        <v>1360</v>
      </c>
      <c r="B94" s="88" t="s">
        <v>1362</v>
      </c>
      <c r="C94" s="258"/>
      <c r="D94" s="258"/>
      <c r="E94" s="258"/>
      <c r="F94" s="258"/>
      <c r="G94" s="97" t="s">
        <v>17</v>
      </c>
      <c r="H94" s="308">
        <v>0</v>
      </c>
      <c r="I94" s="323">
        <f>VLOOKUP(A94,'[1]TAB OGU JUN18'!$A:$G,6,"falso")</f>
        <v>9.51</v>
      </c>
      <c r="J94" s="323">
        <f>VLOOKUP(A94,'[1]TAB OGU JUN18'!$A:$G,4,"falso")</f>
        <v>9.32</v>
      </c>
      <c r="K94" s="308">
        <f t="shared" si="8"/>
        <v>0</v>
      </c>
      <c r="L94" s="323">
        <f>VLOOKUP(A94,'[1]TAB OGU JUN18'!$A:$G,5,"falso")</f>
        <v>0.19</v>
      </c>
      <c r="M94" s="308"/>
      <c r="N94" s="308">
        <f t="shared" si="9"/>
        <v>0</v>
      </c>
      <c r="O94" s="25">
        <f t="shared" si="10"/>
        <v>0</v>
      </c>
    </row>
    <row r="95" spans="1:15" ht="12" hidden="1" customHeight="1" x14ac:dyDescent="0.2">
      <c r="A95" s="129" t="s">
        <v>1361</v>
      </c>
      <c r="B95" s="88" t="s">
        <v>1357</v>
      </c>
      <c r="C95" s="258"/>
      <c r="D95" s="258"/>
      <c r="E95" s="258"/>
      <c r="F95" s="258"/>
      <c r="G95" s="97" t="s">
        <v>17</v>
      </c>
      <c r="H95" s="308">
        <v>0</v>
      </c>
      <c r="I95" s="323">
        <f>VLOOKUP(A95,'[1]TAB OGU JUN18'!$A:$G,6,"falso")</f>
        <v>10.6</v>
      </c>
      <c r="J95" s="323">
        <f>VLOOKUP(A95,'[1]TAB OGU JUN18'!$A:$G,4,"falso")</f>
        <v>10.39</v>
      </c>
      <c r="K95" s="308">
        <f t="shared" si="8"/>
        <v>0</v>
      </c>
      <c r="L95" s="323">
        <f>VLOOKUP(A95,'[1]TAB OGU JUN18'!$A:$G,5,"falso")</f>
        <v>0.21</v>
      </c>
      <c r="M95" s="308"/>
      <c r="N95" s="308">
        <f t="shared" si="9"/>
        <v>0</v>
      </c>
      <c r="O95" s="25">
        <f t="shared" si="10"/>
        <v>0</v>
      </c>
    </row>
    <row r="96" spans="1:15" ht="12" customHeight="1" x14ac:dyDescent="0.2">
      <c r="B96" s="130"/>
      <c r="C96" s="258"/>
      <c r="D96" s="258"/>
      <c r="E96" s="258"/>
      <c r="F96" s="258"/>
      <c r="G96" s="135"/>
      <c r="H96" s="314"/>
      <c r="I96" s="323"/>
      <c r="J96" s="323"/>
      <c r="K96" s="314"/>
      <c r="L96" s="323"/>
      <c r="M96" s="314"/>
      <c r="N96" s="308"/>
      <c r="O96" s="25"/>
    </row>
    <row r="97" spans="1:15" ht="12" customHeight="1" x14ac:dyDescent="0.2">
      <c r="B97" s="130" t="s">
        <v>18</v>
      </c>
      <c r="C97" s="283"/>
      <c r="D97" s="283"/>
      <c r="E97" s="283"/>
      <c r="F97" s="283"/>
      <c r="G97" s="136"/>
      <c r="H97" s="362"/>
      <c r="I97" s="582"/>
      <c r="J97" s="582"/>
      <c r="K97" s="362"/>
      <c r="L97" s="582"/>
      <c r="M97" s="362"/>
      <c r="N97" s="308">
        <f>N91+N92+N93+N94+N95</f>
        <v>690.90700000000004</v>
      </c>
      <c r="O97" s="25">
        <f>N97/N104</f>
        <v>7.0091001680318871E-2</v>
      </c>
    </row>
    <row r="98" spans="1:15" ht="12" customHeight="1" x14ac:dyDescent="0.2">
      <c r="A98" s="137"/>
      <c r="B98" s="138"/>
      <c r="C98" s="138"/>
      <c r="D98" s="138"/>
      <c r="E98" s="138"/>
      <c r="F98" s="138"/>
      <c r="G98" s="138"/>
      <c r="H98" s="286"/>
      <c r="I98" s="323"/>
      <c r="J98" s="323"/>
      <c r="K98" s="314"/>
      <c r="L98" s="323"/>
      <c r="M98" s="314"/>
      <c r="N98" s="314"/>
      <c r="O98" s="232"/>
    </row>
    <row r="99" spans="1:15" ht="12" customHeight="1" x14ac:dyDescent="0.2">
      <c r="A99" s="129" t="s">
        <v>145</v>
      </c>
      <c r="B99" s="88" t="s">
        <v>26</v>
      </c>
      <c r="C99" s="258"/>
      <c r="D99" s="258"/>
      <c r="E99" s="258"/>
      <c r="F99" s="258"/>
      <c r="G99" s="258"/>
      <c r="H99" s="346"/>
      <c r="I99" s="323"/>
      <c r="J99" s="323"/>
      <c r="K99" s="314"/>
      <c r="L99" s="323"/>
      <c r="M99" s="314"/>
      <c r="N99" s="314"/>
      <c r="O99" s="135"/>
    </row>
    <row r="100" spans="1:15" ht="12" customHeight="1" x14ac:dyDescent="0.2">
      <c r="A100" s="129" t="s">
        <v>146</v>
      </c>
      <c r="B100" s="88" t="s">
        <v>147</v>
      </c>
      <c r="C100" s="258"/>
      <c r="D100" s="258"/>
      <c r="E100" s="258"/>
      <c r="F100" s="258"/>
      <c r="G100" s="97" t="s">
        <v>32</v>
      </c>
      <c r="H100" s="308">
        <f>0.65*H14*0.1</f>
        <v>46.120750000000001</v>
      </c>
      <c r="I100" s="323">
        <f>VLOOKUP(A100,'[1]TAB OGU JUN18'!$A:$G,6,"falso")</f>
        <v>157.99</v>
      </c>
      <c r="J100" s="323">
        <f>VLOOKUP(A100,'[1]TAB OGU JUN18'!$A:$G,4,"falso")</f>
        <v>39.5</v>
      </c>
      <c r="K100" s="308">
        <f>H100*J100</f>
        <v>1821.7696250000001</v>
      </c>
      <c r="L100" s="323">
        <f>VLOOKUP(A100,'[1]TAB OGU JUN18'!$A:$G,5,"falso")</f>
        <v>118.49</v>
      </c>
      <c r="M100" s="308">
        <f>L100*H100</f>
        <v>5464.8476675000002</v>
      </c>
      <c r="N100" s="308">
        <f>H100*I100</f>
        <v>7286.617292500001</v>
      </c>
      <c r="O100" s="25">
        <f>N100/N102</f>
        <v>1</v>
      </c>
    </row>
    <row r="101" spans="1:15" ht="12" customHeight="1" x14ac:dyDescent="0.2">
      <c r="B101" s="130"/>
      <c r="C101" s="258"/>
      <c r="D101" s="258"/>
      <c r="E101" s="258"/>
      <c r="F101" s="258"/>
      <c r="G101" s="135"/>
      <c r="H101" s="314"/>
      <c r="I101" s="323"/>
      <c r="J101" s="323"/>
      <c r="K101" s="314"/>
      <c r="L101" s="323"/>
      <c r="M101" s="314"/>
      <c r="N101" s="308"/>
      <c r="O101" s="25"/>
    </row>
    <row r="102" spans="1:15" ht="12" customHeight="1" x14ac:dyDescent="0.2">
      <c r="B102" s="130" t="s">
        <v>18</v>
      </c>
      <c r="C102" s="131"/>
      <c r="D102" s="131"/>
      <c r="E102" s="131"/>
      <c r="F102" s="131"/>
      <c r="G102" s="53"/>
      <c r="H102" s="325"/>
      <c r="I102" s="582"/>
      <c r="J102" s="582"/>
      <c r="K102" s="326"/>
      <c r="L102" s="582"/>
      <c r="M102" s="326"/>
      <c r="N102" s="308">
        <f>N100</f>
        <v>7286.617292500001</v>
      </c>
      <c r="O102" s="25">
        <f>N102/N104</f>
        <v>0.73921136258926035</v>
      </c>
    </row>
    <row r="103" spans="1:15" ht="12" customHeight="1" x14ac:dyDescent="0.2">
      <c r="B103" s="130"/>
      <c r="G103" s="52"/>
      <c r="H103" s="324"/>
      <c r="I103" s="323"/>
      <c r="J103" s="323"/>
      <c r="K103" s="313"/>
      <c r="L103" s="323"/>
      <c r="M103" s="313"/>
      <c r="N103" s="308"/>
      <c r="O103" s="25"/>
    </row>
    <row r="104" spans="1:15" s="132" customFormat="1" ht="12" customHeight="1" x14ac:dyDescent="0.2">
      <c r="B104" s="133" t="s">
        <v>20</v>
      </c>
      <c r="C104" s="134"/>
      <c r="D104" s="134"/>
      <c r="E104" s="134"/>
      <c r="F104" s="134"/>
      <c r="G104" s="78"/>
      <c r="H104" s="327"/>
      <c r="I104" s="582"/>
      <c r="J104" s="582"/>
      <c r="K104" s="328"/>
      <c r="L104" s="582"/>
      <c r="M104" s="328"/>
      <c r="N104" s="310">
        <f>N102+N97+N88</f>
        <v>9857.2852925000007</v>
      </c>
      <c r="O104" s="77">
        <f>N104/$N$136</f>
        <v>0.28876681966651807</v>
      </c>
    </row>
    <row r="105" spans="1:15" ht="12" customHeight="1" x14ac:dyDescent="0.2">
      <c r="A105" s="98"/>
      <c r="B105" s="88"/>
      <c r="G105" s="97"/>
      <c r="H105" s="308"/>
      <c r="I105" s="323"/>
      <c r="J105" s="323"/>
      <c r="K105" s="308"/>
      <c r="L105" s="323"/>
      <c r="M105" s="308"/>
      <c r="N105" s="308"/>
      <c r="O105" s="25"/>
    </row>
    <row r="106" spans="1:15" ht="12" customHeight="1" x14ac:dyDescent="0.2">
      <c r="A106" s="98" t="s">
        <v>406</v>
      </c>
      <c r="B106" s="88" t="s">
        <v>407</v>
      </c>
      <c r="G106" s="135"/>
      <c r="H106" s="314"/>
      <c r="I106" s="323"/>
      <c r="J106" s="323"/>
      <c r="K106" s="314"/>
      <c r="L106" s="323"/>
      <c r="M106" s="314"/>
      <c r="N106" s="314"/>
      <c r="O106" s="19"/>
    </row>
    <row r="107" spans="1:15" ht="12" customHeight="1" x14ac:dyDescent="0.2">
      <c r="A107" s="98" t="s">
        <v>408</v>
      </c>
      <c r="B107" s="88" t="s">
        <v>409</v>
      </c>
      <c r="G107" s="135"/>
      <c r="H107" s="314"/>
      <c r="I107" s="323"/>
      <c r="J107" s="323"/>
      <c r="K107" s="314"/>
      <c r="L107" s="323"/>
      <c r="M107" s="314"/>
      <c r="N107" s="314"/>
      <c r="O107" s="19"/>
    </row>
    <row r="108" spans="1:15" ht="12" customHeight="1" x14ac:dyDescent="0.2">
      <c r="A108" s="98" t="s">
        <v>803</v>
      </c>
      <c r="B108" s="200" t="s">
        <v>804</v>
      </c>
      <c r="G108" s="97" t="s">
        <v>17</v>
      </c>
      <c r="H108" s="308">
        <v>410</v>
      </c>
      <c r="I108" s="323">
        <f>VLOOKUP(A108,'[1]TAB OGU JUN18'!$A:$G,6,"falso")</f>
        <v>4.42</v>
      </c>
      <c r="J108" s="323">
        <f>VLOOKUP(A108,'[1]TAB OGU JUN18'!$A:$G,4,"falso")</f>
        <v>1.5</v>
      </c>
      <c r="K108" s="308">
        <f>H108*J108</f>
        <v>615</v>
      </c>
      <c r="L108" s="323">
        <f>VLOOKUP(A108,'[1]TAB OGU JUN18'!$A:$G,5,"falso")</f>
        <v>2.92</v>
      </c>
      <c r="M108" s="308">
        <f>L108*H108</f>
        <v>1197.2</v>
      </c>
      <c r="N108" s="308">
        <f>H108*I108</f>
        <v>1812.2</v>
      </c>
      <c r="O108" s="25">
        <f>N108/N110</f>
        <v>1</v>
      </c>
    </row>
    <row r="109" spans="1:15" s="279" customFormat="1" ht="12" customHeight="1" x14ac:dyDescent="0.2">
      <c r="A109" s="98"/>
      <c r="B109" s="88"/>
      <c r="C109" s="51"/>
      <c r="D109" s="51"/>
      <c r="E109" s="51"/>
      <c r="F109" s="51"/>
      <c r="G109" s="97"/>
      <c r="H109" s="308"/>
      <c r="I109" s="323"/>
      <c r="J109" s="323"/>
      <c r="K109" s="308"/>
      <c r="L109" s="323"/>
      <c r="M109" s="308"/>
      <c r="N109" s="308"/>
      <c r="O109" s="25"/>
    </row>
    <row r="110" spans="1:15" ht="12" customHeight="1" x14ac:dyDescent="0.2">
      <c r="B110" s="130" t="s">
        <v>18</v>
      </c>
      <c r="C110" s="131"/>
      <c r="D110" s="131"/>
      <c r="E110" s="131"/>
      <c r="F110" s="131"/>
      <c r="G110" s="136"/>
      <c r="H110" s="362"/>
      <c r="I110" s="582"/>
      <c r="J110" s="582"/>
      <c r="K110" s="362"/>
      <c r="L110" s="582"/>
      <c r="M110" s="362"/>
      <c r="N110" s="308">
        <f>N108</f>
        <v>1812.2</v>
      </c>
      <c r="O110" s="25">
        <f>N110/N117</f>
        <v>0.90576033987254778</v>
      </c>
    </row>
    <row r="111" spans="1:15" ht="12" customHeight="1" x14ac:dyDescent="0.2">
      <c r="G111" s="135"/>
      <c r="H111" s="314"/>
      <c r="I111" s="323"/>
      <c r="J111" s="323"/>
      <c r="K111" s="314"/>
      <c r="L111" s="323"/>
      <c r="M111" s="314"/>
      <c r="N111" s="314"/>
      <c r="O111" s="19"/>
    </row>
    <row r="112" spans="1:15" ht="12" customHeight="1" x14ac:dyDescent="0.2">
      <c r="A112" s="98" t="s">
        <v>410</v>
      </c>
      <c r="B112" s="88" t="s">
        <v>411</v>
      </c>
      <c r="G112" s="135"/>
      <c r="H112" s="314"/>
      <c r="I112" s="323"/>
      <c r="J112" s="323"/>
      <c r="K112" s="314"/>
      <c r="L112" s="323"/>
      <c r="M112" s="314"/>
      <c r="N112" s="314"/>
      <c r="O112" s="19"/>
    </row>
    <row r="113" spans="1:15" ht="12" customHeight="1" x14ac:dyDescent="0.2">
      <c r="A113" s="98" t="s">
        <v>418</v>
      </c>
      <c r="B113" s="88" t="s">
        <v>419</v>
      </c>
      <c r="G113" s="97" t="s">
        <v>24</v>
      </c>
      <c r="H113" s="308">
        <v>9</v>
      </c>
      <c r="I113" s="323">
        <f>VLOOKUP(A113,'[1]TAB OGU JUN18'!$A:$G,6,"falso")</f>
        <v>20.95</v>
      </c>
      <c r="J113" s="323">
        <f>VLOOKUP(A113,'[1]TAB OGU JUN18'!$A:$G,4,"falso")</f>
        <v>10.52</v>
      </c>
      <c r="K113" s="308">
        <f>H113*J113</f>
        <v>94.679999999999993</v>
      </c>
      <c r="L113" s="323">
        <f>VLOOKUP(A113,'[1]TAB OGU JUN18'!$A:$G,5,"falso")</f>
        <v>10.43</v>
      </c>
      <c r="M113" s="308">
        <f>L113*H113</f>
        <v>93.87</v>
      </c>
      <c r="N113" s="308">
        <f>H113*I113</f>
        <v>188.54999999999998</v>
      </c>
      <c r="O113" s="25">
        <f>N113/N115</f>
        <v>1</v>
      </c>
    </row>
    <row r="114" spans="1:15" s="279" customFormat="1" ht="12" customHeight="1" x14ac:dyDescent="0.2">
      <c r="A114" s="98"/>
      <c r="B114" s="88"/>
      <c r="C114" s="51"/>
      <c r="D114" s="51"/>
      <c r="E114" s="51"/>
      <c r="F114" s="51"/>
      <c r="G114" s="97"/>
      <c r="H114" s="308"/>
      <c r="I114" s="323"/>
      <c r="J114" s="323"/>
      <c r="K114" s="308"/>
      <c r="L114" s="323"/>
      <c r="M114" s="308"/>
      <c r="N114" s="308"/>
      <c r="O114" s="25"/>
    </row>
    <row r="115" spans="1:15" ht="12" customHeight="1" x14ac:dyDescent="0.2">
      <c r="B115" s="130" t="s">
        <v>18</v>
      </c>
      <c r="C115" s="131"/>
      <c r="D115" s="131"/>
      <c r="E115" s="131"/>
      <c r="F115" s="131"/>
      <c r="G115" s="136"/>
      <c r="H115" s="362"/>
      <c r="I115" s="582"/>
      <c r="J115" s="582"/>
      <c r="K115" s="362"/>
      <c r="L115" s="582"/>
      <c r="M115" s="362"/>
      <c r="N115" s="308">
        <f>N113</f>
        <v>188.54999999999998</v>
      </c>
      <c r="O115" s="25">
        <f>N115/N117</f>
        <v>9.4239660127452191E-2</v>
      </c>
    </row>
    <row r="116" spans="1:15" ht="12" customHeight="1" x14ac:dyDescent="0.2">
      <c r="G116" s="135"/>
      <c r="H116" s="314"/>
      <c r="I116" s="323"/>
      <c r="J116" s="323"/>
      <c r="K116" s="314"/>
      <c r="L116" s="323"/>
      <c r="M116" s="314"/>
      <c r="N116" s="314"/>
      <c r="O116" s="19"/>
    </row>
    <row r="117" spans="1:15" s="132" customFormat="1" ht="12" customHeight="1" x14ac:dyDescent="0.2">
      <c r="B117" s="133" t="s">
        <v>20</v>
      </c>
      <c r="C117" s="134"/>
      <c r="D117" s="134"/>
      <c r="E117" s="134"/>
      <c r="F117" s="134"/>
      <c r="G117" s="228"/>
      <c r="H117" s="363"/>
      <c r="I117" s="582"/>
      <c r="J117" s="582"/>
      <c r="K117" s="363"/>
      <c r="L117" s="582"/>
      <c r="M117" s="363"/>
      <c r="N117" s="310">
        <f>N115+N110</f>
        <v>2000.75</v>
      </c>
      <c r="O117" s="77">
        <f>N117/$N$136</f>
        <v>5.8611493662192385E-2</v>
      </c>
    </row>
    <row r="118" spans="1:15" ht="12" customHeight="1" x14ac:dyDescent="0.2">
      <c r="G118" s="52"/>
      <c r="H118" s="324"/>
      <c r="I118" s="323"/>
      <c r="J118" s="323"/>
      <c r="K118" s="313"/>
      <c r="L118" s="323"/>
      <c r="M118" s="313"/>
      <c r="N118" s="313"/>
      <c r="O118" s="19"/>
    </row>
    <row r="119" spans="1:15" ht="12" hidden="1" customHeight="1" x14ac:dyDescent="0.2">
      <c r="A119" s="129" t="s">
        <v>426</v>
      </c>
      <c r="B119" s="88" t="s">
        <v>427</v>
      </c>
      <c r="H119" s="329"/>
      <c r="I119" s="323"/>
      <c r="J119" s="323"/>
      <c r="K119" s="311"/>
      <c r="L119" s="323"/>
      <c r="M119" s="311"/>
      <c r="N119" s="311"/>
      <c r="O119" s="19"/>
    </row>
    <row r="120" spans="1:15" ht="12" hidden="1" customHeight="1" x14ac:dyDescent="0.2">
      <c r="A120" s="129" t="s">
        <v>632</v>
      </c>
      <c r="B120" s="88" t="s">
        <v>447</v>
      </c>
      <c r="H120" s="329"/>
      <c r="I120" s="323"/>
      <c r="J120" s="323"/>
      <c r="K120" s="311"/>
      <c r="L120" s="323"/>
      <c r="M120" s="311"/>
      <c r="N120" s="311"/>
      <c r="O120" s="19"/>
    </row>
    <row r="121" spans="1:15" ht="12" hidden="1" customHeight="1" x14ac:dyDescent="0.2">
      <c r="A121" s="129" t="s">
        <v>925</v>
      </c>
      <c r="B121" s="88" t="s">
        <v>926</v>
      </c>
      <c r="G121" s="97" t="s">
        <v>24</v>
      </c>
      <c r="H121" s="308">
        <v>0</v>
      </c>
      <c r="I121" s="323"/>
      <c r="J121" s="323"/>
      <c r="K121" s="308">
        <f>H121*J121</f>
        <v>0</v>
      </c>
      <c r="L121" s="323"/>
      <c r="M121" s="308"/>
      <c r="N121" s="308">
        <f>H121*I121</f>
        <v>0</v>
      </c>
      <c r="O121" s="25">
        <f>N121</f>
        <v>0</v>
      </c>
    </row>
    <row r="122" spans="1:15" ht="12" hidden="1" customHeight="1" x14ac:dyDescent="0.2">
      <c r="B122" s="130"/>
      <c r="G122" s="52"/>
      <c r="H122" s="324"/>
      <c r="I122" s="323"/>
      <c r="J122" s="323"/>
      <c r="K122" s="313"/>
      <c r="L122" s="323"/>
      <c r="M122" s="313"/>
      <c r="N122" s="308"/>
      <c r="O122" s="25"/>
    </row>
    <row r="123" spans="1:15" ht="12" hidden="1" customHeight="1" x14ac:dyDescent="0.2">
      <c r="B123" s="130" t="s">
        <v>18</v>
      </c>
      <c r="C123" s="131"/>
      <c r="D123" s="131"/>
      <c r="E123" s="131"/>
      <c r="F123" s="131"/>
      <c r="G123" s="53"/>
      <c r="H123" s="325"/>
      <c r="I123" s="323"/>
      <c r="J123" s="323"/>
      <c r="K123" s="326"/>
      <c r="L123" s="323"/>
      <c r="M123" s="326"/>
      <c r="N123" s="308">
        <f>N121</f>
        <v>0</v>
      </c>
      <c r="O123" s="25">
        <f>N123</f>
        <v>0</v>
      </c>
    </row>
    <row r="124" spans="1:15" ht="12" hidden="1" customHeight="1" x14ac:dyDescent="0.2">
      <c r="B124" s="130"/>
      <c r="G124" s="52"/>
      <c r="H124" s="324"/>
      <c r="I124" s="323"/>
      <c r="J124" s="323"/>
      <c r="K124" s="313"/>
      <c r="L124" s="323"/>
      <c r="M124" s="313"/>
      <c r="N124" s="308"/>
      <c r="O124" s="25"/>
    </row>
    <row r="125" spans="1:15" s="132" customFormat="1" ht="12" hidden="1" customHeight="1" x14ac:dyDescent="0.2">
      <c r="B125" s="133" t="s">
        <v>20</v>
      </c>
      <c r="C125" s="134"/>
      <c r="D125" s="134"/>
      <c r="E125" s="134"/>
      <c r="F125" s="134"/>
      <c r="G125" s="78"/>
      <c r="H125" s="327"/>
      <c r="I125" s="323"/>
      <c r="J125" s="323"/>
      <c r="K125" s="328"/>
      <c r="L125" s="323"/>
      <c r="M125" s="328"/>
      <c r="N125" s="310">
        <f>N123</f>
        <v>0</v>
      </c>
      <c r="O125" s="77">
        <f>N125/N136</f>
        <v>0</v>
      </c>
    </row>
    <row r="126" spans="1:15" ht="12" hidden="1" customHeight="1" x14ac:dyDescent="0.2">
      <c r="B126" s="130"/>
      <c r="G126" s="52"/>
      <c r="H126" s="324"/>
      <c r="I126" s="323"/>
      <c r="J126" s="323"/>
      <c r="K126" s="313"/>
      <c r="L126" s="323"/>
      <c r="M126" s="313"/>
      <c r="N126" s="308"/>
      <c r="O126" s="25"/>
    </row>
    <row r="127" spans="1:15" ht="12" customHeight="1" x14ac:dyDescent="0.2">
      <c r="A127" s="98" t="s">
        <v>169</v>
      </c>
      <c r="B127" s="88" t="s">
        <v>172</v>
      </c>
      <c r="G127" s="97"/>
      <c r="H127" s="308"/>
      <c r="I127" s="323"/>
      <c r="J127" s="323"/>
      <c r="K127" s="308"/>
      <c r="L127" s="323"/>
      <c r="M127" s="308"/>
      <c r="N127" s="308"/>
      <c r="O127" s="25"/>
    </row>
    <row r="128" spans="1:15" ht="12" customHeight="1" x14ac:dyDescent="0.2">
      <c r="A128" s="98" t="s">
        <v>170</v>
      </c>
      <c r="B128" s="88" t="s">
        <v>173</v>
      </c>
      <c r="G128" s="97"/>
      <c r="H128" s="308"/>
      <c r="I128" s="323"/>
      <c r="J128" s="323"/>
      <c r="K128" s="308"/>
      <c r="L128" s="323"/>
      <c r="M128" s="308"/>
      <c r="N128" s="308"/>
      <c r="O128" s="25"/>
    </row>
    <row r="129" spans="1:16" ht="12" customHeight="1" x14ac:dyDescent="0.2">
      <c r="A129" s="98" t="s">
        <v>187</v>
      </c>
      <c r="B129" s="88" t="s">
        <v>223</v>
      </c>
      <c r="G129" s="97" t="s">
        <v>17</v>
      </c>
      <c r="H129" s="308">
        <f>H14</f>
        <v>709.55</v>
      </c>
      <c r="I129" s="323">
        <f>VLOOKUP(A129,'[1]TAB OGU JUN18'!$A:$G,6,"falso")</f>
        <v>1.23</v>
      </c>
      <c r="J129" s="323">
        <f>VLOOKUP(A129,'[1]TAB OGU JUN18'!$A:$G,4,"falso")</f>
        <v>1.23</v>
      </c>
      <c r="K129" s="308">
        <f>H129*J129</f>
        <v>872.74649999999997</v>
      </c>
      <c r="L129" s="323">
        <f>VLOOKUP(A129,'[1]TAB OGU JUN18'!$A:$G,5,"falso")</f>
        <v>0</v>
      </c>
      <c r="M129" s="308"/>
      <c r="N129" s="308">
        <f>H129*I129</f>
        <v>872.74649999999997</v>
      </c>
      <c r="O129" s="25">
        <f>N129/N132</f>
        <v>0.48425196850393698</v>
      </c>
    </row>
    <row r="130" spans="1:16" ht="12" customHeight="1" x14ac:dyDescent="0.2">
      <c r="A130" s="98" t="s">
        <v>171</v>
      </c>
      <c r="B130" s="88" t="s">
        <v>174</v>
      </c>
      <c r="G130" s="97" t="s">
        <v>17</v>
      </c>
      <c r="H130" s="308">
        <f>H129</f>
        <v>709.55</v>
      </c>
      <c r="I130" s="323">
        <f>VLOOKUP(A130,'[1]TAB OGU JUN18'!$A:$G,6,"falso")</f>
        <v>1.31</v>
      </c>
      <c r="J130" s="323">
        <f>VLOOKUP(A130,'[1]TAB OGU JUN18'!$A:$G,4,"falso")</f>
        <v>1.1399999999999999</v>
      </c>
      <c r="K130" s="308">
        <f>H130*J130</f>
        <v>808.88699999999983</v>
      </c>
      <c r="L130" s="323">
        <f>VLOOKUP(A130,'[1]TAB OGU JUN18'!$A:$G,5,"falso")</f>
        <v>0.17</v>
      </c>
      <c r="M130" s="308">
        <f>L130*H130</f>
        <v>120.62350000000001</v>
      </c>
      <c r="N130" s="308">
        <f>H130*I130</f>
        <v>929.51049999999998</v>
      </c>
      <c r="O130" s="25">
        <f>N130/N132</f>
        <v>0.51574803149606296</v>
      </c>
    </row>
    <row r="131" spans="1:16" ht="12" customHeight="1" x14ac:dyDescent="0.2">
      <c r="B131" s="130"/>
      <c r="G131" s="52"/>
      <c r="H131" s="324"/>
      <c r="I131" s="313"/>
      <c r="J131" s="313"/>
      <c r="K131" s="313"/>
      <c r="L131" s="313"/>
      <c r="M131" s="313"/>
      <c r="N131" s="308"/>
      <c r="O131" s="25"/>
    </row>
    <row r="132" spans="1:16" ht="12" customHeight="1" x14ac:dyDescent="0.2">
      <c r="B132" s="130" t="s">
        <v>18</v>
      </c>
      <c r="C132" s="131"/>
      <c r="D132" s="131"/>
      <c r="E132" s="131"/>
      <c r="F132" s="131"/>
      <c r="G132" s="53"/>
      <c r="H132" s="325"/>
      <c r="I132" s="326"/>
      <c r="J132" s="326"/>
      <c r="K132" s="326"/>
      <c r="L132" s="326"/>
      <c r="M132" s="326"/>
      <c r="N132" s="308">
        <f>N130+N129</f>
        <v>1802.2570000000001</v>
      </c>
      <c r="O132" s="25">
        <f>N132/N134</f>
        <v>1</v>
      </c>
    </row>
    <row r="133" spans="1:16" ht="11.25" customHeight="1" x14ac:dyDescent="0.2">
      <c r="A133" s="98"/>
      <c r="B133" s="88"/>
      <c r="G133" s="97"/>
      <c r="H133" s="308"/>
      <c r="I133" s="308"/>
      <c r="J133" s="308"/>
      <c r="K133" s="308"/>
      <c r="L133" s="308"/>
      <c r="M133" s="308"/>
      <c r="N133" s="308"/>
      <c r="O133" s="25"/>
    </row>
    <row r="134" spans="1:16" s="132" customFormat="1" ht="10.5" customHeight="1" x14ac:dyDescent="0.2">
      <c r="A134" s="145"/>
      <c r="B134" s="133" t="s">
        <v>20</v>
      </c>
      <c r="C134" s="134"/>
      <c r="D134" s="134"/>
      <c r="E134" s="134"/>
      <c r="F134" s="134"/>
      <c r="G134" s="78"/>
      <c r="H134" s="327"/>
      <c r="I134" s="328"/>
      <c r="J134" s="328"/>
      <c r="K134" s="328"/>
      <c r="L134" s="328"/>
      <c r="M134" s="328"/>
      <c r="N134" s="310">
        <f>N132</f>
        <v>1802.2570000000001</v>
      </c>
      <c r="O134" s="77">
        <f>N134/N136</f>
        <v>5.2796688608342808E-2</v>
      </c>
    </row>
    <row r="135" spans="1:16" ht="6" customHeight="1" x14ac:dyDescent="0.2">
      <c r="A135" s="98"/>
      <c r="B135" s="88"/>
      <c r="G135" s="97"/>
      <c r="H135" s="308"/>
      <c r="I135" s="308"/>
      <c r="J135" s="308"/>
      <c r="K135" s="308"/>
      <c r="L135" s="308"/>
      <c r="M135" s="308"/>
      <c r="N135" s="308"/>
      <c r="O135" s="25"/>
    </row>
    <row r="136" spans="1:16" ht="10.5" customHeight="1" x14ac:dyDescent="0.2">
      <c r="A136" s="146"/>
      <c r="B136" s="147" t="s">
        <v>30</v>
      </c>
      <c r="C136" s="146"/>
      <c r="D136" s="146"/>
      <c r="E136" s="146"/>
      <c r="F136" s="146"/>
      <c r="G136" s="146"/>
      <c r="H136" s="342"/>
      <c r="I136" s="342"/>
      <c r="J136" s="342"/>
      <c r="K136" s="284">
        <f>SUM(K14:K135)</f>
        <v>26406.562472624999</v>
      </c>
      <c r="L136" s="284"/>
      <c r="M136" s="285">
        <f>SUM(M14:M135)</f>
        <v>7715.9256824999993</v>
      </c>
      <c r="N136" s="316">
        <f>N134+N104+N77+N69+N60+N24+N117+N125</f>
        <v>34135.796155124997</v>
      </c>
      <c r="O136" s="29"/>
      <c r="P136" s="149"/>
    </row>
    <row r="137" spans="1:16" ht="6" customHeight="1" x14ac:dyDescent="0.2">
      <c r="P137" s="149"/>
    </row>
    <row r="138" spans="1:16" ht="11.25" customHeight="1" x14ac:dyDescent="0.2">
      <c r="A138" s="146"/>
      <c r="B138" s="147" t="s">
        <v>265</v>
      </c>
      <c r="C138" s="146"/>
      <c r="D138" s="146"/>
      <c r="E138" s="146"/>
      <c r="F138" s="146"/>
      <c r="G138" s="146"/>
      <c r="H138" s="148"/>
      <c r="I138" s="148"/>
      <c r="J138" s="148"/>
      <c r="K138" s="284">
        <f>K136+(K136*O5)</f>
        <v>33689.492402574971</v>
      </c>
      <c r="L138" s="284"/>
      <c r="M138" s="284">
        <f>M136+(M136*O7)</f>
        <v>9083.1877134389997</v>
      </c>
      <c r="N138" s="316">
        <f>K138+M138</f>
        <v>42772.680116013973</v>
      </c>
      <c r="O138" s="29">
        <f>N138/RESUMO!H95</f>
        <v>5.9066177800884256E-3</v>
      </c>
      <c r="P138" s="149"/>
    </row>
    <row r="143" spans="1:16" s="150" customFormat="1" ht="12" customHeight="1" x14ac:dyDescent="0.2">
      <c r="A143" s="51"/>
      <c r="B143" s="51"/>
      <c r="C143" s="51"/>
      <c r="D143" s="51"/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2"/>
    </row>
    <row r="144" spans="1:16" s="150" customFormat="1" ht="12" customHeight="1" x14ac:dyDescent="0.2">
      <c r="A144" s="51"/>
      <c r="B144" s="51"/>
      <c r="C144" s="51"/>
      <c r="D144" s="51"/>
      <c r="E144" s="51"/>
      <c r="F144" s="51"/>
      <c r="G144" s="51"/>
      <c r="H144" s="51"/>
      <c r="I144" s="51"/>
      <c r="J144" s="51"/>
      <c r="K144" s="51"/>
      <c r="L144" s="51"/>
      <c r="M144" s="51"/>
      <c r="N144" s="51"/>
      <c r="O144" s="52"/>
    </row>
  </sheetData>
  <mergeCells count="3">
    <mergeCell ref="A2:O2"/>
    <mergeCell ref="N4:O4"/>
    <mergeCell ref="A5:B6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rowBreaks count="1" manualBreakCount="1">
    <brk id="25" max="14" man="1"/>
  </rowBreaks>
  <legacyDrawingHF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Planilha9">
    <tabColor theme="6" tint="0.39997558519241921"/>
    <pageSetUpPr fitToPage="1"/>
  </sheetPr>
  <dimension ref="A1:P70"/>
  <sheetViews>
    <sheetView view="pageBreakPreview" zoomScale="90" zoomScaleNormal="90" zoomScaleSheetLayoutView="90" workbookViewId="0">
      <selection activeCell="T63" sqref="T63"/>
    </sheetView>
  </sheetViews>
  <sheetFormatPr defaultColWidth="11.42578125" defaultRowHeight="12" customHeight="1" x14ac:dyDescent="0.2"/>
  <cols>
    <col min="1" max="1" width="11.42578125" style="156" customWidth="1"/>
    <col min="2" max="5" width="11.42578125" style="51" customWidth="1"/>
    <col min="6" max="6" width="28.7109375" style="51" customWidth="1"/>
    <col min="7" max="9" width="11.42578125" style="51" customWidth="1"/>
    <col min="10" max="10" width="11.42578125" style="51" hidden="1" customWidth="1"/>
    <col min="11" max="11" width="14.28515625" style="51" customWidth="1"/>
    <col min="12" max="12" width="8.42578125" style="51" hidden="1" customWidth="1"/>
    <col min="13" max="13" width="14.28515625" style="51" customWidth="1"/>
    <col min="14" max="14" width="17.140625" style="51" customWidth="1"/>
    <col min="15" max="15" width="11.42578125" style="52" customWidth="1"/>
    <col min="16" max="16384" width="11.42578125" style="51"/>
  </cols>
  <sheetData>
    <row r="1" spans="1:15" ht="7.5" customHeight="1" x14ac:dyDescent="0.2"/>
    <row r="2" spans="1:15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5" ht="7.5" customHeight="1" thickBot="1" x14ac:dyDescent="0.25">
      <c r="A3" s="194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95"/>
    </row>
    <row r="4" spans="1:15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5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5" ht="12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5" ht="12" customHeight="1" x14ac:dyDescent="0.2">
      <c r="A7" s="196"/>
      <c r="B7" s="253"/>
      <c r="C7" s="260" t="s">
        <v>6</v>
      </c>
      <c r="D7" s="263" t="str">
        <f>RESUMO!A47</f>
        <v>U.C. : 13</v>
      </c>
      <c r="E7" s="258"/>
      <c r="F7" s="258"/>
      <c r="G7" s="260" t="s">
        <v>9</v>
      </c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5" ht="12" customHeight="1" thickBot="1" x14ac:dyDescent="0.25">
      <c r="A8" s="197"/>
      <c r="B8" s="125"/>
      <c r="C8" s="266" t="s">
        <v>8</v>
      </c>
      <c r="D8" s="267" t="str">
        <f>RESUMO!B47</f>
        <v>ESTAÇÃO DE TRATAMENTO DE ESGOTO - ETE</v>
      </c>
      <c r="E8" s="268"/>
      <c r="F8" s="268"/>
      <c r="G8" s="266"/>
      <c r="H8" s="123"/>
      <c r="I8" s="278"/>
      <c r="J8" s="278"/>
      <c r="K8" s="278"/>
      <c r="L8" s="278"/>
      <c r="M8" s="278">
        <f>'[1]NÃO MOS'!$B$1</f>
        <v>0</v>
      </c>
      <c r="N8" s="271"/>
      <c r="O8" s="427"/>
    </row>
    <row r="9" spans="1:15" ht="12" customHeight="1" thickTop="1" x14ac:dyDescent="0.2">
      <c r="A9" s="198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5" ht="7.5" customHeight="1" x14ac:dyDescent="0.2">
      <c r="O10" s="19"/>
    </row>
    <row r="11" spans="1:15" ht="12" customHeight="1" x14ac:dyDescent="0.2">
      <c r="A11" s="93">
        <f>RESUMO!A52</f>
        <v>5</v>
      </c>
      <c r="B11" s="93" t="str">
        <f>RESUMO!B52</f>
        <v>INTERLIGAÇÕES - MATERIAIS</v>
      </c>
      <c r="H11" s="61"/>
      <c r="O11" s="19"/>
    </row>
    <row r="12" spans="1:15" ht="12" hidden="1" customHeight="1" x14ac:dyDescent="0.2">
      <c r="A12" s="98" t="s">
        <v>268</v>
      </c>
      <c r="B12" s="88" t="s">
        <v>75</v>
      </c>
      <c r="G12" s="135"/>
      <c r="H12" s="135"/>
      <c r="I12" s="135"/>
      <c r="J12" s="135"/>
      <c r="K12" s="135"/>
      <c r="L12" s="135"/>
      <c r="M12" s="135"/>
      <c r="N12" s="135"/>
      <c r="O12" s="19"/>
    </row>
    <row r="13" spans="1:15" ht="12" hidden="1" customHeight="1" x14ac:dyDescent="0.2">
      <c r="A13" s="140">
        <v>2207</v>
      </c>
      <c r="B13" s="834" t="s">
        <v>486</v>
      </c>
      <c r="C13" s="834"/>
      <c r="D13" s="834"/>
      <c r="E13" s="834"/>
      <c r="F13" s="137"/>
      <c r="G13" s="138"/>
      <c r="H13" s="705"/>
      <c r="I13" s="258"/>
      <c r="J13" s="138"/>
      <c r="K13" s="138"/>
      <c r="L13" s="258"/>
      <c r="M13" s="258"/>
      <c r="N13" s="258"/>
    </row>
    <row r="14" spans="1:15" ht="12" hidden="1" customHeight="1" x14ac:dyDescent="0.2">
      <c r="A14" s="140" t="s">
        <v>934</v>
      </c>
      <c r="B14" s="200" t="s">
        <v>935</v>
      </c>
      <c r="C14" s="153"/>
      <c r="D14" s="153"/>
      <c r="E14" s="153"/>
      <c r="F14" s="153"/>
      <c r="G14" s="139" t="s">
        <v>24</v>
      </c>
      <c r="H14" s="286">
        <v>0</v>
      </c>
      <c r="I14" s="323">
        <f>VLOOKUP(A14,'[1]TAB OGU JUN18'!$A:$G,6,"falso")</f>
        <v>429.71</v>
      </c>
      <c r="J14" s="314"/>
      <c r="K14" s="314"/>
      <c r="L14" s="323">
        <f>VLOOKUP(A14,'[1]TAB OGU JUN18'!$A:$G,5,"falso")</f>
        <v>429.71</v>
      </c>
      <c r="M14" s="308">
        <f>H14*L14</f>
        <v>0</v>
      </c>
      <c r="N14" s="286">
        <f>H14*I14</f>
        <v>0</v>
      </c>
      <c r="O14" s="232" t="e">
        <f>N14/N16</f>
        <v>#DIV/0!</v>
      </c>
    </row>
    <row r="15" spans="1:15" ht="12" hidden="1" customHeight="1" x14ac:dyDescent="0.2">
      <c r="A15" s="140"/>
      <c r="B15" s="200"/>
      <c r="C15" s="153"/>
      <c r="D15" s="153"/>
      <c r="E15" s="153"/>
      <c r="F15" s="153"/>
      <c r="G15" s="139"/>
      <c r="H15" s="286"/>
      <c r="I15" s="314"/>
      <c r="J15" s="314"/>
      <c r="K15" s="314"/>
      <c r="L15" s="314"/>
      <c r="M15" s="308"/>
      <c r="N15" s="286"/>
      <c r="O15" s="232"/>
    </row>
    <row r="16" spans="1:15" ht="12" hidden="1" customHeight="1" x14ac:dyDescent="0.2">
      <c r="A16" s="202"/>
      <c r="B16" s="142" t="s">
        <v>18</v>
      </c>
      <c r="C16" s="143"/>
      <c r="D16" s="143"/>
      <c r="E16" s="143"/>
      <c r="F16" s="188"/>
      <c r="G16" s="287"/>
      <c r="H16" s="364"/>
      <c r="I16" s="362"/>
      <c r="J16" s="362"/>
      <c r="K16" s="362"/>
      <c r="L16" s="362"/>
      <c r="M16" s="362"/>
      <c r="N16" s="286">
        <f>N14</f>
        <v>0</v>
      </c>
      <c r="O16" s="232">
        <f>N16/$N$26</f>
        <v>0</v>
      </c>
    </row>
    <row r="17" spans="1:15" ht="12" hidden="1" customHeight="1" x14ac:dyDescent="0.2">
      <c r="A17" s="202"/>
      <c r="B17" s="138"/>
      <c r="C17" s="138"/>
      <c r="D17" s="138"/>
      <c r="E17" s="138"/>
      <c r="F17" s="137"/>
      <c r="G17" s="139"/>
      <c r="H17" s="286"/>
      <c r="I17" s="314"/>
      <c r="J17" s="286"/>
      <c r="K17" s="286"/>
      <c r="L17" s="314"/>
      <c r="M17" s="314"/>
      <c r="N17" s="314"/>
    </row>
    <row r="18" spans="1:15" ht="12" customHeight="1" x14ac:dyDescent="0.2">
      <c r="A18" s="140">
        <v>2281</v>
      </c>
      <c r="B18" s="834" t="s">
        <v>487</v>
      </c>
      <c r="C18" s="834"/>
      <c r="D18" s="834"/>
      <c r="E18" s="834"/>
      <c r="F18" s="137"/>
      <c r="G18" s="139"/>
      <c r="H18" s="349"/>
      <c r="I18" s="346"/>
      <c r="J18" s="349"/>
      <c r="K18" s="349"/>
      <c r="L18" s="346"/>
      <c r="M18" s="346"/>
      <c r="N18" s="346"/>
    </row>
    <row r="19" spans="1:15" ht="12" hidden="1" customHeight="1" x14ac:dyDescent="0.2">
      <c r="A19" s="140" t="s">
        <v>875</v>
      </c>
      <c r="B19" s="836" t="s">
        <v>876</v>
      </c>
      <c r="C19" s="836"/>
      <c r="D19" s="836"/>
      <c r="E19" s="836"/>
      <c r="F19" s="836"/>
      <c r="G19" s="288" t="s">
        <v>24</v>
      </c>
      <c r="H19" s="293">
        <v>0</v>
      </c>
      <c r="I19" s="323">
        <f>VLOOKUP(A19,'[1]TAB OGU JUN18'!$A:$G,6,"falso")</f>
        <v>1738.3</v>
      </c>
      <c r="J19" s="314"/>
      <c r="K19" s="314"/>
      <c r="L19" s="323">
        <f>VLOOKUP(A19,'[1]TAB OGU JUN18'!$A:$G,5,"falso")</f>
        <v>1738.3</v>
      </c>
      <c r="M19" s="308">
        <f>H19*L19</f>
        <v>0</v>
      </c>
      <c r="N19" s="286">
        <f>H19*I19</f>
        <v>0</v>
      </c>
      <c r="O19" s="320">
        <f>N19/N24</f>
        <v>0</v>
      </c>
    </row>
    <row r="20" spans="1:15" ht="12" customHeight="1" x14ac:dyDescent="0.2">
      <c r="A20" s="140" t="s">
        <v>880</v>
      </c>
      <c r="B20" s="836" t="s">
        <v>920</v>
      </c>
      <c r="C20" s="836"/>
      <c r="D20" s="836"/>
      <c r="E20" s="836"/>
      <c r="F20" s="836"/>
      <c r="G20" s="288" t="s">
        <v>24</v>
      </c>
      <c r="H20" s="293">
        <f>ROUNDUP('15'!H91/5.8,0)</f>
        <v>20</v>
      </c>
      <c r="I20" s="323">
        <f>VLOOKUP(A20,'[1]TAB OGU JUN18'!$A:$G,6,"falso")</f>
        <v>3209.94</v>
      </c>
      <c r="J20" s="314"/>
      <c r="K20" s="314"/>
      <c r="L20" s="323">
        <f>VLOOKUP(A20,'[1]TAB OGU JUN18'!$A:$G,5,"falso")</f>
        <v>3209.94</v>
      </c>
      <c r="M20" s="308">
        <f>H20*L20</f>
        <v>64198.8</v>
      </c>
      <c r="N20" s="286">
        <f>H20*I20</f>
        <v>64198.8</v>
      </c>
      <c r="O20" s="320">
        <f>N20/N24</f>
        <v>1</v>
      </c>
    </row>
    <row r="21" spans="1:15" ht="12" hidden="1" customHeight="1" x14ac:dyDescent="0.2">
      <c r="A21" s="140" t="s">
        <v>1363</v>
      </c>
      <c r="B21" s="836" t="s">
        <v>1365</v>
      </c>
      <c r="C21" s="836"/>
      <c r="D21" s="836"/>
      <c r="E21" s="836"/>
      <c r="F21" s="836"/>
      <c r="G21" s="288" t="s">
        <v>24</v>
      </c>
      <c r="H21" s="293">
        <v>0</v>
      </c>
      <c r="I21" s="323">
        <f>VLOOKUP(A21,'[1]TAB OGU JUN18'!$A:$G,6,"falso")</f>
        <v>4981.3900000000003</v>
      </c>
      <c r="J21" s="314"/>
      <c r="K21" s="314"/>
      <c r="L21" s="323">
        <f>VLOOKUP(A21,'[1]TAB OGU JUN18'!$A:$G,5,"falso")</f>
        <v>4981.3900000000003</v>
      </c>
      <c r="M21" s="308">
        <f t="shared" ref="M21:M22" si="0">H21*L21</f>
        <v>0</v>
      </c>
      <c r="N21" s="286">
        <f t="shared" ref="N21:N22" si="1">H21*I21</f>
        <v>0</v>
      </c>
      <c r="O21" s="320">
        <f>N21/N24</f>
        <v>0</v>
      </c>
    </row>
    <row r="22" spans="1:15" ht="12" hidden="1" customHeight="1" x14ac:dyDescent="0.2">
      <c r="A22" s="140" t="s">
        <v>1364</v>
      </c>
      <c r="B22" s="836" t="s">
        <v>1366</v>
      </c>
      <c r="C22" s="836"/>
      <c r="D22" s="836"/>
      <c r="E22" s="836"/>
      <c r="F22" s="836"/>
      <c r="G22" s="288" t="s">
        <v>24</v>
      </c>
      <c r="H22" s="293">
        <v>0</v>
      </c>
      <c r="I22" s="323">
        <f>VLOOKUP(A22,'[1]TAB OGU JUN18'!$A:$G,6,"falso")</f>
        <v>6799.5</v>
      </c>
      <c r="J22" s="314"/>
      <c r="K22" s="314"/>
      <c r="L22" s="323">
        <f>VLOOKUP(A22,'[1]TAB OGU JUN18'!$A:$G,5,"falso")</f>
        <v>6799.5</v>
      </c>
      <c r="M22" s="308">
        <f t="shared" si="0"/>
        <v>0</v>
      </c>
      <c r="N22" s="286">
        <f t="shared" si="1"/>
        <v>0</v>
      </c>
      <c r="O22" s="320">
        <f>N22/N24</f>
        <v>0</v>
      </c>
    </row>
    <row r="23" spans="1:15" ht="12" customHeight="1" x14ac:dyDescent="0.2">
      <c r="A23" s="140"/>
      <c r="B23" s="138"/>
      <c r="C23" s="138"/>
      <c r="D23" s="138"/>
      <c r="E23" s="138"/>
      <c r="F23" s="138"/>
      <c r="G23" s="139"/>
      <c r="H23" s="286"/>
      <c r="I23" s="314"/>
      <c r="J23" s="314"/>
      <c r="K23" s="314"/>
      <c r="L23" s="314"/>
      <c r="M23" s="314"/>
      <c r="N23" s="286"/>
      <c r="O23" s="232"/>
    </row>
    <row r="24" spans="1:15" ht="12" customHeight="1" x14ac:dyDescent="0.2">
      <c r="A24" s="202"/>
      <c r="B24" s="142" t="s">
        <v>18</v>
      </c>
      <c r="C24" s="143"/>
      <c r="D24" s="143"/>
      <c r="E24" s="143"/>
      <c r="F24" s="188"/>
      <c r="G24" s="144"/>
      <c r="H24" s="364"/>
      <c r="I24" s="362"/>
      <c r="J24" s="362"/>
      <c r="K24" s="362"/>
      <c r="L24" s="362"/>
      <c r="M24" s="362"/>
      <c r="N24" s="286">
        <f>SUM(N19:N22)</f>
        <v>64198.8</v>
      </c>
      <c r="O24" s="232">
        <f>N24/$N$26</f>
        <v>1</v>
      </c>
    </row>
    <row r="25" spans="1:15" ht="12" customHeight="1" x14ac:dyDescent="0.2">
      <c r="A25" s="202"/>
      <c r="B25" s="138"/>
      <c r="C25" s="138"/>
      <c r="D25" s="138"/>
      <c r="E25" s="138"/>
      <c r="F25" s="137"/>
      <c r="G25" s="138"/>
      <c r="H25" s="286"/>
      <c r="I25" s="314"/>
      <c r="J25" s="286"/>
      <c r="K25" s="286"/>
      <c r="L25" s="314"/>
      <c r="M25" s="314"/>
      <c r="N25" s="314"/>
    </row>
    <row r="26" spans="1:15" s="132" customFormat="1" ht="12" customHeight="1" x14ac:dyDescent="0.2">
      <c r="A26" s="157"/>
      <c r="B26" s="133" t="s">
        <v>20</v>
      </c>
      <c r="C26" s="134"/>
      <c r="D26" s="134"/>
      <c r="E26" s="134"/>
      <c r="F26" s="134"/>
      <c r="G26" s="228"/>
      <c r="H26" s="363"/>
      <c r="I26" s="363"/>
      <c r="J26" s="363"/>
      <c r="K26" s="363"/>
      <c r="L26" s="363"/>
      <c r="M26" s="363"/>
      <c r="N26" s="310">
        <f>N24+N16</f>
        <v>64198.8</v>
      </c>
      <c r="O26" s="77">
        <f>N26/N55</f>
        <v>0.64593699394682336</v>
      </c>
    </row>
    <row r="27" spans="1:15" ht="12" customHeight="1" x14ac:dyDescent="0.2">
      <c r="G27" s="135"/>
      <c r="H27" s="314"/>
      <c r="I27" s="314"/>
      <c r="J27" s="314"/>
      <c r="K27" s="314"/>
      <c r="L27" s="314"/>
      <c r="M27" s="314"/>
      <c r="N27" s="314"/>
      <c r="O27" s="19"/>
    </row>
    <row r="28" spans="1:15" ht="12" customHeight="1" x14ac:dyDescent="0.2">
      <c r="A28" s="98"/>
      <c r="B28" s="88" t="s">
        <v>29</v>
      </c>
      <c r="G28" s="135"/>
      <c r="H28" s="314"/>
      <c r="I28" s="314"/>
      <c r="J28" s="314"/>
      <c r="K28" s="314"/>
      <c r="L28" s="314"/>
      <c r="M28" s="314"/>
      <c r="N28" s="314"/>
      <c r="O28" s="19"/>
    </row>
    <row r="29" spans="1:15" ht="12" customHeight="1" x14ac:dyDescent="0.2">
      <c r="A29" s="98" t="s">
        <v>275</v>
      </c>
      <c r="B29" s="88" t="s">
        <v>36</v>
      </c>
      <c r="G29" s="135"/>
      <c r="H29" s="314"/>
      <c r="I29" s="314"/>
      <c r="J29" s="314"/>
      <c r="K29" s="314"/>
      <c r="L29" s="314"/>
      <c r="M29" s="314"/>
      <c r="N29" s="314"/>
      <c r="O29" s="19"/>
    </row>
    <row r="30" spans="1:15" ht="12" hidden="1" customHeight="1" x14ac:dyDescent="0.2">
      <c r="A30" s="98" t="s">
        <v>506</v>
      </c>
      <c r="B30" s="88" t="s">
        <v>179</v>
      </c>
      <c r="G30" s="97" t="s">
        <v>17</v>
      </c>
      <c r="H30" s="308">
        <f>'15'!H81</f>
        <v>0</v>
      </c>
      <c r="I30" s="323">
        <f>VLOOKUP(A30,'[1]TAB OGU JUN18'!$A:$G,6,"falso")</f>
        <v>17.489999999999998</v>
      </c>
      <c r="J30" s="314"/>
      <c r="K30" s="314"/>
      <c r="L30" s="323">
        <f>VLOOKUP(A30,'[1]TAB OGU JUN18'!$A:$G,5,"falso")</f>
        <v>17.489999999999998</v>
      </c>
      <c r="M30" s="308">
        <f>H30*L30</f>
        <v>0</v>
      </c>
      <c r="N30" s="286">
        <f>H30*I30</f>
        <v>0</v>
      </c>
      <c r="O30" s="25">
        <f>N30/$N$37</f>
        <v>0</v>
      </c>
    </row>
    <row r="31" spans="1:15" s="279" customFormat="1" ht="12" hidden="1" customHeight="1" x14ac:dyDescent="0.2">
      <c r="A31" s="98" t="s">
        <v>276</v>
      </c>
      <c r="B31" s="88" t="s">
        <v>78</v>
      </c>
      <c r="C31" s="51"/>
      <c r="D31" s="51"/>
      <c r="E31" s="51"/>
      <c r="F31" s="51"/>
      <c r="G31" s="97" t="s">
        <v>17</v>
      </c>
      <c r="H31" s="308">
        <f>'15'!H82</f>
        <v>0</v>
      </c>
      <c r="I31" s="323">
        <f>VLOOKUP(A31,'[1]TAB OGU JUN18'!$A:$G,6,"falso")</f>
        <v>37.630000000000003</v>
      </c>
      <c r="J31" s="314"/>
      <c r="K31" s="314"/>
      <c r="L31" s="323">
        <f>VLOOKUP(A31,'[1]TAB OGU JUN18'!$A:$G,5,"falso")</f>
        <v>37.630000000000003</v>
      </c>
      <c r="M31" s="308">
        <f>H31*L31</f>
        <v>0</v>
      </c>
      <c r="N31" s="286">
        <f>H31*I31</f>
        <v>0</v>
      </c>
      <c r="O31" s="25">
        <f>N31/$N$37</f>
        <v>0</v>
      </c>
    </row>
    <row r="32" spans="1:15" s="279" customFormat="1" ht="12" customHeight="1" x14ac:dyDescent="0.2">
      <c r="A32" s="98" t="s">
        <v>277</v>
      </c>
      <c r="B32" s="88" t="s">
        <v>205</v>
      </c>
      <c r="C32" s="51"/>
      <c r="D32" s="51"/>
      <c r="E32" s="51"/>
      <c r="F32" s="51"/>
      <c r="G32" s="97" t="s">
        <v>17</v>
      </c>
      <c r="H32" s="308">
        <f>'15'!H83</f>
        <v>598.65</v>
      </c>
      <c r="I32" s="323">
        <f>VLOOKUP(A32,'[1]TAB OGU JUN18'!$A:$G,6,"falso")</f>
        <v>58.74</v>
      </c>
      <c r="J32" s="314"/>
      <c r="K32" s="314"/>
      <c r="L32" s="323">
        <f>VLOOKUP(A32,'[1]TAB OGU JUN18'!$A:$G,5,"falso")</f>
        <v>58.74</v>
      </c>
      <c r="M32" s="308">
        <f>H32*L32</f>
        <v>35164.701000000001</v>
      </c>
      <c r="N32" s="286">
        <f>H32*I32</f>
        <v>35164.701000000001</v>
      </c>
      <c r="O32" s="25">
        <f>N32/$N$37</f>
        <v>1</v>
      </c>
    </row>
    <row r="33" spans="1:16" s="279" customFormat="1" ht="12" hidden="1" customHeight="1" x14ac:dyDescent="0.2">
      <c r="A33" s="98" t="s">
        <v>792</v>
      </c>
      <c r="B33" s="88" t="s">
        <v>793</v>
      </c>
      <c r="C33" s="51"/>
      <c r="D33" s="51"/>
      <c r="E33" s="51"/>
      <c r="F33" s="51"/>
      <c r="G33" s="97" t="s">
        <v>17</v>
      </c>
      <c r="H33" s="308">
        <f>'15'!H84</f>
        <v>0</v>
      </c>
      <c r="I33" s="323">
        <f>VLOOKUP(A33,'[1]TAB OGU JUN18'!$A:$G,6,"falso")</f>
        <v>99.57</v>
      </c>
      <c r="J33" s="314"/>
      <c r="K33" s="314"/>
      <c r="L33" s="323">
        <f>VLOOKUP(A33,'[1]TAB OGU JUN18'!$A:$G,5,"falso")</f>
        <v>99.57</v>
      </c>
      <c r="M33" s="308">
        <f>H33*L33</f>
        <v>0</v>
      </c>
      <c r="N33" s="286">
        <f>H33*I33</f>
        <v>0</v>
      </c>
      <c r="O33" s="25">
        <f>N33/$N$37</f>
        <v>0</v>
      </c>
    </row>
    <row r="34" spans="1:16" s="279" customFormat="1" ht="12" hidden="1" customHeight="1" x14ac:dyDescent="0.2">
      <c r="A34" s="98" t="s">
        <v>1367</v>
      </c>
      <c r="B34" s="88" t="s">
        <v>1369</v>
      </c>
      <c r="C34" s="51"/>
      <c r="D34" s="51"/>
      <c r="E34" s="51"/>
      <c r="F34" s="51"/>
      <c r="G34" s="97" t="s">
        <v>17</v>
      </c>
      <c r="H34" s="308">
        <f>'15'!H85</f>
        <v>0</v>
      </c>
      <c r="I34" s="323">
        <f>VLOOKUP(A34,'[1]TAB OGU JUN18'!$A:$G,6,"falso")</f>
        <v>161.36000000000001</v>
      </c>
      <c r="J34" s="314"/>
      <c r="K34" s="314"/>
      <c r="L34" s="323">
        <f>VLOOKUP(A34,'[1]TAB OGU JUN18'!$A:$G,5,"falso")</f>
        <v>161.36000000000001</v>
      </c>
      <c r="M34" s="308">
        <f t="shared" ref="M34:M35" si="2">H34*L34</f>
        <v>0</v>
      </c>
      <c r="N34" s="286">
        <f t="shared" ref="N34:N35" si="3">H34*I34</f>
        <v>0</v>
      </c>
      <c r="O34" s="25">
        <f t="shared" ref="O34:O35" si="4">N34/$N$37</f>
        <v>0</v>
      </c>
    </row>
    <row r="35" spans="1:16" s="279" customFormat="1" ht="12" hidden="1" customHeight="1" x14ac:dyDescent="0.2">
      <c r="A35" s="98" t="s">
        <v>1368</v>
      </c>
      <c r="B35" s="88" t="s">
        <v>1370</v>
      </c>
      <c r="C35" s="51"/>
      <c r="D35" s="51"/>
      <c r="E35" s="51"/>
      <c r="F35" s="51"/>
      <c r="G35" s="97" t="s">
        <v>17</v>
      </c>
      <c r="H35" s="308">
        <f>'15'!H86</f>
        <v>0</v>
      </c>
      <c r="I35" s="323">
        <f>VLOOKUP(A35,'[1]TAB OGU JUN18'!$A:$G,6,"falso")</f>
        <v>260.39999999999998</v>
      </c>
      <c r="J35" s="314"/>
      <c r="K35" s="314"/>
      <c r="L35" s="323">
        <f>VLOOKUP(A35,'[1]TAB OGU JUN18'!$A:$G,5,"falso")</f>
        <v>260.39999999999998</v>
      </c>
      <c r="M35" s="308">
        <f t="shared" si="2"/>
        <v>0</v>
      </c>
      <c r="N35" s="286">
        <f t="shared" si="3"/>
        <v>0</v>
      </c>
      <c r="O35" s="25">
        <f t="shared" si="4"/>
        <v>0</v>
      </c>
    </row>
    <row r="36" spans="1:16" s="279" customFormat="1" ht="12" customHeight="1" x14ac:dyDescent="0.2">
      <c r="A36" s="98"/>
      <c r="B36" s="88"/>
      <c r="C36" s="51"/>
      <c r="D36" s="51"/>
      <c r="E36" s="51"/>
      <c r="F36" s="51"/>
      <c r="G36" s="97"/>
      <c r="H36" s="308"/>
      <c r="I36" s="308"/>
      <c r="J36" s="308"/>
      <c r="K36" s="308"/>
      <c r="L36" s="308"/>
      <c r="M36" s="308"/>
      <c r="N36" s="308"/>
      <c r="O36" s="25"/>
    </row>
    <row r="37" spans="1:16" ht="12" customHeight="1" x14ac:dyDescent="0.2">
      <c r="B37" s="130" t="s">
        <v>18</v>
      </c>
      <c r="C37" s="131"/>
      <c r="D37" s="131"/>
      <c r="E37" s="131"/>
      <c r="F37" s="131"/>
      <c r="G37" s="136"/>
      <c r="H37" s="362"/>
      <c r="I37" s="362"/>
      <c r="J37" s="362"/>
      <c r="K37" s="362"/>
      <c r="L37" s="362"/>
      <c r="M37" s="362"/>
      <c r="N37" s="308">
        <f>N31+N32+N30+N33+N34+N35</f>
        <v>35164.701000000001</v>
      </c>
      <c r="O37" s="25">
        <f>N37/N39</f>
        <v>1</v>
      </c>
    </row>
    <row r="38" spans="1:16" ht="12" customHeight="1" x14ac:dyDescent="0.2">
      <c r="G38" s="135"/>
      <c r="H38" s="314"/>
      <c r="I38" s="314"/>
      <c r="J38" s="314"/>
      <c r="K38" s="314"/>
      <c r="L38" s="314"/>
      <c r="M38" s="314"/>
      <c r="N38" s="314"/>
      <c r="O38" s="19"/>
    </row>
    <row r="39" spans="1:16" s="132" customFormat="1" ht="12" customHeight="1" x14ac:dyDescent="0.2">
      <c r="A39" s="157"/>
      <c r="B39" s="133" t="s">
        <v>20</v>
      </c>
      <c r="C39" s="134"/>
      <c r="D39" s="134"/>
      <c r="E39" s="134"/>
      <c r="F39" s="134"/>
      <c r="G39" s="228"/>
      <c r="H39" s="363"/>
      <c r="I39" s="363"/>
      <c r="J39" s="363"/>
      <c r="K39" s="363"/>
      <c r="L39" s="363"/>
      <c r="M39" s="363"/>
      <c r="N39" s="310">
        <f>N37</f>
        <v>35164.701000000001</v>
      </c>
      <c r="O39" s="77">
        <f>N39/N55</f>
        <v>0.35381005964252998</v>
      </c>
    </row>
    <row r="40" spans="1:16" ht="12" customHeight="1" x14ac:dyDescent="0.2">
      <c r="G40" s="52"/>
      <c r="H40" s="324"/>
      <c r="I40" s="313"/>
      <c r="J40" s="313"/>
      <c r="K40" s="313"/>
      <c r="L40" s="313"/>
      <c r="M40" s="313"/>
      <c r="N40" s="313"/>
      <c r="O40" s="19"/>
    </row>
    <row r="41" spans="1:16" ht="12" customHeight="1" x14ac:dyDescent="0.2">
      <c r="A41" s="98"/>
      <c r="B41" s="200" t="s">
        <v>534</v>
      </c>
      <c r="G41" s="135"/>
      <c r="H41" s="314"/>
      <c r="I41" s="314"/>
      <c r="J41" s="314"/>
      <c r="K41" s="314"/>
      <c r="L41" s="314"/>
      <c r="M41" s="314"/>
      <c r="N41" s="314"/>
      <c r="O41" s="19"/>
    </row>
    <row r="42" spans="1:16" ht="12" customHeight="1" x14ac:dyDescent="0.2">
      <c r="A42" s="98" t="s">
        <v>510</v>
      </c>
      <c r="B42" s="88" t="s">
        <v>535</v>
      </c>
      <c r="G42" s="135"/>
      <c r="H42" s="314"/>
      <c r="I42" s="314"/>
      <c r="J42" s="314"/>
      <c r="K42" s="314"/>
      <c r="L42" s="314"/>
      <c r="M42" s="314"/>
      <c r="N42" s="314"/>
      <c r="O42" s="19"/>
    </row>
    <row r="43" spans="1:16" ht="12" hidden="1" customHeight="1" x14ac:dyDescent="0.2">
      <c r="A43" s="252" t="s">
        <v>929</v>
      </c>
      <c r="B43" s="200" t="s">
        <v>930</v>
      </c>
      <c r="G43" s="289" t="s">
        <v>24</v>
      </c>
      <c r="H43" s="308">
        <v>0</v>
      </c>
      <c r="I43" s="323">
        <f>VLOOKUP(A43,'[1]TAB OGU JUN18'!$A:$G,6,"falso")</f>
        <v>0.61</v>
      </c>
      <c r="J43" s="314"/>
      <c r="K43" s="314"/>
      <c r="L43" s="323">
        <f>VLOOKUP(A43,'[1]TAB OGU JUN18'!$A:$G,5,"falso")</f>
        <v>0.61</v>
      </c>
      <c r="M43" s="308">
        <f>H43*L43</f>
        <v>0</v>
      </c>
      <c r="N43" s="286">
        <f>H43*I43</f>
        <v>0</v>
      </c>
      <c r="O43" s="25">
        <f>N43/N51</f>
        <v>0</v>
      </c>
    </row>
    <row r="44" spans="1:16" ht="12" customHeight="1" x14ac:dyDescent="0.2">
      <c r="A44" s="252" t="s">
        <v>927</v>
      </c>
      <c r="B44" s="200" t="s">
        <v>928</v>
      </c>
      <c r="G44" s="289" t="s">
        <v>24</v>
      </c>
      <c r="H44" s="308">
        <v>5</v>
      </c>
      <c r="I44" s="323">
        <f>VLOOKUP(A44,'[1]TAB OGU JUN18'!$A:$G,6,"falso")</f>
        <v>1.02</v>
      </c>
      <c r="J44" s="314"/>
      <c r="K44" s="314"/>
      <c r="L44" s="323">
        <f>VLOOKUP(A44,'[1]TAB OGU JUN18'!$A:$G,5,"falso")</f>
        <v>1.02</v>
      </c>
      <c r="M44" s="308">
        <f>H44*L44</f>
        <v>5.0999999999999996</v>
      </c>
      <c r="N44" s="286">
        <f>H44*I44</f>
        <v>5.0999999999999996</v>
      </c>
      <c r="O44" s="25">
        <f>N44/$N$51</f>
        <v>0.20286396181384247</v>
      </c>
    </row>
    <row r="45" spans="1:16" s="279" customFormat="1" ht="12" hidden="1" customHeight="1" x14ac:dyDescent="0.2">
      <c r="A45" s="98" t="s">
        <v>931</v>
      </c>
      <c r="B45" s="88" t="s">
        <v>932</v>
      </c>
      <c r="C45" s="51"/>
      <c r="D45" s="51"/>
      <c r="E45" s="51"/>
      <c r="F45" s="51"/>
      <c r="G45" s="97" t="s">
        <v>24</v>
      </c>
      <c r="H45" s="308">
        <v>0</v>
      </c>
      <c r="I45" s="323"/>
      <c r="J45" s="314"/>
      <c r="K45" s="314"/>
      <c r="L45" s="323" t="e">
        <f>VLOOKUP(A45,'[1]TAB OGU JUN18'!$A:$G,5,"falso")</f>
        <v>#N/A</v>
      </c>
      <c r="M45" s="308"/>
      <c r="N45" s="286"/>
      <c r="O45" s="25">
        <f t="shared" ref="O45:O47" si="5">N45/$N$51</f>
        <v>0</v>
      </c>
      <c r="P45" s="279">
        <v>38026</v>
      </c>
    </row>
    <row r="46" spans="1:16" s="279" customFormat="1" ht="12" hidden="1" customHeight="1" x14ac:dyDescent="0.2">
      <c r="A46" s="98" t="s">
        <v>833</v>
      </c>
      <c r="B46" s="88" t="s">
        <v>933</v>
      </c>
      <c r="C46" s="51"/>
      <c r="D46" s="51"/>
      <c r="E46" s="51"/>
      <c r="F46" s="51"/>
      <c r="G46" s="97" t="s">
        <v>24</v>
      </c>
      <c r="H46" s="308">
        <v>20</v>
      </c>
      <c r="I46" s="323"/>
      <c r="J46" s="314"/>
      <c r="K46" s="314"/>
      <c r="L46" s="323" t="e">
        <f>VLOOKUP(A46,'[1]TAB OGU JUN18'!$A:$G,5,"falso")</f>
        <v>#N/A</v>
      </c>
      <c r="M46" s="308"/>
      <c r="N46" s="286"/>
      <c r="O46" s="25">
        <f t="shared" si="5"/>
        <v>0</v>
      </c>
      <c r="P46" s="279">
        <v>3532</v>
      </c>
    </row>
    <row r="47" spans="1:16" s="279" customFormat="1" ht="12" hidden="1" customHeight="1" x14ac:dyDescent="0.2">
      <c r="A47" s="98" t="s">
        <v>1372</v>
      </c>
      <c r="B47" s="88" t="s">
        <v>1371</v>
      </c>
      <c r="C47" s="51"/>
      <c r="D47" s="51"/>
      <c r="E47" s="51"/>
      <c r="F47" s="51"/>
      <c r="G47" s="97" t="s">
        <v>24</v>
      </c>
      <c r="H47" s="308">
        <v>0</v>
      </c>
      <c r="I47" s="323">
        <f>VLOOKUP(A47,'[1]TAB OGU JUN18'!$A:$G,6,"falso")</f>
        <v>3.2</v>
      </c>
      <c r="J47" s="314"/>
      <c r="K47" s="314"/>
      <c r="L47" s="323">
        <f>VLOOKUP(A47,'[1]TAB OGU JUN18'!$A:$G,5,"falso")</f>
        <v>3.2</v>
      </c>
      <c r="M47" s="308">
        <f t="shared" ref="M47" si="6">H47*L47</f>
        <v>0</v>
      </c>
      <c r="N47" s="286">
        <f t="shared" ref="N47" si="7">H47*I47</f>
        <v>0</v>
      </c>
      <c r="O47" s="25">
        <f t="shared" si="5"/>
        <v>0</v>
      </c>
    </row>
    <row r="48" spans="1:16" s="627" customFormat="1" ht="12" hidden="1" customHeight="1" x14ac:dyDescent="0.2">
      <c r="A48" s="98" t="s">
        <v>490</v>
      </c>
      <c r="B48" s="88" t="s">
        <v>1373</v>
      </c>
      <c r="C48" s="626"/>
      <c r="D48" s="626"/>
      <c r="E48" s="626"/>
      <c r="F48" s="626"/>
      <c r="G48" s="97" t="s">
        <v>24</v>
      </c>
      <c r="H48" s="308">
        <v>0</v>
      </c>
      <c r="I48" s="323">
        <f>VLOOKUP(A48,'[1]TAB OGU JUN18'!$A:$G,6,"falso")</f>
        <v>1.33</v>
      </c>
      <c r="J48" s="314"/>
      <c r="K48" s="314"/>
      <c r="L48" s="323">
        <f>VLOOKUP(A48,'[1]TAB OGU JUN18'!$A:$G,5,"falso")</f>
        <v>1.33</v>
      </c>
      <c r="M48" s="308">
        <f t="shared" ref="M48:M49" si="8">H48*L48</f>
        <v>0</v>
      </c>
      <c r="N48" s="286">
        <f t="shared" ref="N48:N49" si="9">H48*I48</f>
        <v>0</v>
      </c>
      <c r="O48" s="25">
        <f t="shared" ref="O48:O49" si="10">N48/$N$51</f>
        <v>0</v>
      </c>
    </row>
    <row r="49" spans="1:16" s="627" customFormat="1" ht="12" customHeight="1" x14ac:dyDescent="0.2">
      <c r="A49" s="98" t="s">
        <v>491</v>
      </c>
      <c r="B49" s="88" t="s">
        <v>1374</v>
      </c>
      <c r="C49" s="626"/>
      <c r="D49" s="626"/>
      <c r="E49" s="626"/>
      <c r="F49" s="626"/>
      <c r="G49" s="97" t="s">
        <v>24</v>
      </c>
      <c r="H49" s="308">
        <v>12</v>
      </c>
      <c r="I49" s="323">
        <f>VLOOKUP(A49,'[1]TAB OGU JUN18'!$A:$G,6,"falso")</f>
        <v>1.67</v>
      </c>
      <c r="J49" s="314"/>
      <c r="K49" s="314"/>
      <c r="L49" s="323">
        <f>VLOOKUP(A49,'[1]TAB OGU JUN18'!$A:$G,5,"falso")</f>
        <v>1.67</v>
      </c>
      <c r="M49" s="308">
        <f t="shared" si="8"/>
        <v>20.04</v>
      </c>
      <c r="N49" s="286">
        <f t="shared" si="9"/>
        <v>20.04</v>
      </c>
      <c r="O49" s="25">
        <f t="shared" si="10"/>
        <v>0.79713603818615741</v>
      </c>
    </row>
    <row r="50" spans="1:16" s="279" customFormat="1" ht="12" customHeight="1" x14ac:dyDescent="0.2">
      <c r="A50" s="98"/>
      <c r="B50" s="88"/>
      <c r="C50" s="51"/>
      <c r="D50" s="51"/>
      <c r="E50" s="51"/>
      <c r="F50" s="51"/>
      <c r="G50" s="97"/>
      <c r="H50" s="308"/>
      <c r="I50" s="308"/>
      <c r="J50" s="308"/>
      <c r="K50" s="308"/>
      <c r="L50" s="308"/>
      <c r="M50" s="308"/>
      <c r="N50" s="308"/>
      <c r="O50" s="25"/>
    </row>
    <row r="51" spans="1:16" ht="12" customHeight="1" x14ac:dyDescent="0.2">
      <c r="B51" s="130" t="s">
        <v>18</v>
      </c>
      <c r="C51" s="131"/>
      <c r="D51" s="131"/>
      <c r="E51" s="131"/>
      <c r="F51" s="131"/>
      <c r="G51" s="136"/>
      <c r="H51" s="362"/>
      <c r="I51" s="362"/>
      <c r="J51" s="362"/>
      <c r="K51" s="362"/>
      <c r="L51" s="362"/>
      <c r="M51" s="362"/>
      <c r="N51" s="308">
        <f>SUM(N43:N50)</f>
        <v>25.14</v>
      </c>
      <c r="O51" s="25">
        <f>N51/N53</f>
        <v>1</v>
      </c>
    </row>
    <row r="52" spans="1:16" ht="12" customHeight="1" x14ac:dyDescent="0.2">
      <c r="G52" s="135"/>
      <c r="H52" s="314"/>
      <c r="I52" s="314"/>
      <c r="J52" s="314"/>
      <c r="K52" s="314"/>
      <c r="L52" s="314"/>
      <c r="M52" s="314"/>
      <c r="N52" s="314"/>
      <c r="O52" s="19"/>
    </row>
    <row r="53" spans="1:16" s="132" customFormat="1" ht="12" customHeight="1" x14ac:dyDescent="0.2">
      <c r="A53" s="157"/>
      <c r="B53" s="133" t="s">
        <v>20</v>
      </c>
      <c r="C53" s="134"/>
      <c r="D53" s="134"/>
      <c r="E53" s="134"/>
      <c r="F53" s="134"/>
      <c r="G53" s="228"/>
      <c r="H53" s="363"/>
      <c r="I53" s="363"/>
      <c r="J53" s="363"/>
      <c r="K53" s="363"/>
      <c r="L53" s="363"/>
      <c r="M53" s="363"/>
      <c r="N53" s="310">
        <f>N51</f>
        <v>25.14</v>
      </c>
      <c r="O53" s="77">
        <f>N53/N55</f>
        <v>2.5294641064666537E-4</v>
      </c>
    </row>
    <row r="54" spans="1:16" ht="7.5" customHeight="1" x14ac:dyDescent="0.2">
      <c r="G54" s="52"/>
      <c r="H54" s="313"/>
      <c r="I54" s="313"/>
      <c r="J54" s="313"/>
      <c r="K54" s="313"/>
      <c r="L54" s="313"/>
      <c r="M54" s="313"/>
      <c r="N54" s="313"/>
      <c r="O54" s="19"/>
    </row>
    <row r="55" spans="1:16" s="148" customFormat="1" ht="12" customHeight="1" x14ac:dyDescent="0.2">
      <c r="A55" s="290"/>
      <c r="B55" s="280" t="s">
        <v>30</v>
      </c>
      <c r="H55" s="342"/>
      <c r="I55" s="342"/>
      <c r="J55" s="342"/>
      <c r="K55" s="274"/>
      <c r="L55" s="274"/>
      <c r="M55" s="284">
        <f>SUM(M14:M54)</f>
        <v>99388.641000000003</v>
      </c>
      <c r="N55" s="365">
        <f>N39+N26+N53</f>
        <v>99388.641000000003</v>
      </c>
      <c r="O55" s="29"/>
      <c r="P55" s="281"/>
    </row>
    <row r="56" spans="1:16" ht="7.5" customHeight="1" x14ac:dyDescent="0.2">
      <c r="H56" s="311"/>
      <c r="I56" s="311"/>
      <c r="J56" s="311"/>
      <c r="K56" s="311"/>
      <c r="L56" s="311"/>
      <c r="M56" s="311"/>
      <c r="N56" s="311"/>
      <c r="P56" s="149"/>
    </row>
    <row r="57" spans="1:16" s="148" customFormat="1" ht="12" customHeight="1" x14ac:dyDescent="0.2">
      <c r="A57" s="290"/>
      <c r="B57" s="280" t="s">
        <v>265</v>
      </c>
      <c r="H57" s="342"/>
      <c r="I57" s="342"/>
      <c r="J57" s="342"/>
      <c r="K57" s="274"/>
      <c r="L57" s="274"/>
      <c r="M57" s="284">
        <f>M55+(M55*O7)</f>
        <v>117000.3081852</v>
      </c>
      <c r="N57" s="365">
        <f>M57</f>
        <v>117000.3081852</v>
      </c>
      <c r="O57" s="29">
        <f>N57/RESUMO!H95</f>
        <v>1.6156951089529473E-2</v>
      </c>
      <c r="P57" s="281"/>
    </row>
    <row r="69" spans="1:15" ht="12" customHeight="1" x14ac:dyDescent="0.2">
      <c r="A69" s="208"/>
      <c r="B69" s="150"/>
      <c r="C69" s="150"/>
      <c r="D69" s="150"/>
      <c r="E69" s="150"/>
      <c r="F69" s="150"/>
      <c r="G69" s="150"/>
      <c r="H69" s="150"/>
      <c r="I69" s="150"/>
      <c r="J69" s="150"/>
      <c r="K69" s="150"/>
      <c r="L69" s="150"/>
      <c r="M69" s="150"/>
      <c r="N69" s="211"/>
      <c r="O69" s="210"/>
    </row>
    <row r="70" spans="1:15" ht="12" customHeight="1" x14ac:dyDescent="0.2">
      <c r="A70" s="98"/>
      <c r="C70" s="184"/>
      <c r="D70" s="184"/>
      <c r="E70" s="184"/>
      <c r="F70" s="184"/>
      <c r="G70" s="184"/>
      <c r="H70" s="184"/>
      <c r="I70" s="184"/>
      <c r="J70" s="184"/>
      <c r="K70" s="184"/>
      <c r="L70" s="184"/>
      <c r="M70" s="184"/>
      <c r="N70" s="184"/>
      <c r="O70" s="437"/>
    </row>
  </sheetData>
  <mergeCells count="9">
    <mergeCell ref="B21:F21"/>
    <mergeCell ref="B22:F22"/>
    <mergeCell ref="B20:F20"/>
    <mergeCell ref="A2:O2"/>
    <mergeCell ref="N4:O4"/>
    <mergeCell ref="A5:B6"/>
    <mergeCell ref="B13:E13"/>
    <mergeCell ref="B18:E18"/>
    <mergeCell ref="B19:F19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rowBreaks count="1" manualBreakCount="1">
    <brk id="28" max="14" man="1"/>
  </rowBreaks>
  <legacyDrawingHF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Planilha10">
    <tabColor theme="6" tint="0.39997558519241921"/>
    <pageSetUpPr fitToPage="1"/>
  </sheetPr>
  <dimension ref="A1:P110"/>
  <sheetViews>
    <sheetView view="pageBreakPreview" topLeftCell="A52" zoomScale="85" zoomScaleNormal="90" zoomScaleSheetLayoutView="85" workbookViewId="0">
      <selection activeCell="Q114" sqref="Q114"/>
    </sheetView>
  </sheetViews>
  <sheetFormatPr defaultColWidth="11.42578125" defaultRowHeight="12" customHeight="1" x14ac:dyDescent="0.2"/>
  <cols>
    <col min="1" max="5" width="11.42578125" style="51"/>
    <col min="6" max="6" width="28.5703125" style="51" customWidth="1"/>
    <col min="7" max="9" width="11.42578125" style="51" customWidth="1"/>
    <col min="10" max="10" width="7.42578125" style="51" hidden="1" customWidth="1"/>
    <col min="11" max="11" width="14.28515625" style="51" customWidth="1"/>
    <col min="12" max="12" width="7.42578125" style="51" hidden="1" customWidth="1"/>
    <col min="13" max="13" width="15.28515625" style="51" customWidth="1"/>
    <col min="14" max="14" width="17.140625" style="51" customWidth="1"/>
    <col min="15" max="15" width="11.42578125" style="52" customWidth="1"/>
    <col min="16" max="16384" width="11.42578125" style="51"/>
  </cols>
  <sheetData>
    <row r="1" spans="1:15" ht="6.75" customHeight="1" x14ac:dyDescent="0.2"/>
    <row r="2" spans="1:15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5" ht="6.7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95"/>
    </row>
    <row r="4" spans="1:15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5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5" ht="12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5" ht="12" customHeight="1" x14ac:dyDescent="0.2">
      <c r="A7" s="253"/>
      <c r="B7" s="253"/>
      <c r="C7" s="260" t="s">
        <v>6</v>
      </c>
      <c r="D7" s="263" t="str">
        <f>RESUMO!A47</f>
        <v>U.C. : 13</v>
      </c>
      <c r="E7" s="258"/>
      <c r="F7" s="258"/>
      <c r="G7" s="260" t="s">
        <v>9</v>
      </c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5" ht="12" customHeight="1" thickBot="1" x14ac:dyDescent="0.25">
      <c r="A8" s="124"/>
      <c r="B8" s="125"/>
      <c r="C8" s="266" t="s">
        <v>8</v>
      </c>
      <c r="D8" s="267" t="str">
        <f>RESUMO!B47</f>
        <v>ESTAÇÃO DE TRATAMENTO DE ESGOTO - ETE</v>
      </c>
      <c r="E8" s="268"/>
      <c r="F8" s="268"/>
      <c r="G8" s="266"/>
      <c r="H8" s="123"/>
      <c r="I8" s="278"/>
      <c r="J8" s="278"/>
      <c r="K8" s="278"/>
      <c r="L8" s="278"/>
      <c r="M8" s="278">
        <f>'[1]NÃO MOS'!$B$1</f>
        <v>0</v>
      </c>
      <c r="N8" s="271"/>
      <c r="O8" s="427"/>
    </row>
    <row r="9" spans="1:15" ht="12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5" ht="6.75" customHeight="1" x14ac:dyDescent="0.2">
      <c r="O10" s="19"/>
    </row>
    <row r="11" spans="1:15" ht="12" customHeight="1" x14ac:dyDescent="0.2">
      <c r="A11" s="93">
        <f>RESUMO!A53</f>
        <v>6</v>
      </c>
      <c r="B11" s="93" t="str">
        <f>RESUMO!B53</f>
        <v>DRENAGEM  - SERVIÇOS</v>
      </c>
      <c r="H11" s="61"/>
      <c r="O11" s="19"/>
    </row>
    <row r="12" spans="1:15" ht="12" customHeight="1" x14ac:dyDescent="0.2">
      <c r="A12" s="129" t="s">
        <v>93</v>
      </c>
      <c r="B12" s="88" t="s">
        <v>96</v>
      </c>
      <c r="H12" s="61"/>
      <c r="O12" s="19"/>
    </row>
    <row r="13" spans="1:15" ht="12" customHeight="1" x14ac:dyDescent="0.2">
      <c r="A13" s="129" t="s">
        <v>94</v>
      </c>
      <c r="B13" s="88" t="s">
        <v>97</v>
      </c>
      <c r="H13" s="61"/>
      <c r="O13" s="19"/>
    </row>
    <row r="14" spans="1:15" ht="12" customHeight="1" x14ac:dyDescent="0.2">
      <c r="A14" s="129" t="s">
        <v>95</v>
      </c>
      <c r="B14" s="88" t="s">
        <v>228</v>
      </c>
      <c r="G14" s="97" t="s">
        <v>32</v>
      </c>
      <c r="H14" s="308">
        <f>H87*1.2*0.85*0.3</f>
        <v>347.32529999999997</v>
      </c>
      <c r="I14" s="323">
        <f>VLOOKUP(A14,'[1]TAB OGU JUN18'!$A:$G,6,"falso")</f>
        <v>32.9</v>
      </c>
      <c r="J14" s="323">
        <f>VLOOKUP(A14,'[1]TAB OGU JUN18'!$A:$G,4,"falso")</f>
        <v>32.9</v>
      </c>
      <c r="K14" s="308">
        <f>H14*J14</f>
        <v>11427.002369999998</v>
      </c>
      <c r="L14" s="323">
        <f>VLOOKUP(A14,'[1]TAB OGU JUN18'!$A:$G,5,"falso")</f>
        <v>0</v>
      </c>
      <c r="M14" s="308"/>
      <c r="N14" s="308">
        <f>H14*I14</f>
        <v>11427.002369999998</v>
      </c>
      <c r="O14" s="25">
        <f>N14/N16</f>
        <v>1</v>
      </c>
    </row>
    <row r="15" spans="1:15" ht="12" customHeight="1" x14ac:dyDescent="0.2">
      <c r="G15" s="52"/>
      <c r="H15" s="324"/>
      <c r="I15" s="323"/>
      <c r="J15" s="313"/>
      <c r="K15" s="313"/>
      <c r="L15" s="313"/>
      <c r="M15" s="313"/>
      <c r="N15" s="309"/>
      <c r="O15" s="25"/>
    </row>
    <row r="16" spans="1:15" ht="12" customHeight="1" x14ac:dyDescent="0.2">
      <c r="B16" s="130" t="s">
        <v>18</v>
      </c>
      <c r="C16" s="131"/>
      <c r="D16" s="131"/>
      <c r="E16" s="131"/>
      <c r="F16" s="131"/>
      <c r="G16" s="53"/>
      <c r="H16" s="325"/>
      <c r="I16" s="582"/>
      <c r="J16" s="326"/>
      <c r="K16" s="326"/>
      <c r="L16" s="326"/>
      <c r="M16" s="326"/>
      <c r="N16" s="308">
        <f>N14</f>
        <v>11427.002369999998</v>
      </c>
      <c r="O16" s="25">
        <f>N16/N43</f>
        <v>0.25378296028695224</v>
      </c>
    </row>
    <row r="17" spans="1:15" ht="12" customHeight="1" x14ac:dyDescent="0.2">
      <c r="B17" s="130"/>
      <c r="G17" s="52"/>
      <c r="H17" s="324"/>
      <c r="I17" s="323"/>
      <c r="J17" s="313"/>
      <c r="K17" s="313"/>
      <c r="L17" s="313"/>
      <c r="M17" s="313"/>
      <c r="N17" s="308"/>
      <c r="O17" s="25"/>
    </row>
    <row r="18" spans="1:15" ht="12" customHeight="1" x14ac:dyDescent="0.2">
      <c r="A18" s="98" t="s">
        <v>98</v>
      </c>
      <c r="B18" s="88" t="s">
        <v>100</v>
      </c>
      <c r="G18" s="52"/>
      <c r="H18" s="324"/>
      <c r="I18" s="323"/>
      <c r="J18" s="313"/>
      <c r="K18" s="313"/>
      <c r="L18" s="313"/>
      <c r="M18" s="313"/>
      <c r="N18" s="313"/>
      <c r="O18" s="19"/>
    </row>
    <row r="19" spans="1:15" ht="12" customHeight="1" x14ac:dyDescent="0.2">
      <c r="A19" s="98" t="s">
        <v>99</v>
      </c>
      <c r="B19" s="88" t="s">
        <v>227</v>
      </c>
      <c r="G19" s="97" t="s">
        <v>32</v>
      </c>
      <c r="H19" s="308">
        <f>H87*1.2*0.85*0.7</f>
        <v>810.42569999999989</v>
      </c>
      <c r="I19" s="323">
        <f>VLOOKUP(A19,'[1]TAB OGU JUN18'!$A:$G,6,"falso")</f>
        <v>9.77</v>
      </c>
      <c r="J19" s="323">
        <f>VLOOKUP(A19,'[1]TAB OGU JUN18'!$A:$G,4,"falso")</f>
        <v>9.77</v>
      </c>
      <c r="K19" s="308">
        <f>H19*J19</f>
        <v>7917.8590889999987</v>
      </c>
      <c r="L19" s="323"/>
      <c r="M19" s="308"/>
      <c r="N19" s="308">
        <f>H19*I19</f>
        <v>7917.8590889999987</v>
      </c>
      <c r="O19" s="25">
        <f>N19/N21</f>
        <v>1</v>
      </c>
    </row>
    <row r="20" spans="1:15" ht="12" customHeight="1" x14ac:dyDescent="0.2">
      <c r="G20" s="52"/>
      <c r="H20" s="324"/>
      <c r="I20" s="323"/>
      <c r="J20" s="308"/>
      <c r="K20" s="313"/>
      <c r="L20" s="313"/>
      <c r="M20" s="313"/>
      <c r="N20" s="313"/>
      <c r="O20" s="19"/>
    </row>
    <row r="21" spans="1:15" ht="12" customHeight="1" x14ac:dyDescent="0.2">
      <c r="B21" s="130" t="s">
        <v>18</v>
      </c>
      <c r="C21" s="131"/>
      <c r="D21" s="131"/>
      <c r="E21" s="131"/>
      <c r="F21" s="131"/>
      <c r="G21" s="53"/>
      <c r="H21" s="325"/>
      <c r="I21" s="582"/>
      <c r="J21" s="326"/>
      <c r="K21" s="326"/>
      <c r="L21" s="326"/>
      <c r="M21" s="326"/>
      <c r="N21" s="308">
        <f>N19</f>
        <v>7917.8590889999987</v>
      </c>
      <c r="O21" s="25">
        <f>N21/N43</f>
        <v>0.17584819304989527</v>
      </c>
    </row>
    <row r="22" spans="1:15" ht="12" customHeight="1" x14ac:dyDescent="0.2">
      <c r="B22" s="130"/>
      <c r="G22" s="52"/>
      <c r="H22" s="324"/>
      <c r="I22" s="323"/>
      <c r="J22" s="313"/>
      <c r="K22" s="313"/>
      <c r="L22" s="313"/>
      <c r="M22" s="313"/>
      <c r="N22" s="308"/>
      <c r="O22" s="25"/>
    </row>
    <row r="23" spans="1:15" ht="12" customHeight="1" x14ac:dyDescent="0.2">
      <c r="A23" s="98" t="s">
        <v>101</v>
      </c>
      <c r="B23" s="88" t="s">
        <v>21</v>
      </c>
      <c r="G23" s="97"/>
      <c r="H23" s="308"/>
      <c r="I23" s="323"/>
      <c r="J23" s="308"/>
      <c r="K23" s="308"/>
      <c r="L23" s="308"/>
      <c r="M23" s="308"/>
      <c r="N23" s="308"/>
      <c r="O23" s="25"/>
    </row>
    <row r="24" spans="1:15" ht="12" customHeight="1" x14ac:dyDescent="0.2">
      <c r="A24" s="98" t="s">
        <v>102</v>
      </c>
      <c r="B24" s="88" t="s">
        <v>104</v>
      </c>
      <c r="G24" s="97" t="s">
        <v>32</v>
      </c>
      <c r="H24" s="308">
        <f>(H14+H19)*0.75</f>
        <v>868.31324999999981</v>
      </c>
      <c r="I24" s="323">
        <f>VLOOKUP(A24,'[1]TAB OGU JUN18'!$A:$G,6,"falso")</f>
        <v>7.4</v>
      </c>
      <c r="J24" s="323">
        <f>VLOOKUP(A24,'[1]TAB OGU JUN18'!$A:$G,4,"falso")</f>
        <v>7.4</v>
      </c>
      <c r="K24" s="308">
        <f>H24*J24</f>
        <v>6425.5180499999988</v>
      </c>
      <c r="L24" s="323">
        <f>VLOOKUP(A24,'[1]TAB OGU JUN18'!$A:$G,5,"falso")</f>
        <v>0</v>
      </c>
      <c r="M24" s="308"/>
      <c r="N24" s="308">
        <f>H24*I24</f>
        <v>6425.5180499999988</v>
      </c>
      <c r="O24" s="68">
        <f>N24/N26</f>
        <v>1</v>
      </c>
    </row>
    <row r="25" spans="1:15" ht="12" customHeight="1" x14ac:dyDescent="0.2">
      <c r="B25" s="130"/>
      <c r="G25" s="52"/>
      <c r="H25" s="324"/>
      <c r="I25" s="323"/>
      <c r="J25" s="313"/>
      <c r="K25" s="313"/>
      <c r="L25" s="313"/>
      <c r="M25" s="313"/>
      <c r="N25" s="308"/>
      <c r="O25" s="25"/>
    </row>
    <row r="26" spans="1:15" ht="12" customHeight="1" x14ac:dyDescent="0.2">
      <c r="B26" s="130" t="s">
        <v>18</v>
      </c>
      <c r="C26" s="131"/>
      <c r="D26" s="131"/>
      <c r="E26" s="131"/>
      <c r="F26" s="131"/>
      <c r="G26" s="53"/>
      <c r="H26" s="325"/>
      <c r="I26" s="582"/>
      <c r="J26" s="326"/>
      <c r="K26" s="326"/>
      <c r="L26" s="326"/>
      <c r="M26" s="326"/>
      <c r="N26" s="308">
        <f>N24</f>
        <v>6425.5180499999988</v>
      </c>
      <c r="O26" s="25">
        <f>N26/N43</f>
        <v>0.1427047041127239</v>
      </c>
    </row>
    <row r="27" spans="1:15" ht="12" customHeight="1" x14ac:dyDescent="0.2">
      <c r="B27" s="130"/>
      <c r="G27" s="52"/>
      <c r="H27" s="324"/>
      <c r="I27" s="323"/>
      <c r="J27" s="313"/>
      <c r="K27" s="313"/>
      <c r="L27" s="313"/>
      <c r="M27" s="313"/>
      <c r="N27" s="308"/>
      <c r="O27" s="25"/>
    </row>
    <row r="28" spans="1:15" ht="12" customHeight="1" x14ac:dyDescent="0.2">
      <c r="A28" s="98" t="s">
        <v>106</v>
      </c>
      <c r="B28" s="88" t="s">
        <v>109</v>
      </c>
      <c r="G28" s="97"/>
      <c r="H28" s="308"/>
      <c r="I28" s="323"/>
      <c r="J28" s="308"/>
      <c r="K28" s="308"/>
      <c r="L28" s="308"/>
      <c r="M28" s="308"/>
      <c r="N28" s="308"/>
      <c r="O28" s="25"/>
    </row>
    <row r="29" spans="1:15" ht="12" customHeight="1" x14ac:dyDescent="0.2">
      <c r="A29" s="98" t="s">
        <v>107</v>
      </c>
      <c r="B29" s="88" t="s">
        <v>104</v>
      </c>
      <c r="G29" s="97" t="s">
        <v>32</v>
      </c>
      <c r="H29" s="308">
        <f>H24</f>
        <v>868.31324999999981</v>
      </c>
      <c r="I29" s="323">
        <f>VLOOKUP(A29,'[1]TAB OGU JUN18'!$A:$G,6,"falso")</f>
        <v>20.56</v>
      </c>
      <c r="J29" s="323">
        <f>VLOOKUP(A29,'[1]TAB OGU JUN18'!$A:$G,4,"falso")</f>
        <v>20.56</v>
      </c>
      <c r="K29" s="308">
        <f>H29*J29</f>
        <v>17852.520419999993</v>
      </c>
      <c r="L29" s="323">
        <f>VLOOKUP(A29,'[1]TAB OGU JUN18'!$A:$G,5,"falso")</f>
        <v>0</v>
      </c>
      <c r="M29" s="308"/>
      <c r="N29" s="308">
        <f>H29*I29</f>
        <v>17852.520419999993</v>
      </c>
      <c r="O29" s="68">
        <f>N29/N31</f>
        <v>1</v>
      </c>
    </row>
    <row r="30" spans="1:15" ht="12" customHeight="1" x14ac:dyDescent="0.2">
      <c r="B30" s="130"/>
      <c r="G30" s="52"/>
      <c r="H30" s="324"/>
      <c r="I30" s="323"/>
      <c r="J30" s="313"/>
      <c r="K30" s="313"/>
      <c r="L30" s="313"/>
      <c r="M30" s="313"/>
      <c r="N30" s="308"/>
      <c r="O30" s="25"/>
    </row>
    <row r="31" spans="1:15" ht="12" customHeight="1" x14ac:dyDescent="0.2">
      <c r="B31" s="130" t="s">
        <v>18</v>
      </c>
      <c r="C31" s="131"/>
      <c r="D31" s="131"/>
      <c r="E31" s="131"/>
      <c r="F31" s="131"/>
      <c r="G31" s="53"/>
      <c r="H31" s="325"/>
      <c r="I31" s="582"/>
      <c r="J31" s="326"/>
      <c r="K31" s="326"/>
      <c r="L31" s="326"/>
      <c r="M31" s="326"/>
      <c r="N31" s="308">
        <f>N29</f>
        <v>17852.520419999993</v>
      </c>
      <c r="O31" s="25">
        <f>N31/N43</f>
        <v>0.39648766439967603</v>
      </c>
    </row>
    <row r="32" spans="1:15" ht="12" customHeight="1" x14ac:dyDescent="0.2">
      <c r="B32" s="130"/>
      <c r="G32" s="52"/>
      <c r="H32" s="324"/>
      <c r="I32" s="323"/>
      <c r="J32" s="313"/>
      <c r="K32" s="313"/>
      <c r="L32" s="313"/>
      <c r="M32" s="313"/>
      <c r="N32" s="308"/>
      <c r="O32" s="25"/>
    </row>
    <row r="33" spans="1:15" ht="12" customHeight="1" x14ac:dyDescent="0.2">
      <c r="A33" s="98" t="s">
        <v>110</v>
      </c>
      <c r="B33" s="88" t="s">
        <v>112</v>
      </c>
      <c r="G33" s="52"/>
      <c r="H33" s="324"/>
      <c r="I33" s="323"/>
      <c r="J33" s="313"/>
      <c r="K33" s="313"/>
      <c r="L33" s="313"/>
      <c r="M33" s="313"/>
      <c r="N33" s="313"/>
      <c r="O33" s="19"/>
    </row>
    <row r="34" spans="1:15" ht="12" customHeight="1" x14ac:dyDescent="0.2">
      <c r="A34" s="98" t="s">
        <v>111</v>
      </c>
      <c r="B34" s="88" t="s">
        <v>113</v>
      </c>
      <c r="G34" s="97" t="s">
        <v>32</v>
      </c>
      <c r="H34" s="308">
        <f>(H14+H19)-H24</f>
        <v>289.43774999999994</v>
      </c>
      <c r="I34" s="323">
        <f>VLOOKUP(A34,'[1]TAB OGU JUN18'!$A:$G,6,"falso")</f>
        <v>1.85</v>
      </c>
      <c r="J34" s="323">
        <f>VLOOKUP(A34,'[1]TAB OGU JUN18'!$A:$G,4,"falso")</f>
        <v>1.85</v>
      </c>
      <c r="K34" s="308">
        <f>H34*J34</f>
        <v>535.45983749999994</v>
      </c>
      <c r="L34" s="323">
        <f>VLOOKUP(A34,'[1]TAB OGU JUN18'!$A:$G,5,"falso")</f>
        <v>0</v>
      </c>
      <c r="M34" s="308"/>
      <c r="N34" s="308">
        <f>H34*I34</f>
        <v>535.45983749999994</v>
      </c>
      <c r="O34" s="68">
        <f>N34/N36</f>
        <v>1</v>
      </c>
    </row>
    <row r="35" spans="1:15" ht="12" customHeight="1" x14ac:dyDescent="0.2">
      <c r="G35" s="52"/>
      <c r="H35" s="324"/>
      <c r="I35" s="323"/>
      <c r="J35" s="313"/>
      <c r="K35" s="313"/>
      <c r="L35" s="313"/>
      <c r="M35" s="313"/>
      <c r="N35" s="313"/>
      <c r="O35" s="19"/>
    </row>
    <row r="36" spans="1:15" ht="12" customHeight="1" x14ac:dyDescent="0.2">
      <c r="B36" s="130" t="s">
        <v>18</v>
      </c>
      <c r="C36" s="131"/>
      <c r="D36" s="131"/>
      <c r="E36" s="131"/>
      <c r="F36" s="131"/>
      <c r="G36" s="53"/>
      <c r="H36" s="325"/>
      <c r="I36" s="582"/>
      <c r="J36" s="326"/>
      <c r="K36" s="326"/>
      <c r="L36" s="326"/>
      <c r="M36" s="326"/>
      <c r="N36" s="308">
        <f>N34</f>
        <v>535.45983749999994</v>
      </c>
      <c r="O36" s="25">
        <f>N36/N43</f>
        <v>1.1892058676060325E-2</v>
      </c>
    </row>
    <row r="37" spans="1:15" ht="12" customHeight="1" x14ac:dyDescent="0.2">
      <c r="B37" s="130"/>
      <c r="G37" s="52"/>
      <c r="H37" s="324"/>
      <c r="I37" s="323"/>
      <c r="J37" s="313"/>
      <c r="K37" s="313"/>
      <c r="L37" s="313"/>
      <c r="M37" s="313"/>
      <c r="N37" s="308"/>
      <c r="O37" s="25"/>
    </row>
    <row r="38" spans="1:15" ht="12" customHeight="1" x14ac:dyDescent="0.2">
      <c r="A38" s="98" t="s">
        <v>114</v>
      </c>
      <c r="B38" s="88" t="s">
        <v>737</v>
      </c>
      <c r="G38" s="52"/>
      <c r="H38" s="324"/>
      <c r="I38" s="323"/>
      <c r="J38" s="313"/>
      <c r="K38" s="313"/>
      <c r="L38" s="313"/>
      <c r="M38" s="313"/>
      <c r="N38" s="313"/>
      <c r="O38" s="19"/>
    </row>
    <row r="39" spans="1:15" ht="12" customHeight="1" x14ac:dyDescent="0.2">
      <c r="A39" s="98" t="s">
        <v>115</v>
      </c>
      <c r="B39" s="88" t="s">
        <v>116</v>
      </c>
      <c r="G39" s="97" t="s">
        <v>180</v>
      </c>
      <c r="H39" s="308">
        <f>H34*3</f>
        <v>868.31324999999981</v>
      </c>
      <c r="I39" s="323">
        <f>VLOOKUP(A39,'[1]TAB OGU JUN18'!$A:$G,6,"falso")</f>
        <v>1</v>
      </c>
      <c r="J39" s="323">
        <f>VLOOKUP(A39,'[1]TAB OGU JUN18'!$A:$G,4,"falso")</f>
        <v>1</v>
      </c>
      <c r="K39" s="308">
        <f>H39*J39</f>
        <v>868.31324999999981</v>
      </c>
      <c r="L39" s="323">
        <f>VLOOKUP(A39,'[1]TAB OGU JUN18'!$A:$G,5,"falso")</f>
        <v>0</v>
      </c>
      <c r="M39" s="308"/>
      <c r="N39" s="308">
        <f>H39*I39</f>
        <v>868.31324999999981</v>
      </c>
      <c r="O39" s="68">
        <f>N39/N41</f>
        <v>1</v>
      </c>
    </row>
    <row r="40" spans="1:15" ht="12" customHeight="1" x14ac:dyDescent="0.2">
      <c r="G40" s="52"/>
      <c r="H40" s="324"/>
      <c r="I40" s="323"/>
      <c r="J40" s="313"/>
      <c r="K40" s="313"/>
      <c r="L40" s="313"/>
      <c r="M40" s="313"/>
      <c r="N40" s="313"/>
      <c r="O40" s="19"/>
    </row>
    <row r="41" spans="1:15" ht="12" customHeight="1" x14ac:dyDescent="0.2">
      <c r="B41" s="130" t="s">
        <v>18</v>
      </c>
      <c r="C41" s="131"/>
      <c r="D41" s="131"/>
      <c r="E41" s="131"/>
      <c r="F41" s="131"/>
      <c r="G41" s="53"/>
      <c r="H41" s="325"/>
      <c r="I41" s="582"/>
      <c r="J41" s="326"/>
      <c r="K41" s="326"/>
      <c r="L41" s="326"/>
      <c r="M41" s="326"/>
      <c r="N41" s="308">
        <f>N39</f>
        <v>868.31324999999981</v>
      </c>
      <c r="O41" s="25">
        <f>N41/N43</f>
        <v>1.9284419474692418E-2</v>
      </c>
    </row>
    <row r="42" spans="1:15" ht="12" customHeight="1" x14ac:dyDescent="0.2">
      <c r="B42" s="130"/>
      <c r="G42" s="52"/>
      <c r="H42" s="324"/>
      <c r="I42" s="323"/>
      <c r="J42" s="313"/>
      <c r="K42" s="313"/>
      <c r="L42" s="313"/>
      <c r="M42" s="313"/>
      <c r="N42" s="308"/>
      <c r="O42" s="25"/>
    </row>
    <row r="43" spans="1:15" s="132" customFormat="1" ht="12" customHeight="1" x14ac:dyDescent="0.2">
      <c r="B43" s="133" t="s">
        <v>20</v>
      </c>
      <c r="C43" s="134"/>
      <c r="D43" s="134"/>
      <c r="E43" s="134"/>
      <c r="F43" s="134"/>
      <c r="G43" s="78"/>
      <c r="H43" s="327"/>
      <c r="I43" s="582"/>
      <c r="J43" s="328"/>
      <c r="K43" s="328"/>
      <c r="L43" s="328"/>
      <c r="M43" s="328"/>
      <c r="N43" s="310">
        <f>N41+N36+N31+N26+N16+N21</f>
        <v>45026.673016499983</v>
      </c>
      <c r="O43" s="77">
        <f>N43/N93</f>
        <v>0.32090933852106168</v>
      </c>
    </row>
    <row r="44" spans="1:15" s="132" customFormat="1" ht="12" customHeight="1" x14ac:dyDescent="0.2">
      <c r="B44" s="133"/>
      <c r="C44" s="487"/>
      <c r="D44" s="487"/>
      <c r="E44" s="487"/>
      <c r="F44" s="487"/>
      <c r="G44" s="488"/>
      <c r="H44" s="628"/>
      <c r="I44" s="323"/>
      <c r="J44" s="629"/>
      <c r="K44" s="629"/>
      <c r="L44" s="629"/>
      <c r="M44" s="629"/>
      <c r="N44" s="310"/>
      <c r="O44" s="77"/>
    </row>
    <row r="45" spans="1:15" ht="12" customHeight="1" x14ac:dyDescent="0.2">
      <c r="A45" s="129" t="s">
        <v>117</v>
      </c>
      <c r="B45" s="88" t="s">
        <v>22</v>
      </c>
      <c r="H45" s="329"/>
      <c r="I45" s="323"/>
      <c r="J45" s="311"/>
      <c r="K45" s="311"/>
      <c r="L45" s="311"/>
      <c r="M45" s="311"/>
      <c r="N45" s="311"/>
      <c r="O45" s="19"/>
    </row>
    <row r="46" spans="1:15" ht="12" customHeight="1" x14ac:dyDescent="0.2">
      <c r="A46" s="129" t="s">
        <v>118</v>
      </c>
      <c r="B46" s="88" t="s">
        <v>23</v>
      </c>
      <c r="H46" s="329"/>
      <c r="I46" s="323"/>
      <c r="J46" s="311"/>
      <c r="K46" s="311"/>
      <c r="L46" s="311"/>
      <c r="M46" s="311"/>
      <c r="N46" s="311"/>
      <c r="O46" s="19"/>
    </row>
    <row r="47" spans="1:15" ht="12" customHeight="1" x14ac:dyDescent="0.2">
      <c r="A47" s="129" t="s">
        <v>119</v>
      </c>
      <c r="B47" s="88" t="s">
        <v>120</v>
      </c>
      <c r="G47" s="97" t="s">
        <v>31</v>
      </c>
      <c r="H47" s="308">
        <f>((H87*1.7*2)/5)*0.95</f>
        <v>733.24229999999989</v>
      </c>
      <c r="I47" s="323">
        <f>VLOOKUP(A47,'[1]TAB OGU JUN18'!$A:$G,6,"falso")</f>
        <v>14.81</v>
      </c>
      <c r="J47" s="323">
        <f>VLOOKUP(A47,'[1]TAB OGU JUN18'!$A:$G,4,"falso")</f>
        <v>13.63</v>
      </c>
      <c r="K47" s="308">
        <f>H47*J47</f>
        <v>9994.0925489999991</v>
      </c>
      <c r="L47" s="323">
        <f>VLOOKUP(A47,'[1]TAB OGU JUN18'!$A:$G,5,"falso")</f>
        <v>1.18</v>
      </c>
      <c r="M47" s="308">
        <f>L47*H47</f>
        <v>865.22591399999988</v>
      </c>
      <c r="N47" s="308">
        <f>H47*I47</f>
        <v>10859.318462999998</v>
      </c>
      <c r="O47" s="25">
        <f>N47/N50</f>
        <v>0.92425685662670376</v>
      </c>
    </row>
    <row r="48" spans="1:15" ht="12" customHeight="1" x14ac:dyDescent="0.2">
      <c r="A48" s="129" t="s">
        <v>224</v>
      </c>
      <c r="B48" s="88" t="s">
        <v>225</v>
      </c>
      <c r="G48" s="97" t="s">
        <v>31</v>
      </c>
      <c r="H48" s="308">
        <f>((H87*1.7*2)/5)*0.05</f>
        <v>38.591700000000003</v>
      </c>
      <c r="I48" s="323">
        <f>VLOOKUP(A48,'[1]TAB OGU JUN18'!$A:$G,6,"falso")</f>
        <v>23.06</v>
      </c>
      <c r="J48" s="323">
        <f>VLOOKUP(A48,'[1]TAB OGU JUN18'!$A:$G,4,"falso")</f>
        <v>22.37</v>
      </c>
      <c r="K48" s="308">
        <f>H48*J48</f>
        <v>863.29632900000013</v>
      </c>
      <c r="L48" s="323">
        <f>VLOOKUP(A48,'[1]TAB OGU JUN18'!$A:$G,5,"falso")</f>
        <v>0.69</v>
      </c>
      <c r="M48" s="308">
        <f>L48*H48</f>
        <v>26.628273</v>
      </c>
      <c r="N48" s="308">
        <f>H48*I48</f>
        <v>889.92460200000005</v>
      </c>
      <c r="O48" s="25">
        <f>N48/N50</f>
        <v>7.5743143373296115E-2</v>
      </c>
    </row>
    <row r="49" spans="1:15" ht="12" customHeight="1" x14ac:dyDescent="0.2">
      <c r="B49" s="130"/>
      <c r="G49" s="52"/>
      <c r="H49" s="324"/>
      <c r="I49" s="323"/>
      <c r="J49" s="313"/>
      <c r="K49" s="313"/>
      <c r="L49" s="313"/>
      <c r="M49" s="313"/>
      <c r="N49" s="308"/>
      <c r="O49" s="25"/>
    </row>
    <row r="50" spans="1:15" ht="12" customHeight="1" x14ac:dyDescent="0.2">
      <c r="B50" s="130" t="s">
        <v>18</v>
      </c>
      <c r="C50" s="131"/>
      <c r="D50" s="131"/>
      <c r="E50" s="131"/>
      <c r="F50" s="131"/>
      <c r="G50" s="53"/>
      <c r="H50" s="325"/>
      <c r="I50" s="582"/>
      <c r="J50" s="326"/>
      <c r="K50" s="326"/>
      <c r="L50" s="326"/>
      <c r="M50" s="326"/>
      <c r="N50" s="308">
        <f>N47+N48</f>
        <v>11749.243064999999</v>
      </c>
      <c r="O50" s="25">
        <f>N50/N52</f>
        <v>1</v>
      </c>
    </row>
    <row r="51" spans="1:15" ht="12" customHeight="1" x14ac:dyDescent="0.2">
      <c r="B51" s="130"/>
      <c r="G51" s="52"/>
      <c r="H51" s="324"/>
      <c r="I51" s="323"/>
      <c r="J51" s="313"/>
      <c r="K51" s="313"/>
      <c r="L51" s="313"/>
      <c r="M51" s="313"/>
      <c r="N51" s="308"/>
      <c r="O51" s="25"/>
    </row>
    <row r="52" spans="1:15" s="132" customFormat="1" ht="12" customHeight="1" x14ac:dyDescent="0.2">
      <c r="B52" s="133" t="s">
        <v>20</v>
      </c>
      <c r="C52" s="134"/>
      <c r="D52" s="134"/>
      <c r="E52" s="134"/>
      <c r="F52" s="134"/>
      <c r="G52" s="78"/>
      <c r="H52" s="327"/>
      <c r="I52" s="582"/>
      <c r="J52" s="328"/>
      <c r="K52" s="328"/>
      <c r="L52" s="328"/>
      <c r="M52" s="328"/>
      <c r="N52" s="310">
        <f>N50</f>
        <v>11749.243064999999</v>
      </c>
      <c r="O52" s="77">
        <f>N52/N93</f>
        <v>8.3737961690632703E-2</v>
      </c>
    </row>
    <row r="53" spans="1:15" s="132" customFormat="1" ht="12" customHeight="1" x14ac:dyDescent="0.2">
      <c r="B53" s="133"/>
      <c r="C53" s="487"/>
      <c r="D53" s="487"/>
      <c r="E53" s="487"/>
      <c r="F53" s="487"/>
      <c r="G53" s="488"/>
      <c r="H53" s="628"/>
      <c r="I53" s="323"/>
      <c r="J53" s="629"/>
      <c r="K53" s="629"/>
      <c r="L53" s="629"/>
      <c r="M53" s="629"/>
      <c r="N53" s="310"/>
      <c r="O53" s="77"/>
    </row>
    <row r="54" spans="1:15" ht="12" customHeight="1" x14ac:dyDescent="0.2">
      <c r="A54" s="129" t="s">
        <v>127</v>
      </c>
      <c r="B54" s="88" t="s">
        <v>130</v>
      </c>
      <c r="H54" s="329"/>
      <c r="I54" s="323"/>
      <c r="J54" s="311"/>
      <c r="K54" s="311"/>
      <c r="L54" s="311"/>
      <c r="M54" s="311"/>
      <c r="N54" s="311"/>
      <c r="O54" s="19"/>
    </row>
    <row r="55" spans="1:15" ht="12" customHeight="1" x14ac:dyDescent="0.2">
      <c r="A55" s="98" t="s">
        <v>881</v>
      </c>
      <c r="B55" s="88" t="s">
        <v>882</v>
      </c>
      <c r="G55" s="97"/>
      <c r="H55" s="308"/>
      <c r="I55" s="323"/>
      <c r="J55" s="308"/>
      <c r="K55" s="308"/>
      <c r="L55" s="308"/>
      <c r="M55" s="308"/>
      <c r="N55" s="308"/>
      <c r="O55" s="25"/>
    </row>
    <row r="56" spans="1:15" ht="12" customHeight="1" x14ac:dyDescent="0.2">
      <c r="A56" s="98" t="s">
        <v>881</v>
      </c>
      <c r="B56" s="88" t="s">
        <v>143</v>
      </c>
      <c r="G56" s="97" t="s">
        <v>24</v>
      </c>
      <c r="H56" s="308">
        <v>37</v>
      </c>
      <c r="I56" s="323">
        <f>J56+L56</f>
        <v>196.14999999999998</v>
      </c>
      <c r="J56" s="323">
        <v>43.05</v>
      </c>
      <c r="K56" s="308">
        <f>H56*J56</f>
        <v>1592.85</v>
      </c>
      <c r="L56" s="323">
        <v>153.1</v>
      </c>
      <c r="M56" s="308">
        <f>L56*H56</f>
        <v>5664.7</v>
      </c>
      <c r="N56" s="308">
        <f>H56*I56</f>
        <v>7257.5499999999993</v>
      </c>
      <c r="O56" s="25">
        <f>N56/N58</f>
        <v>1</v>
      </c>
    </row>
    <row r="57" spans="1:15" ht="12" customHeight="1" x14ac:dyDescent="0.2">
      <c r="B57" s="130"/>
      <c r="G57" s="52"/>
      <c r="H57" s="324"/>
      <c r="I57" s="323"/>
      <c r="J57" s="313"/>
      <c r="K57" s="313"/>
      <c r="L57" s="313"/>
      <c r="M57" s="313"/>
      <c r="N57" s="308"/>
      <c r="O57" s="25"/>
    </row>
    <row r="58" spans="1:15" ht="12" customHeight="1" x14ac:dyDescent="0.2">
      <c r="B58" s="130" t="s">
        <v>18</v>
      </c>
      <c r="C58" s="131"/>
      <c r="D58" s="131"/>
      <c r="E58" s="131"/>
      <c r="F58" s="131"/>
      <c r="G58" s="53"/>
      <c r="H58" s="325"/>
      <c r="I58" s="582"/>
      <c r="J58" s="326"/>
      <c r="K58" s="326"/>
      <c r="L58" s="326"/>
      <c r="M58" s="326"/>
      <c r="N58" s="308">
        <f>N56</f>
        <v>7257.5499999999993</v>
      </c>
      <c r="O58" s="25">
        <f>N58/N65</f>
        <v>0.61720761618150655</v>
      </c>
    </row>
    <row r="59" spans="1:15" ht="12" customHeight="1" x14ac:dyDescent="0.2">
      <c r="B59" s="130"/>
      <c r="G59" s="52"/>
      <c r="H59" s="324"/>
      <c r="I59" s="323"/>
      <c r="J59" s="313"/>
      <c r="K59" s="313"/>
      <c r="L59" s="313"/>
      <c r="M59" s="313"/>
      <c r="N59" s="308"/>
      <c r="O59" s="25"/>
    </row>
    <row r="60" spans="1:15" ht="12" customHeight="1" x14ac:dyDescent="0.2">
      <c r="A60" s="129" t="s">
        <v>145</v>
      </c>
      <c r="B60" s="88" t="s">
        <v>26</v>
      </c>
      <c r="H60" s="329"/>
      <c r="I60" s="323"/>
      <c r="J60" s="311"/>
      <c r="K60" s="311"/>
      <c r="L60" s="311"/>
      <c r="M60" s="311"/>
      <c r="N60" s="311"/>
      <c r="O60" s="19"/>
    </row>
    <row r="61" spans="1:15" ht="12" customHeight="1" x14ac:dyDescent="0.2">
      <c r="A61" s="129" t="s">
        <v>146</v>
      </c>
      <c r="B61" s="88" t="s">
        <v>147</v>
      </c>
      <c r="G61" s="97" t="s">
        <v>32</v>
      </c>
      <c r="H61" s="308">
        <f>(H56*1.54)/2</f>
        <v>28.490000000000002</v>
      </c>
      <c r="I61" s="323">
        <f>VLOOKUP(A61,'[1]TAB OGU JUN18'!$A:$G,6,"falso")</f>
        <v>157.99</v>
      </c>
      <c r="J61" s="323">
        <f>VLOOKUP(A61,'[1]TAB OGU JUN18'!$A:$G,4,"falso")</f>
        <v>39.5</v>
      </c>
      <c r="K61" s="308">
        <f>H61*J61</f>
        <v>1125.355</v>
      </c>
      <c r="L61" s="323">
        <f>VLOOKUP(A61,'[1]TAB OGU JUN18'!$A:$G,5,"falso")</f>
        <v>118.49</v>
      </c>
      <c r="M61" s="308">
        <f>H61*L61</f>
        <v>3375.7800999999999</v>
      </c>
      <c r="N61" s="308">
        <f>H61*I61</f>
        <v>4501.1351000000004</v>
      </c>
      <c r="O61" s="68">
        <f>N61/N63</f>
        <v>1</v>
      </c>
    </row>
    <row r="62" spans="1:15" ht="12" customHeight="1" x14ac:dyDescent="0.2">
      <c r="B62" s="130"/>
      <c r="G62" s="52"/>
      <c r="H62" s="324"/>
      <c r="I62" s="313"/>
      <c r="J62" s="313"/>
      <c r="K62" s="313"/>
      <c r="L62" s="313"/>
      <c r="M62" s="313"/>
      <c r="N62" s="308"/>
      <c r="O62" s="25"/>
    </row>
    <row r="63" spans="1:15" ht="12" customHeight="1" x14ac:dyDescent="0.2">
      <c r="B63" s="130" t="s">
        <v>18</v>
      </c>
      <c r="C63" s="131"/>
      <c r="D63" s="131"/>
      <c r="E63" s="131"/>
      <c r="F63" s="131"/>
      <c r="G63" s="53"/>
      <c r="H63" s="325"/>
      <c r="I63" s="326"/>
      <c r="J63" s="326"/>
      <c r="K63" s="326"/>
      <c r="L63" s="326"/>
      <c r="M63" s="326"/>
      <c r="N63" s="308">
        <f>N61</f>
        <v>4501.1351000000004</v>
      </c>
      <c r="O63" s="25">
        <f>N63/N65</f>
        <v>0.38279238381849351</v>
      </c>
    </row>
    <row r="64" spans="1:15" ht="12" customHeight="1" x14ac:dyDescent="0.2">
      <c r="B64" s="130"/>
      <c r="G64" s="52"/>
      <c r="H64" s="324"/>
      <c r="I64" s="313"/>
      <c r="J64" s="313"/>
      <c r="K64" s="313"/>
      <c r="L64" s="313"/>
      <c r="M64" s="313"/>
      <c r="N64" s="308"/>
      <c r="O64" s="25"/>
    </row>
    <row r="65" spans="1:16" s="132" customFormat="1" ht="12" customHeight="1" x14ac:dyDescent="0.2">
      <c r="B65" s="133" t="s">
        <v>20</v>
      </c>
      <c r="C65" s="134"/>
      <c r="D65" s="134"/>
      <c r="E65" s="134"/>
      <c r="F65" s="134"/>
      <c r="G65" s="78"/>
      <c r="H65" s="327"/>
      <c r="I65" s="328"/>
      <c r="J65" s="328"/>
      <c r="K65" s="328"/>
      <c r="L65" s="328"/>
      <c r="M65" s="328"/>
      <c r="N65" s="310">
        <f>N63+N58</f>
        <v>11758.685099999999</v>
      </c>
      <c r="O65" s="77">
        <f>N65/N93</f>
        <v>8.380525596318604E-2</v>
      </c>
    </row>
    <row r="66" spans="1:16" ht="12" customHeight="1" x14ac:dyDescent="0.2">
      <c r="A66" s="98"/>
      <c r="B66" s="88"/>
      <c r="G66" s="97"/>
      <c r="H66" s="308"/>
      <c r="I66" s="308"/>
      <c r="J66" s="308"/>
      <c r="K66" s="308"/>
      <c r="L66" s="308"/>
      <c r="M66" s="308"/>
      <c r="N66" s="308"/>
      <c r="O66" s="25"/>
    </row>
    <row r="67" spans="1:16" ht="12" customHeight="1" x14ac:dyDescent="0.2">
      <c r="A67" s="98" t="s">
        <v>448</v>
      </c>
      <c r="B67" s="88" t="s">
        <v>449</v>
      </c>
      <c r="G67" s="97"/>
      <c r="H67" s="308"/>
      <c r="I67" s="308"/>
      <c r="J67" s="308"/>
      <c r="K67" s="308"/>
      <c r="L67" s="308"/>
      <c r="M67" s="308"/>
      <c r="N67" s="308"/>
      <c r="O67" s="25"/>
    </row>
    <row r="68" spans="1:16" ht="12" customHeight="1" x14ac:dyDescent="0.2">
      <c r="A68" s="98" t="s">
        <v>458</v>
      </c>
      <c r="B68" s="88" t="s">
        <v>459</v>
      </c>
      <c r="G68" s="97"/>
      <c r="H68" s="308"/>
      <c r="I68" s="308"/>
      <c r="J68" s="308"/>
      <c r="K68" s="308"/>
      <c r="L68" s="308"/>
      <c r="M68" s="308"/>
      <c r="N68" s="308"/>
      <c r="O68" s="25"/>
    </row>
    <row r="69" spans="1:16" ht="12" hidden="1" customHeight="1" x14ac:dyDescent="0.2">
      <c r="A69" s="98" t="s">
        <v>1004</v>
      </c>
      <c r="B69" s="88" t="s">
        <v>1005</v>
      </c>
      <c r="G69" s="97" t="s">
        <v>17</v>
      </c>
      <c r="H69" s="308">
        <v>0</v>
      </c>
      <c r="I69" s="323">
        <f>VLOOKUP(A69,'[1]TAB OGU JUN18'!$A:$G,6,"falso")</f>
        <v>21.74</v>
      </c>
      <c r="J69" s="323">
        <f>VLOOKUP(A69,'[1]TAB OGU JUN18'!$A:$G,4,"falso")</f>
        <v>13.7</v>
      </c>
      <c r="K69" s="308">
        <f t="shared" ref="K69:K72" si="0">H69*J69</f>
        <v>0</v>
      </c>
      <c r="L69" s="308"/>
      <c r="M69" s="308">
        <f t="shared" ref="M69:M72" si="1">H69*L69</f>
        <v>0</v>
      </c>
      <c r="N69" s="308">
        <f t="shared" ref="N69:N72" si="2">H69*J69</f>
        <v>0</v>
      </c>
      <c r="O69" s="68">
        <f t="shared" ref="O69:O72" si="3">N69/$N$81</f>
        <v>0</v>
      </c>
    </row>
    <row r="70" spans="1:16" ht="12" customHeight="1" x14ac:dyDescent="0.2">
      <c r="A70" s="98" t="s">
        <v>797</v>
      </c>
      <c r="B70" s="88" t="s">
        <v>798</v>
      </c>
      <c r="G70" s="97" t="s">
        <v>17</v>
      </c>
      <c r="H70" s="308">
        <v>78.900000000000006</v>
      </c>
      <c r="I70" s="323">
        <f>VLOOKUP(A70,'[1]TAB OGU JUN18'!$A:$G,6,"falso")</f>
        <v>31.06</v>
      </c>
      <c r="J70" s="323">
        <f>VLOOKUP(A70,'[1]TAB OGU JUN18'!$A:$G,4,"falso")</f>
        <v>19.02</v>
      </c>
      <c r="K70" s="308">
        <f t="shared" si="0"/>
        <v>1500.6780000000001</v>
      </c>
      <c r="L70" s="308"/>
      <c r="M70" s="308">
        <f t="shared" si="1"/>
        <v>0</v>
      </c>
      <c r="N70" s="308">
        <f t="shared" si="2"/>
        <v>1500.6780000000001</v>
      </c>
      <c r="O70" s="68">
        <f t="shared" si="3"/>
        <v>2.1322832083610258E-2</v>
      </c>
    </row>
    <row r="71" spans="1:16" ht="12" customHeight="1" x14ac:dyDescent="0.2">
      <c r="A71" s="98" t="s">
        <v>884</v>
      </c>
      <c r="B71" s="88" t="s">
        <v>1041</v>
      </c>
      <c r="G71" s="97" t="s">
        <v>17</v>
      </c>
      <c r="H71" s="308">
        <v>154.55000000000001</v>
      </c>
      <c r="I71" s="323">
        <f>VLOOKUP(A71,'[1]TAB OGU JUN18'!$A:$G,6,"falso")</f>
        <v>37.33</v>
      </c>
      <c r="J71" s="323">
        <f>VLOOKUP(A71,'[1]TAB OGU JUN18'!$A:$G,4,"falso")</f>
        <v>20.66</v>
      </c>
      <c r="K71" s="308">
        <f t="shared" si="0"/>
        <v>3193.0030000000002</v>
      </c>
      <c r="L71" s="308"/>
      <c r="M71" s="308">
        <f t="shared" si="1"/>
        <v>0</v>
      </c>
      <c r="N71" s="308">
        <f t="shared" si="2"/>
        <v>3193.0030000000002</v>
      </c>
      <c r="O71" s="68">
        <f t="shared" si="3"/>
        <v>4.5368737871457968E-2</v>
      </c>
    </row>
    <row r="72" spans="1:16" ht="12" customHeight="1" x14ac:dyDescent="0.2">
      <c r="A72" s="98" t="s">
        <v>886</v>
      </c>
      <c r="B72" s="88" t="s">
        <v>1042</v>
      </c>
      <c r="G72" s="97" t="s">
        <v>17</v>
      </c>
      <c r="H72" s="308">
        <v>730.95</v>
      </c>
      <c r="I72" s="323">
        <f>VLOOKUP(A72,'[1]TAB OGU JUN18'!$A:$G,6,"falso")</f>
        <v>50.04</v>
      </c>
      <c r="J72" s="323">
        <f>VLOOKUP(A72,'[1]TAB OGU JUN18'!$A:$G,4,"falso")</f>
        <v>26.52</v>
      </c>
      <c r="K72" s="308">
        <f t="shared" si="0"/>
        <v>19384.794000000002</v>
      </c>
      <c r="L72" s="308"/>
      <c r="M72" s="308">
        <f t="shared" si="1"/>
        <v>0</v>
      </c>
      <c r="N72" s="308">
        <f t="shared" si="2"/>
        <v>19384.794000000002</v>
      </c>
      <c r="O72" s="68">
        <f t="shared" si="3"/>
        <v>0.27543464183347505</v>
      </c>
    </row>
    <row r="73" spans="1:16" ht="12" customHeight="1" x14ac:dyDescent="0.2">
      <c r="A73" s="98" t="s">
        <v>460</v>
      </c>
      <c r="B73" s="200" t="s">
        <v>461</v>
      </c>
      <c r="G73" s="97" t="s">
        <v>17</v>
      </c>
      <c r="H73" s="308">
        <v>60.9</v>
      </c>
      <c r="I73" s="323">
        <f>VLOOKUP(A73,'[1]TAB OGU JUN18'!$A:$G,6,"falso")</f>
        <v>38.76</v>
      </c>
      <c r="J73" s="323">
        <f>VLOOKUP(A73,'[1]TAB OGU JUN18'!$A:$G,4,"falso")</f>
        <v>23.66</v>
      </c>
      <c r="K73" s="308">
        <f t="shared" ref="K73:K79" si="4">H73*J73</f>
        <v>1440.894</v>
      </c>
      <c r="L73" s="323"/>
      <c r="M73" s="308">
        <f t="shared" ref="M73:M79" si="5">H73*L73</f>
        <v>0</v>
      </c>
      <c r="N73" s="308">
        <f>H73*J73</f>
        <v>1440.894</v>
      </c>
      <c r="O73" s="68">
        <f>N73/$N$81</f>
        <v>2.0473373243481623E-2</v>
      </c>
    </row>
    <row r="74" spans="1:16" ht="12" customHeight="1" x14ac:dyDescent="0.2">
      <c r="A74" s="98" t="s">
        <v>921</v>
      </c>
      <c r="B74" s="200" t="s">
        <v>922</v>
      </c>
      <c r="G74" s="97" t="s">
        <v>17</v>
      </c>
      <c r="H74" s="308">
        <v>103.8</v>
      </c>
      <c r="I74" s="323">
        <f>VLOOKUP(A74,'[1]TAB OGU JUN18'!$A:$G,6,"falso")</f>
        <v>52.18</v>
      </c>
      <c r="J74" s="323">
        <f>VLOOKUP(A74,'[1]TAB OGU JUN18'!$A:$G,4,"falso")</f>
        <v>30.18</v>
      </c>
      <c r="K74" s="308">
        <f t="shared" si="4"/>
        <v>3132.6839999999997</v>
      </c>
      <c r="L74" s="323"/>
      <c r="M74" s="308">
        <f t="shared" si="5"/>
        <v>0</v>
      </c>
      <c r="N74" s="308">
        <f t="shared" ref="N74:N75" si="6">H74*J74</f>
        <v>3132.6839999999997</v>
      </c>
      <c r="O74" s="68">
        <f>N74/N81</f>
        <v>4.4511677323857954E-2</v>
      </c>
    </row>
    <row r="75" spans="1:16" ht="12" hidden="1" customHeight="1" x14ac:dyDescent="0.2">
      <c r="A75" s="98" t="s">
        <v>923</v>
      </c>
      <c r="B75" s="200" t="s">
        <v>924</v>
      </c>
      <c r="G75" s="97" t="s">
        <v>17</v>
      </c>
      <c r="H75" s="308"/>
      <c r="I75" s="323">
        <f>VLOOKUP(A75,'[1]TAB OGU JUN18'!$A:$G,6,"falso")</f>
        <v>67.25</v>
      </c>
      <c r="J75" s="323">
        <f>VLOOKUP(A75,'[1]TAB OGU JUN18'!$A:$G,4,"falso")</f>
        <v>32.880000000000003</v>
      </c>
      <c r="K75" s="308">
        <f t="shared" si="4"/>
        <v>0</v>
      </c>
      <c r="L75" s="323"/>
      <c r="M75" s="308">
        <f t="shared" si="5"/>
        <v>0</v>
      </c>
      <c r="N75" s="308">
        <f t="shared" si="6"/>
        <v>0</v>
      </c>
      <c r="O75" s="68">
        <f>N75/N81</f>
        <v>0</v>
      </c>
    </row>
    <row r="76" spans="1:16" ht="12" customHeight="1" x14ac:dyDescent="0.2">
      <c r="A76" s="98" t="s">
        <v>1037</v>
      </c>
      <c r="B76" s="200" t="s">
        <v>1038</v>
      </c>
      <c r="G76" s="97" t="s">
        <v>17</v>
      </c>
      <c r="H76" s="308">
        <v>436.8</v>
      </c>
      <c r="I76" s="323">
        <f>VLOOKUP(A76,'[1]TAB OGU JUN18'!$A:$G,6,"falso")</f>
        <v>84.63</v>
      </c>
      <c r="J76" s="323">
        <f>VLOOKUP(A76,'[1]TAB OGU JUN18'!$A:$G,4,"falso")</f>
        <v>42.63</v>
      </c>
      <c r="K76" s="308">
        <f t="shared" si="4"/>
        <v>18620.784000000003</v>
      </c>
      <c r="L76" s="323"/>
      <c r="M76" s="308">
        <f t="shared" si="5"/>
        <v>0</v>
      </c>
      <c r="N76" s="308">
        <f>H76*J76</f>
        <v>18620.784000000003</v>
      </c>
      <c r="O76" s="68">
        <f>N76/N81</f>
        <v>0.26457897730037794</v>
      </c>
    </row>
    <row r="77" spans="1:16" ht="12" customHeight="1" x14ac:dyDescent="0.2">
      <c r="A77" s="98" t="s">
        <v>1039</v>
      </c>
      <c r="B77" s="200" t="s">
        <v>1040</v>
      </c>
      <c r="G77" s="97" t="s">
        <v>17</v>
      </c>
      <c r="H77" s="308">
        <v>210.4</v>
      </c>
      <c r="I77" s="323">
        <f>VLOOKUP(A77,'[1]TAB OGU JUN18'!$A:$G,6,"falso")</f>
        <v>177.17</v>
      </c>
      <c r="J77" s="323">
        <f>VLOOKUP(A77,'[1]TAB OGU JUN18'!$A:$G,4,"falso")</f>
        <v>67.17</v>
      </c>
      <c r="K77" s="308">
        <f t="shared" si="4"/>
        <v>14132.568000000001</v>
      </c>
      <c r="L77" s="323"/>
      <c r="M77" s="308">
        <f t="shared" si="5"/>
        <v>0</v>
      </c>
      <c r="N77" s="308">
        <f>H77*J77</f>
        <v>14132.568000000001</v>
      </c>
      <c r="O77" s="68">
        <f>N77/N81</f>
        <v>0.20080681823429386</v>
      </c>
    </row>
    <row r="78" spans="1:16" ht="12" customHeight="1" x14ac:dyDescent="0.2">
      <c r="A78" s="129" t="s">
        <v>536</v>
      </c>
      <c r="B78" s="88" t="s">
        <v>537</v>
      </c>
      <c r="G78" s="97" t="s">
        <v>24</v>
      </c>
      <c r="H78" s="308">
        <v>2</v>
      </c>
      <c r="I78" s="323">
        <f>J78+L78</f>
        <v>730.87</v>
      </c>
      <c r="J78" s="323">
        <v>379.86</v>
      </c>
      <c r="K78" s="308">
        <f t="shared" si="4"/>
        <v>759.72</v>
      </c>
      <c r="L78" s="323">
        <v>351.01</v>
      </c>
      <c r="M78" s="308">
        <f t="shared" si="5"/>
        <v>702.02</v>
      </c>
      <c r="N78" s="308">
        <f>H78*I78</f>
        <v>1461.74</v>
      </c>
      <c r="O78" s="68">
        <f>N78/N81</f>
        <v>2.076956986768411E-2</v>
      </c>
      <c r="P78" s="51">
        <v>83659</v>
      </c>
    </row>
    <row r="79" spans="1:16" ht="12" customHeight="1" x14ac:dyDescent="0.2">
      <c r="A79" s="129" t="s">
        <v>538</v>
      </c>
      <c r="B79" s="88" t="s">
        <v>539</v>
      </c>
      <c r="G79" s="97" t="s">
        <v>32</v>
      </c>
      <c r="H79" s="308">
        <v>15.16</v>
      </c>
      <c r="I79" s="323">
        <f>J79+L79</f>
        <v>495.5</v>
      </c>
      <c r="J79" s="323">
        <v>292.39999999999998</v>
      </c>
      <c r="K79" s="308">
        <f t="shared" si="4"/>
        <v>4432.7839999999997</v>
      </c>
      <c r="L79" s="323">
        <v>203.1</v>
      </c>
      <c r="M79" s="308">
        <f t="shared" si="5"/>
        <v>3078.9960000000001</v>
      </c>
      <c r="N79" s="308">
        <f>H79*I79</f>
        <v>7511.78</v>
      </c>
      <c r="O79" s="68">
        <f>N79/N81</f>
        <v>0.10673337224176128</v>
      </c>
      <c r="P79" s="51">
        <v>83690</v>
      </c>
    </row>
    <row r="80" spans="1:16" ht="12" customHeight="1" x14ac:dyDescent="0.2">
      <c r="B80" s="130"/>
      <c r="G80" s="52"/>
      <c r="H80" s="324"/>
      <c r="I80" s="313"/>
      <c r="J80" s="313"/>
      <c r="K80" s="313"/>
      <c r="L80" s="313"/>
      <c r="M80" s="313"/>
      <c r="N80" s="308"/>
      <c r="O80" s="68"/>
    </row>
    <row r="81" spans="1:16" ht="12" customHeight="1" x14ac:dyDescent="0.2">
      <c r="B81" s="130" t="s">
        <v>18</v>
      </c>
      <c r="C81" s="131"/>
      <c r="D81" s="131"/>
      <c r="E81" s="131"/>
      <c r="F81" s="131"/>
      <c r="G81" s="53"/>
      <c r="H81" s="325"/>
      <c r="I81" s="326"/>
      <c r="J81" s="326"/>
      <c r="K81" s="326"/>
      <c r="L81" s="326"/>
      <c r="M81" s="326"/>
      <c r="N81" s="308">
        <f>N69+N70+N71+N72+N73+N74+N75+N76+N77+N78+N79</f>
        <v>70378.925000000003</v>
      </c>
      <c r="O81" s="68">
        <f>N81/N83</f>
        <v>1</v>
      </c>
    </row>
    <row r="82" spans="1:16" ht="12" customHeight="1" x14ac:dyDescent="0.2">
      <c r="A82" s="98"/>
      <c r="B82" s="88"/>
      <c r="G82" s="97"/>
      <c r="H82" s="308"/>
      <c r="I82" s="308"/>
      <c r="J82" s="308"/>
      <c r="K82" s="308"/>
      <c r="L82" s="308"/>
      <c r="M82" s="308"/>
      <c r="N82" s="308"/>
      <c r="O82" s="25"/>
    </row>
    <row r="83" spans="1:16" s="132" customFormat="1" ht="12" customHeight="1" x14ac:dyDescent="0.2">
      <c r="A83" s="145"/>
      <c r="B83" s="133" t="s">
        <v>20</v>
      </c>
      <c r="C83" s="134"/>
      <c r="D83" s="134"/>
      <c r="E83" s="134"/>
      <c r="F83" s="134"/>
      <c r="G83" s="78"/>
      <c r="H83" s="327"/>
      <c r="I83" s="328"/>
      <c r="J83" s="328"/>
      <c r="K83" s="328"/>
      <c r="L83" s="328"/>
      <c r="M83" s="328"/>
      <c r="N83" s="310">
        <f>N81</f>
        <v>70378.925000000003</v>
      </c>
      <c r="O83" s="77">
        <f>N83/N93</f>
        <v>0.5015972256999105</v>
      </c>
    </row>
    <row r="84" spans="1:16" ht="12" customHeight="1" x14ac:dyDescent="0.2">
      <c r="A84" s="98"/>
      <c r="B84" s="88"/>
      <c r="G84" s="97"/>
      <c r="H84" s="308"/>
      <c r="I84" s="308"/>
      <c r="J84" s="308"/>
      <c r="K84" s="308"/>
      <c r="L84" s="308"/>
      <c r="M84" s="308"/>
      <c r="N84" s="308"/>
      <c r="O84" s="25"/>
    </row>
    <row r="85" spans="1:16" ht="12" customHeight="1" x14ac:dyDescent="0.2">
      <c r="A85" s="98" t="s">
        <v>169</v>
      </c>
      <c r="B85" s="88" t="s">
        <v>172</v>
      </c>
      <c r="G85" s="97"/>
      <c r="H85" s="308"/>
      <c r="I85" s="308"/>
      <c r="J85" s="308"/>
      <c r="K85" s="308"/>
      <c r="L85" s="308"/>
      <c r="M85" s="308"/>
      <c r="N85" s="308"/>
      <c r="O85" s="25"/>
    </row>
    <row r="86" spans="1:16" ht="12" customHeight="1" x14ac:dyDescent="0.2">
      <c r="A86" s="98" t="s">
        <v>170</v>
      </c>
      <c r="B86" s="88" t="s">
        <v>173</v>
      </c>
      <c r="G86" s="97"/>
      <c r="H86" s="308"/>
      <c r="I86" s="308"/>
      <c r="J86" s="308"/>
      <c r="K86" s="308"/>
      <c r="L86" s="308"/>
      <c r="M86" s="308"/>
      <c r="N86" s="308"/>
      <c r="O86" s="25"/>
    </row>
    <row r="87" spans="1:16" ht="12" customHeight="1" x14ac:dyDescent="0.2">
      <c r="A87" s="98" t="s">
        <v>187</v>
      </c>
      <c r="B87" s="88" t="s">
        <v>188</v>
      </c>
      <c r="G87" s="97" t="s">
        <v>17</v>
      </c>
      <c r="H87" s="308">
        <v>1135.05</v>
      </c>
      <c r="I87" s="323">
        <f>VLOOKUP(A87,'[1]TAB OGU JUN18'!$A:$G,6,"falso")</f>
        <v>1.23</v>
      </c>
      <c r="J87" s="323">
        <f>VLOOKUP(A87,'[1]TAB OGU JUN18'!$A:$G,4,"falso")</f>
        <v>1.23</v>
      </c>
      <c r="K87" s="308">
        <f>H87*J87</f>
        <v>1396.1115</v>
      </c>
      <c r="L87" s="323">
        <f>VLOOKUP(A87,'[1]TAB OGU JUN18'!$A:$G,5,"falso")</f>
        <v>0</v>
      </c>
      <c r="M87" s="308"/>
      <c r="N87" s="308">
        <f>H87*I87</f>
        <v>1396.1115</v>
      </c>
      <c r="O87" s="68">
        <f>N87/N89</f>
        <v>1</v>
      </c>
    </row>
    <row r="88" spans="1:16" ht="12" customHeight="1" x14ac:dyDescent="0.2">
      <c r="B88" s="130"/>
      <c r="G88" s="52"/>
      <c r="H88" s="324"/>
      <c r="I88" s="313"/>
      <c r="J88" s="313"/>
      <c r="K88" s="313"/>
      <c r="L88" s="313"/>
      <c r="M88" s="313"/>
      <c r="N88" s="308"/>
      <c r="O88" s="68"/>
    </row>
    <row r="89" spans="1:16" ht="12" customHeight="1" x14ac:dyDescent="0.2">
      <c r="B89" s="130" t="s">
        <v>18</v>
      </c>
      <c r="C89" s="131"/>
      <c r="D89" s="131"/>
      <c r="E89" s="131"/>
      <c r="F89" s="131"/>
      <c r="G89" s="53"/>
      <c r="H89" s="325"/>
      <c r="I89" s="326"/>
      <c r="J89" s="326"/>
      <c r="K89" s="326"/>
      <c r="L89" s="326"/>
      <c r="M89" s="326"/>
      <c r="N89" s="308">
        <f>N87</f>
        <v>1396.1115</v>
      </c>
      <c r="O89" s="68">
        <f>N89/N91</f>
        <v>1</v>
      </c>
    </row>
    <row r="90" spans="1:16" ht="12" customHeight="1" x14ac:dyDescent="0.2">
      <c r="A90" s="98"/>
      <c r="B90" s="88"/>
      <c r="G90" s="97"/>
      <c r="H90" s="308"/>
      <c r="I90" s="308"/>
      <c r="J90" s="308"/>
      <c r="K90" s="308"/>
      <c r="L90" s="308"/>
      <c r="M90" s="308"/>
      <c r="N90" s="308"/>
      <c r="O90" s="25"/>
    </row>
    <row r="91" spans="1:16" s="132" customFormat="1" ht="12" customHeight="1" x14ac:dyDescent="0.2">
      <c r="A91" s="145"/>
      <c r="B91" s="133" t="s">
        <v>20</v>
      </c>
      <c r="C91" s="134"/>
      <c r="D91" s="134"/>
      <c r="E91" s="134"/>
      <c r="F91" s="134"/>
      <c r="G91" s="78"/>
      <c r="H91" s="328"/>
      <c r="I91" s="328"/>
      <c r="J91" s="328"/>
      <c r="K91" s="328"/>
      <c r="L91" s="328"/>
      <c r="M91" s="328"/>
      <c r="N91" s="310">
        <f>N89</f>
        <v>1396.1115</v>
      </c>
      <c r="O91" s="77">
        <f>N91/N93</f>
        <v>9.9502181252092235E-3</v>
      </c>
    </row>
    <row r="92" spans="1:16" ht="6.75" customHeight="1" x14ac:dyDescent="0.2">
      <c r="A92" s="98"/>
      <c r="B92" s="88"/>
      <c r="G92" s="97"/>
      <c r="H92" s="308"/>
      <c r="I92" s="308"/>
      <c r="J92" s="308"/>
      <c r="K92" s="308"/>
      <c r="L92" s="308"/>
      <c r="M92" s="308"/>
      <c r="N92" s="308"/>
      <c r="O92" s="25"/>
    </row>
    <row r="93" spans="1:16" ht="12" customHeight="1" x14ac:dyDescent="0.2">
      <c r="A93" s="146"/>
      <c r="B93" s="147" t="s">
        <v>30</v>
      </c>
      <c r="C93" s="146"/>
      <c r="D93" s="146"/>
      <c r="E93" s="146"/>
      <c r="F93" s="146"/>
      <c r="G93" s="146"/>
      <c r="H93" s="342"/>
      <c r="I93" s="345"/>
      <c r="J93" s="345"/>
      <c r="K93" s="285">
        <f>SUM(K12:K87)</f>
        <v>126596.28739449997</v>
      </c>
      <c r="L93" s="285"/>
      <c r="M93" s="285">
        <f>SUM(M12:M87)</f>
        <v>13713.350287000001</v>
      </c>
      <c r="N93" s="316">
        <f>N91+N65+N43+N83+N52</f>
        <v>140309.63768149997</v>
      </c>
      <c r="O93" s="29"/>
      <c r="P93" s="149"/>
    </row>
    <row r="94" spans="1:16" ht="6.75" customHeight="1" x14ac:dyDescent="0.2">
      <c r="B94" s="133"/>
      <c r="H94" s="311"/>
      <c r="I94" s="311"/>
      <c r="J94" s="311"/>
      <c r="K94" s="311"/>
      <c r="L94" s="311"/>
      <c r="M94" s="311"/>
      <c r="N94" s="366"/>
      <c r="O94" s="441"/>
      <c r="P94" s="149"/>
    </row>
    <row r="95" spans="1:16" ht="12" customHeight="1" x14ac:dyDescent="0.2">
      <c r="A95" s="146"/>
      <c r="B95" s="147" t="s">
        <v>265</v>
      </c>
      <c r="C95" s="146"/>
      <c r="D95" s="146"/>
      <c r="E95" s="146"/>
      <c r="F95" s="146"/>
      <c r="G95" s="146"/>
      <c r="H95" s="342"/>
      <c r="I95" s="345"/>
      <c r="J95" s="345"/>
      <c r="K95" s="285">
        <f>K93+(K93*O5)</f>
        <v>161511.54345790306</v>
      </c>
      <c r="L95" s="285"/>
      <c r="M95" s="285">
        <f>M93+(M93*O7)</f>
        <v>16143.355957856402</v>
      </c>
      <c r="N95" s="316">
        <f>M95+K95</f>
        <v>177654.89941575946</v>
      </c>
      <c r="O95" s="29">
        <f>N95/RESUMO!H95</f>
        <v>2.4532939828946464E-2</v>
      </c>
      <c r="P95" s="149"/>
    </row>
    <row r="96" spans="1:16" ht="12" customHeight="1" x14ac:dyDescent="0.2">
      <c r="P96" s="149"/>
    </row>
    <row r="97" spans="1:16" ht="12" customHeight="1" x14ac:dyDescent="0.2">
      <c r="P97" s="149"/>
    </row>
    <row r="102" spans="1:16" s="150" customFormat="1" ht="12" customHeight="1" x14ac:dyDescent="0.2">
      <c r="A102" s="51"/>
      <c r="B102" s="51"/>
      <c r="C102" s="51"/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2"/>
    </row>
    <row r="103" spans="1:16" s="150" customFormat="1" ht="12" customHeight="1" x14ac:dyDescent="0.2">
      <c r="A103" s="51"/>
      <c r="B103" s="51"/>
      <c r="C103" s="51"/>
      <c r="D103" s="51"/>
      <c r="E103" s="51"/>
      <c r="F103" s="51"/>
      <c r="G103" s="51"/>
      <c r="H103" s="51"/>
      <c r="I103" s="51"/>
      <c r="J103" s="51"/>
      <c r="K103" s="51"/>
      <c r="L103" s="51"/>
      <c r="M103" s="51"/>
      <c r="N103" s="51"/>
      <c r="O103" s="52"/>
    </row>
    <row r="110" spans="1:16" ht="12" customHeight="1" x14ac:dyDescent="0.2">
      <c r="A110" s="88"/>
      <c r="C110" s="184"/>
      <c r="D110" s="184"/>
      <c r="E110" s="184"/>
      <c r="F110" s="184"/>
      <c r="G110" s="184"/>
      <c r="H110" s="184"/>
      <c r="I110" s="184"/>
      <c r="J110" s="184"/>
      <c r="K110" s="184"/>
      <c r="L110" s="184"/>
      <c r="M110" s="184"/>
      <c r="N110" s="184"/>
      <c r="O110" s="437"/>
    </row>
  </sheetData>
  <mergeCells count="3">
    <mergeCell ref="A2:O2"/>
    <mergeCell ref="N4:O4"/>
    <mergeCell ref="A5:B6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2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rowBreaks count="1" manualBreakCount="1">
    <brk id="84" max="14" man="1"/>
  </rowBreaks>
  <legacyDrawingHF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Planilha11">
    <tabColor theme="6" tint="0.39997558519241921"/>
    <pageSetUpPr fitToPage="1"/>
  </sheetPr>
  <dimension ref="A1:P42"/>
  <sheetViews>
    <sheetView view="pageBreakPreview" zoomScale="90" zoomScaleNormal="85" zoomScaleSheetLayoutView="90" workbookViewId="0">
      <selection activeCell="O46" sqref="O46"/>
    </sheetView>
  </sheetViews>
  <sheetFormatPr defaultColWidth="11.42578125" defaultRowHeight="12" customHeight="1" x14ac:dyDescent="0.2"/>
  <cols>
    <col min="1" max="5" width="11.42578125" style="51"/>
    <col min="6" max="6" width="28.5703125" style="51" customWidth="1"/>
    <col min="7" max="7" width="11.42578125" style="51"/>
    <col min="8" max="9" width="11.42578125" style="51" customWidth="1"/>
    <col min="10" max="10" width="11.42578125" style="51" hidden="1" customWidth="1"/>
    <col min="11" max="11" width="14.28515625" style="51" customWidth="1"/>
    <col min="12" max="12" width="7.42578125" style="51" hidden="1" customWidth="1"/>
    <col min="13" max="13" width="14.28515625" style="51" customWidth="1"/>
    <col min="14" max="14" width="17.140625" style="51" customWidth="1"/>
    <col min="15" max="15" width="11.42578125" style="52" customWidth="1"/>
    <col min="16" max="16384" width="11.42578125" style="51"/>
  </cols>
  <sheetData>
    <row r="1" spans="1:15" ht="6.75" customHeight="1" x14ac:dyDescent="0.2"/>
    <row r="2" spans="1:15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5" ht="6.7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95"/>
    </row>
    <row r="4" spans="1:15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5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5" ht="12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5" ht="12" customHeight="1" x14ac:dyDescent="0.2">
      <c r="A7" s="253"/>
      <c r="B7" s="253"/>
      <c r="C7" s="260" t="s">
        <v>6</v>
      </c>
      <c r="D7" s="263" t="str">
        <f>RESUMO!A47</f>
        <v>U.C. : 13</v>
      </c>
      <c r="E7" s="258"/>
      <c r="F7" s="258"/>
      <c r="G7" s="260" t="s">
        <v>9</v>
      </c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5" ht="12" customHeight="1" thickBot="1" x14ac:dyDescent="0.25">
      <c r="A8" s="124"/>
      <c r="B8" s="125"/>
      <c r="C8" s="266" t="s">
        <v>8</v>
      </c>
      <c r="D8" s="267" t="str">
        <f>RESUMO!B47</f>
        <v>ESTAÇÃO DE TRATAMENTO DE ESGOTO - ETE</v>
      </c>
      <c r="E8" s="268"/>
      <c r="F8" s="268"/>
      <c r="G8" s="266"/>
      <c r="H8" s="123"/>
      <c r="I8" s="278"/>
      <c r="J8" s="278"/>
      <c r="K8" s="278"/>
      <c r="L8" s="278"/>
      <c r="M8" s="278"/>
      <c r="N8" s="271"/>
      <c r="O8" s="427"/>
    </row>
    <row r="9" spans="1:15" ht="12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5" ht="6.75" customHeight="1" x14ac:dyDescent="0.2"/>
    <row r="11" spans="1:15" ht="12" customHeight="1" x14ac:dyDescent="0.2">
      <c r="A11" s="93">
        <f>RESUMO!A54</f>
        <v>7</v>
      </c>
      <c r="B11" s="93" t="str">
        <f>RESUMO!B54</f>
        <v>DRENAGEM - MATERIAIS</v>
      </c>
    </row>
    <row r="12" spans="1:15" ht="12" customHeight="1" x14ac:dyDescent="0.2">
      <c r="A12" s="98" t="s">
        <v>458</v>
      </c>
      <c r="B12" s="88" t="s">
        <v>459</v>
      </c>
      <c r="G12" s="52"/>
      <c r="H12" s="19"/>
      <c r="I12" s="52"/>
      <c r="J12" s="52"/>
      <c r="K12" s="52"/>
      <c r="L12" s="52"/>
      <c r="M12" s="52"/>
      <c r="N12" s="52"/>
      <c r="O12" s="19"/>
    </row>
    <row r="13" spans="1:15" ht="12" hidden="1" customHeight="1" x14ac:dyDescent="0.2">
      <c r="A13" s="98" t="s">
        <v>1004</v>
      </c>
      <c r="B13" s="88" t="s">
        <v>1043</v>
      </c>
      <c r="G13" s="135" t="s">
        <v>17</v>
      </c>
      <c r="H13" s="478">
        <f>'17'!H69</f>
        <v>0</v>
      </c>
      <c r="I13" s="323">
        <f>VLOOKUP(A13,'[1]TAB OGU JUN18'!$A:$G,6,"falso")</f>
        <v>21.74</v>
      </c>
      <c r="J13" s="52"/>
      <c r="K13" s="52"/>
      <c r="L13" s="323">
        <f>VLOOKUP(A13,'[1]TAB OGU JUN18'!$A:$G,5,"falso")</f>
        <v>8.0399999999999991</v>
      </c>
      <c r="M13" s="308">
        <f>H13*L13</f>
        <v>0</v>
      </c>
      <c r="N13" s="308">
        <f>H13*L13</f>
        <v>0</v>
      </c>
      <c r="O13" s="25">
        <f>N13/$N$23</f>
        <v>0</v>
      </c>
    </row>
    <row r="14" spans="1:15" ht="12" customHeight="1" x14ac:dyDescent="0.2">
      <c r="A14" s="98" t="s">
        <v>797</v>
      </c>
      <c r="B14" s="88" t="s">
        <v>883</v>
      </c>
      <c r="G14" s="135" t="s">
        <v>17</v>
      </c>
      <c r="H14" s="478">
        <f>'17'!H70</f>
        <v>78.900000000000006</v>
      </c>
      <c r="I14" s="323">
        <f>VLOOKUP(A14,'[1]TAB OGU JUN18'!$A:$G,6,"falso")</f>
        <v>31.06</v>
      </c>
      <c r="J14" s="52"/>
      <c r="K14" s="52"/>
      <c r="L14" s="323">
        <f>VLOOKUP(A14,'[1]TAB OGU JUN18'!$A:$G,5,"falso")</f>
        <v>12.04</v>
      </c>
      <c r="M14" s="308">
        <f>H14*L14</f>
        <v>949.95600000000002</v>
      </c>
      <c r="N14" s="308">
        <f t="shared" ref="N14:N15" si="0">H14*L14</f>
        <v>949.95600000000002</v>
      </c>
      <c r="O14" s="25">
        <f>N14/$N$23</f>
        <v>1.4522869866987358E-2</v>
      </c>
    </row>
    <row r="15" spans="1:15" ht="12" customHeight="1" x14ac:dyDescent="0.2">
      <c r="A15" s="98" t="s">
        <v>884</v>
      </c>
      <c r="B15" s="88" t="s">
        <v>885</v>
      </c>
      <c r="G15" s="97" t="s">
        <v>17</v>
      </c>
      <c r="H15" s="478">
        <f>'17'!H71</f>
        <v>154.55000000000001</v>
      </c>
      <c r="I15" s="323">
        <f>VLOOKUP(A15,'[1]TAB OGU JUN18'!$A:$G,6,"falso")</f>
        <v>37.33</v>
      </c>
      <c r="J15" s="314"/>
      <c r="K15" s="314"/>
      <c r="L15" s="323">
        <f>VLOOKUP(A15,'[1]TAB OGU JUN18'!$A:$G,5,"falso")</f>
        <v>16.670000000000002</v>
      </c>
      <c r="M15" s="308">
        <f>H15*L15</f>
        <v>2576.3485000000005</v>
      </c>
      <c r="N15" s="308">
        <f t="shared" si="0"/>
        <v>2576.3485000000005</v>
      </c>
      <c r="O15" s="25">
        <f t="shared" ref="O15:O21" si="1">N15/$N$23</f>
        <v>3.9387060029630938E-2</v>
      </c>
    </row>
    <row r="16" spans="1:15" ht="12" customHeight="1" x14ac:dyDescent="0.2">
      <c r="A16" s="98" t="s">
        <v>886</v>
      </c>
      <c r="B16" s="88" t="s">
        <v>887</v>
      </c>
      <c r="G16" s="97" t="s">
        <v>17</v>
      </c>
      <c r="H16" s="478">
        <f>'17'!H72</f>
        <v>730.95</v>
      </c>
      <c r="I16" s="323">
        <f>VLOOKUP(A16,'[1]TAB OGU JUN18'!$A:$G,6,"falso")</f>
        <v>50.04</v>
      </c>
      <c r="J16" s="314"/>
      <c r="K16" s="314"/>
      <c r="L16" s="323">
        <f>VLOOKUP(A16,'[1]TAB OGU JUN18'!$A:$G,5,"falso")</f>
        <v>23.52</v>
      </c>
      <c r="M16" s="308">
        <f>H16*L16</f>
        <v>17191.944</v>
      </c>
      <c r="N16" s="308">
        <f>H16*L16</f>
        <v>17191.944</v>
      </c>
      <c r="O16" s="25">
        <f t="shared" si="1"/>
        <v>0.26282939996435006</v>
      </c>
    </row>
    <row r="17" spans="1:16" ht="12" customHeight="1" x14ac:dyDescent="0.2">
      <c r="A17" s="98" t="s">
        <v>460</v>
      </c>
      <c r="B17" s="88" t="s">
        <v>1044</v>
      </c>
      <c r="G17" s="97" t="s">
        <v>17</v>
      </c>
      <c r="H17" s="478">
        <f>'17'!H73</f>
        <v>60.9</v>
      </c>
      <c r="I17" s="323">
        <f>VLOOKUP(A17,'[1]TAB OGU JUN18'!$A:$G,6,"falso")</f>
        <v>38.76</v>
      </c>
      <c r="J17" s="314"/>
      <c r="K17" s="314"/>
      <c r="L17" s="323">
        <f>VLOOKUP(A17,'[1]TAB OGU JUN18'!$A:$G,5,"falso")</f>
        <v>15.1</v>
      </c>
      <c r="M17" s="308">
        <f t="shared" ref="M17:M21" si="2">H17*L17</f>
        <v>919.58999999999992</v>
      </c>
      <c r="N17" s="308">
        <f t="shared" ref="N17:N21" si="3">H17*L17</f>
        <v>919.58999999999992</v>
      </c>
      <c r="O17" s="25">
        <f t="shared" si="1"/>
        <v>1.4058636295768335E-2</v>
      </c>
    </row>
    <row r="18" spans="1:16" ht="12" customHeight="1" x14ac:dyDescent="0.2">
      <c r="A18" s="98" t="s">
        <v>921</v>
      </c>
      <c r="B18" s="88" t="s">
        <v>1045</v>
      </c>
      <c r="G18" s="97" t="s">
        <v>17</v>
      </c>
      <c r="H18" s="478">
        <f>'17'!H74</f>
        <v>103.8</v>
      </c>
      <c r="I18" s="323">
        <f>VLOOKUP(A18,'[1]TAB OGU JUN18'!$A:$G,6,"falso")</f>
        <v>52.18</v>
      </c>
      <c r="J18" s="314"/>
      <c r="K18" s="314"/>
      <c r="L18" s="323">
        <f>VLOOKUP(A18,'[1]TAB OGU JUN18'!$A:$G,5,"falso")</f>
        <v>22</v>
      </c>
      <c r="M18" s="308">
        <f t="shared" si="2"/>
        <v>2283.6</v>
      </c>
      <c r="N18" s="308">
        <f t="shared" si="3"/>
        <v>2283.6</v>
      </c>
      <c r="O18" s="25">
        <f t="shared" si="1"/>
        <v>3.4911538669425035E-2</v>
      </c>
    </row>
    <row r="19" spans="1:16" ht="12" hidden="1" customHeight="1" x14ac:dyDescent="0.2">
      <c r="A19" s="98" t="s">
        <v>923</v>
      </c>
      <c r="B19" s="88" t="s">
        <v>1046</v>
      </c>
      <c r="G19" s="97" t="s">
        <v>17</v>
      </c>
      <c r="H19" s="478">
        <f>'17'!H75</f>
        <v>0</v>
      </c>
      <c r="I19" s="323">
        <f>VLOOKUP(A19,'[1]TAB OGU JUN18'!$A:$G,6,"falso")</f>
        <v>67.25</v>
      </c>
      <c r="J19" s="314"/>
      <c r="K19" s="314"/>
      <c r="L19" s="323">
        <f>VLOOKUP(A19,'[1]TAB OGU JUN18'!$A:$G,5,"falso")</f>
        <v>34.369999999999997</v>
      </c>
      <c r="M19" s="308">
        <f t="shared" si="2"/>
        <v>0</v>
      </c>
      <c r="N19" s="308">
        <f t="shared" si="3"/>
        <v>0</v>
      </c>
      <c r="O19" s="25">
        <f t="shared" si="1"/>
        <v>0</v>
      </c>
    </row>
    <row r="20" spans="1:16" ht="12" customHeight="1" x14ac:dyDescent="0.2">
      <c r="A20" s="98" t="s">
        <v>1037</v>
      </c>
      <c r="B20" s="88" t="s">
        <v>1047</v>
      </c>
      <c r="G20" s="97" t="s">
        <v>17</v>
      </c>
      <c r="H20" s="478">
        <f>'17'!H76</f>
        <v>436.8</v>
      </c>
      <c r="I20" s="323">
        <f>VLOOKUP(A20,'[1]TAB OGU JUN18'!$A:$G,6,"falso")</f>
        <v>84.63</v>
      </c>
      <c r="J20" s="314"/>
      <c r="K20" s="314"/>
      <c r="L20" s="323">
        <f>VLOOKUP(A20,'[1]TAB OGU JUN18'!$A:$G,5,"falso")</f>
        <v>42</v>
      </c>
      <c r="M20" s="308">
        <f t="shared" si="2"/>
        <v>18345.600000000002</v>
      </c>
      <c r="N20" s="308">
        <f t="shared" si="3"/>
        <v>18345.600000000002</v>
      </c>
      <c r="O20" s="25">
        <f t="shared" si="1"/>
        <v>0.28046642310991593</v>
      </c>
    </row>
    <row r="21" spans="1:16" ht="12" customHeight="1" x14ac:dyDescent="0.2">
      <c r="A21" s="98" t="s">
        <v>1039</v>
      </c>
      <c r="B21" s="88" t="s">
        <v>1048</v>
      </c>
      <c r="G21" s="97" t="s">
        <v>17</v>
      </c>
      <c r="H21" s="478">
        <f>'17'!H77</f>
        <v>210.4</v>
      </c>
      <c r="I21" s="323">
        <f>VLOOKUP(A21,'[1]TAB OGU JUN18'!$A:$G,6,"falso")</f>
        <v>177.17</v>
      </c>
      <c r="J21" s="314"/>
      <c r="K21" s="314"/>
      <c r="L21" s="323">
        <f>VLOOKUP(A21,'[1]TAB OGU JUN18'!$A:$G,5,"falso")</f>
        <v>110</v>
      </c>
      <c r="M21" s="308">
        <f t="shared" si="2"/>
        <v>23144</v>
      </c>
      <c r="N21" s="308">
        <f t="shared" si="3"/>
        <v>23144</v>
      </c>
      <c r="O21" s="25">
        <f t="shared" si="1"/>
        <v>0.35382407206392236</v>
      </c>
    </row>
    <row r="22" spans="1:16" ht="12" customHeight="1" x14ac:dyDescent="0.2">
      <c r="G22" s="52"/>
      <c r="H22" s="324"/>
      <c r="I22" s="313"/>
      <c r="J22" s="313"/>
      <c r="K22" s="313"/>
      <c r="L22" s="313"/>
      <c r="M22" s="313"/>
      <c r="N22" s="313"/>
      <c r="O22" s="19"/>
    </row>
    <row r="23" spans="1:16" ht="12" customHeight="1" x14ac:dyDescent="0.2">
      <c r="B23" s="130" t="s">
        <v>18</v>
      </c>
      <c r="C23" s="131"/>
      <c r="D23" s="131"/>
      <c r="E23" s="131"/>
      <c r="F23" s="131"/>
      <c r="G23" s="53"/>
      <c r="H23" s="325"/>
      <c r="I23" s="326"/>
      <c r="J23" s="326"/>
      <c r="K23" s="326"/>
      <c r="L23" s="326"/>
      <c r="M23" s="326"/>
      <c r="N23" s="308">
        <f>SUM(N13:N21)</f>
        <v>65411.038500000002</v>
      </c>
      <c r="O23" s="25">
        <f>N23/N25</f>
        <v>1</v>
      </c>
    </row>
    <row r="24" spans="1:16" s="132" customFormat="1" ht="12" customHeight="1" x14ac:dyDescent="0.2">
      <c r="A24" s="51"/>
      <c r="B24" s="130"/>
      <c r="C24" s="51"/>
      <c r="D24" s="51"/>
      <c r="E24" s="51"/>
      <c r="F24" s="51"/>
      <c r="G24" s="52"/>
      <c r="H24" s="324"/>
      <c r="I24" s="313"/>
      <c r="J24" s="313"/>
      <c r="K24" s="313"/>
      <c r="L24" s="313"/>
      <c r="M24" s="313"/>
      <c r="N24" s="308"/>
      <c r="O24" s="25"/>
    </row>
    <row r="25" spans="1:16" ht="12" customHeight="1" x14ac:dyDescent="0.2">
      <c r="A25" s="132"/>
      <c r="B25" s="133" t="s">
        <v>20</v>
      </c>
      <c r="C25" s="134"/>
      <c r="D25" s="134"/>
      <c r="E25" s="134"/>
      <c r="F25" s="134"/>
      <c r="G25" s="78"/>
      <c r="H25" s="327"/>
      <c r="I25" s="328"/>
      <c r="J25" s="328"/>
      <c r="K25" s="328"/>
      <c r="L25" s="328"/>
      <c r="M25" s="328"/>
      <c r="N25" s="310">
        <f>N23</f>
        <v>65411.038500000002</v>
      </c>
      <c r="O25" s="77">
        <f>N25/N27</f>
        <v>1</v>
      </c>
    </row>
    <row r="26" spans="1:16" ht="12" customHeight="1" x14ac:dyDescent="0.2">
      <c r="A26" s="98"/>
      <c r="B26" s="88"/>
      <c r="G26" s="97"/>
      <c r="H26" s="308"/>
      <c r="I26" s="308"/>
      <c r="J26" s="308"/>
      <c r="K26" s="308"/>
      <c r="L26" s="308"/>
      <c r="M26" s="308"/>
      <c r="N26" s="308"/>
      <c r="O26" s="25"/>
      <c r="P26" s="149"/>
    </row>
    <row r="27" spans="1:16" ht="12.75" customHeight="1" x14ac:dyDescent="0.2">
      <c r="A27" s="146"/>
      <c r="B27" s="147" t="s">
        <v>30</v>
      </c>
      <c r="C27" s="146"/>
      <c r="D27" s="146"/>
      <c r="E27" s="146"/>
      <c r="F27" s="146"/>
      <c r="G27" s="146"/>
      <c r="H27" s="342"/>
      <c r="I27" s="345"/>
      <c r="J27" s="345"/>
      <c r="K27" s="275"/>
      <c r="L27" s="275"/>
      <c r="M27" s="285">
        <f>SUM(M12:M26)</f>
        <v>65411.038500000002</v>
      </c>
      <c r="N27" s="316">
        <f>N25</f>
        <v>65411.038500000002</v>
      </c>
      <c r="O27" s="29"/>
    </row>
    <row r="28" spans="1:16" ht="12" customHeight="1" x14ac:dyDescent="0.2">
      <c r="A28" s="98"/>
      <c r="B28" s="88"/>
      <c r="G28" s="97"/>
      <c r="H28" s="308"/>
      <c r="I28" s="308"/>
      <c r="J28" s="308"/>
      <c r="K28" s="308"/>
      <c r="L28" s="308"/>
      <c r="M28" s="308"/>
      <c r="N28" s="308"/>
      <c r="O28" s="25"/>
      <c r="P28" s="149"/>
    </row>
    <row r="29" spans="1:16" ht="12" customHeight="1" x14ac:dyDescent="0.2">
      <c r="A29" s="146"/>
      <c r="B29" s="147" t="s">
        <v>265</v>
      </c>
      <c r="C29" s="146"/>
      <c r="D29" s="146"/>
      <c r="E29" s="146"/>
      <c r="F29" s="146"/>
      <c r="G29" s="146"/>
      <c r="H29" s="342"/>
      <c r="I29" s="345"/>
      <c r="J29" s="345"/>
      <c r="K29" s="275"/>
      <c r="L29" s="275"/>
      <c r="M29" s="285">
        <f>M27+(M27*O7)</f>
        <v>77001.8745222</v>
      </c>
      <c r="N29" s="316">
        <f>M29</f>
        <v>77001.8745222</v>
      </c>
      <c r="O29" s="29">
        <f>N29/RESUMO!H95</f>
        <v>1.0633437977684285E-2</v>
      </c>
      <c r="P29" s="149"/>
    </row>
    <row r="34" spans="1:15" s="150" customFormat="1" ht="12" customHeight="1" x14ac:dyDescent="0.2">
      <c r="A34" s="51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2"/>
    </row>
    <row r="35" spans="1:15" s="150" customFormat="1" ht="12" customHeight="1" x14ac:dyDescent="0.2">
      <c r="A35" s="51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2"/>
    </row>
    <row r="42" spans="1:15" ht="12" customHeight="1" x14ac:dyDescent="0.2">
      <c r="A42" s="88"/>
      <c r="C42" s="184"/>
      <c r="D42" s="184"/>
      <c r="E42" s="184"/>
      <c r="F42" s="184"/>
      <c r="G42" s="184"/>
      <c r="H42" s="184"/>
      <c r="I42" s="184"/>
      <c r="J42" s="184"/>
      <c r="K42" s="184"/>
      <c r="L42" s="184"/>
      <c r="M42" s="184"/>
      <c r="N42" s="184"/>
      <c r="O42" s="437"/>
    </row>
  </sheetData>
  <mergeCells count="3">
    <mergeCell ref="A2:O2"/>
    <mergeCell ref="N4:O4"/>
    <mergeCell ref="A5:B6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rowBreaks count="1" manualBreakCount="1">
    <brk id="28" max="12" man="1"/>
  </rowBreaks>
  <legacyDrawingHF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Planilha12">
    <tabColor theme="6" tint="0.39997558519241921"/>
    <pageSetUpPr fitToPage="1"/>
  </sheetPr>
  <dimension ref="A1:P184"/>
  <sheetViews>
    <sheetView view="pageBreakPreview" topLeftCell="A61" zoomScale="90" zoomScaleNormal="90" zoomScaleSheetLayoutView="90" workbookViewId="0">
      <selection activeCell="H83" sqref="H83"/>
    </sheetView>
  </sheetViews>
  <sheetFormatPr defaultColWidth="11.42578125" defaultRowHeight="11.25" customHeight="1" x14ac:dyDescent="0.2"/>
  <cols>
    <col min="1" max="1" width="11.42578125" style="156"/>
    <col min="2" max="3" width="11.42578125" style="51"/>
    <col min="4" max="5" width="11.42578125" style="51" customWidth="1"/>
    <col min="6" max="6" width="28.5703125" style="51" customWidth="1"/>
    <col min="7" max="9" width="11.42578125" style="51" customWidth="1"/>
    <col min="10" max="10" width="7.42578125" style="51" hidden="1" customWidth="1"/>
    <col min="11" max="11" width="14.28515625" style="51" customWidth="1"/>
    <col min="12" max="12" width="7.42578125" style="51" hidden="1" customWidth="1"/>
    <col min="13" max="13" width="14.28515625" style="51" customWidth="1"/>
    <col min="14" max="14" width="17.140625" style="51" customWidth="1"/>
    <col min="15" max="15" width="11.42578125" style="52" customWidth="1"/>
    <col min="16" max="16384" width="11.42578125" style="51"/>
  </cols>
  <sheetData>
    <row r="1" spans="1:15" ht="6.75" customHeight="1" x14ac:dyDescent="0.2"/>
    <row r="2" spans="1:15" ht="11.25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5" ht="6.75" customHeight="1" thickBot="1" x14ac:dyDescent="0.25">
      <c r="A3" s="194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95"/>
    </row>
    <row r="4" spans="1:15" ht="11.25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5" ht="11.25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5" ht="11.25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5" ht="11.25" customHeight="1" x14ac:dyDescent="0.2">
      <c r="A7" s="196"/>
      <c r="B7" s="253"/>
      <c r="C7" s="260" t="s">
        <v>6</v>
      </c>
      <c r="D7" s="263" t="str">
        <f>RESUMO!A47</f>
        <v>U.C. : 13</v>
      </c>
      <c r="E7" s="258"/>
      <c r="F7" s="258"/>
      <c r="G7" s="260" t="s">
        <v>9</v>
      </c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5" ht="11.25" customHeight="1" thickBot="1" x14ac:dyDescent="0.25">
      <c r="A8" s="197"/>
      <c r="B8" s="125"/>
      <c r="C8" s="266" t="s">
        <v>8</v>
      </c>
      <c r="D8" s="267" t="str">
        <f>RESUMO!B47</f>
        <v>ESTAÇÃO DE TRATAMENTO DE ESGOTO - ETE</v>
      </c>
      <c r="E8" s="268"/>
      <c r="F8" s="268"/>
      <c r="G8" s="266"/>
      <c r="H8" s="123"/>
      <c r="I8" s="278"/>
      <c r="J8" s="278"/>
      <c r="K8" s="278"/>
      <c r="L8" s="278"/>
      <c r="M8" s="278"/>
      <c r="N8" s="271"/>
      <c r="O8" s="427"/>
    </row>
    <row r="9" spans="1:15" ht="11.25" customHeight="1" thickTop="1" x14ac:dyDescent="0.2">
      <c r="A9" s="198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5" ht="6.75" customHeight="1" x14ac:dyDescent="0.2">
      <c r="O10" s="19"/>
    </row>
    <row r="11" spans="1:15" ht="11.25" customHeight="1" x14ac:dyDescent="0.2">
      <c r="A11" s="93">
        <f>RESUMO!A55</f>
        <v>8</v>
      </c>
      <c r="B11" s="93" t="str">
        <f>RESUMO!B55</f>
        <v>DESARENADOR - SERVIÇOS</v>
      </c>
      <c r="H11" s="61"/>
      <c r="O11" s="19"/>
    </row>
    <row r="12" spans="1:15" ht="11.25" customHeight="1" x14ac:dyDescent="0.2">
      <c r="A12" s="129" t="s">
        <v>48</v>
      </c>
      <c r="B12" s="88" t="s">
        <v>16</v>
      </c>
      <c r="H12" s="61"/>
      <c r="O12" s="19"/>
    </row>
    <row r="13" spans="1:15" ht="11.25" customHeight="1" x14ac:dyDescent="0.2">
      <c r="A13" s="129" t="s">
        <v>79</v>
      </c>
      <c r="B13" s="88" t="s">
        <v>80</v>
      </c>
      <c r="H13" s="61"/>
      <c r="O13" s="19"/>
    </row>
    <row r="14" spans="1:15" ht="11.25" customHeight="1" x14ac:dyDescent="0.2">
      <c r="A14" s="256" t="s">
        <v>286</v>
      </c>
      <c r="B14" s="155" t="s">
        <v>636</v>
      </c>
      <c r="G14" s="97" t="s">
        <v>31</v>
      </c>
      <c r="H14" s="308">
        <v>17.399999999999999</v>
      </c>
      <c r="I14" s="323">
        <f>VLOOKUP(A14,'[1]TAB OGU JUN18'!$A:$G,6,"falso")</f>
        <v>16.329999999999998</v>
      </c>
      <c r="J14" s="323">
        <f>VLOOKUP(A14,'[1]TAB OGU JUN18'!$A:$G,4,"falso")</f>
        <v>9.6300000000000008</v>
      </c>
      <c r="K14" s="308">
        <f>H14*J14</f>
        <v>167.56200000000001</v>
      </c>
      <c r="L14" s="323">
        <f>VLOOKUP(A14,'[1]TAB OGU JUN18'!$A:$G,5,"falso")</f>
        <v>6.7</v>
      </c>
      <c r="M14" s="308">
        <f>H14*L14</f>
        <v>116.58</v>
      </c>
      <c r="N14" s="308">
        <f>H14*I14</f>
        <v>284.14199999999994</v>
      </c>
      <c r="O14" s="25">
        <f>(N14*1)/$N$16</f>
        <v>1</v>
      </c>
    </row>
    <row r="15" spans="1:15" ht="11.25" customHeight="1" x14ac:dyDescent="0.2">
      <c r="G15" s="52"/>
      <c r="H15" s="324"/>
      <c r="I15" s="313"/>
      <c r="J15" s="323" t="e">
        <f>VLOOKUP(A15,'[1]TAB OGU JUN18'!$A:$G,4,"falso")</f>
        <v>#N/A</v>
      </c>
      <c r="K15" s="313"/>
      <c r="L15" s="323" t="e">
        <f>VLOOKUP(A15,'[1]TAB OGU JUN18'!$A:$G,5,"falso")</f>
        <v>#N/A</v>
      </c>
      <c r="M15" s="313"/>
      <c r="N15" s="309"/>
      <c r="O15" s="25"/>
    </row>
    <row r="16" spans="1:15" ht="11.25" customHeight="1" x14ac:dyDescent="0.2">
      <c r="B16" s="130" t="s">
        <v>18</v>
      </c>
      <c r="C16" s="131"/>
      <c r="D16" s="131"/>
      <c r="E16" s="131"/>
      <c r="F16" s="131"/>
      <c r="G16" s="53"/>
      <c r="H16" s="325"/>
      <c r="I16" s="326"/>
      <c r="J16" s="323" t="e">
        <f>VLOOKUP(A16,'[1]TAB OGU JUN18'!$A:$G,4,"falso")</f>
        <v>#N/A</v>
      </c>
      <c r="K16" s="326"/>
      <c r="L16" s="323" t="e">
        <f>VLOOKUP(A16,'[1]TAB OGU JUN18'!$A:$G,5,"falso")</f>
        <v>#N/A</v>
      </c>
      <c r="M16" s="326"/>
      <c r="N16" s="308">
        <f>SUM(N14:N14)</f>
        <v>284.14199999999994</v>
      </c>
      <c r="O16" s="25">
        <f>N16/N23</f>
        <v>0.97202380952380951</v>
      </c>
    </row>
    <row r="17" spans="1:15" ht="11.25" customHeight="1" x14ac:dyDescent="0.2">
      <c r="B17" s="130"/>
      <c r="G17" s="52"/>
      <c r="H17" s="324"/>
      <c r="I17" s="313"/>
      <c r="J17" s="323" t="e">
        <f>VLOOKUP(A17,'[1]TAB OGU JUN18'!$A:$G,4,"falso")</f>
        <v>#N/A</v>
      </c>
      <c r="K17" s="313"/>
      <c r="L17" s="323" t="e">
        <f>VLOOKUP(A17,'[1]TAB OGU JUN18'!$A:$G,5,"falso")</f>
        <v>#N/A</v>
      </c>
      <c r="M17" s="313"/>
      <c r="N17" s="308"/>
      <c r="O17" s="25"/>
    </row>
    <row r="18" spans="1:15" ht="12" customHeight="1" x14ac:dyDescent="0.2">
      <c r="A18" s="129" t="s">
        <v>779</v>
      </c>
      <c r="B18" s="88" t="s">
        <v>780</v>
      </c>
      <c r="H18" s="704"/>
      <c r="J18" s="323">
        <f>VLOOKUP(A18,'[1]TAB OGU JUN18'!$A:$G,4,"falso")</f>
        <v>0</v>
      </c>
      <c r="L18" s="323">
        <f>VLOOKUP(A18,'[1]TAB OGU JUN18'!$A:$G,5,"falso")</f>
        <v>0</v>
      </c>
      <c r="N18" s="303"/>
      <c r="O18" s="187"/>
    </row>
    <row r="19" spans="1:15" ht="12" customHeight="1" x14ac:dyDescent="0.2">
      <c r="A19" s="140" t="s">
        <v>789</v>
      </c>
      <c r="B19" s="142" t="s">
        <v>636</v>
      </c>
      <c r="C19" s="153"/>
      <c r="D19" s="153"/>
      <c r="E19" s="153"/>
      <c r="F19" s="153"/>
      <c r="G19" s="97" t="s">
        <v>31</v>
      </c>
      <c r="H19" s="308">
        <f>H14</f>
        <v>17.399999999999999</v>
      </c>
      <c r="I19" s="323">
        <f>VLOOKUP(A19,'[1]TAB OGU JUN18'!$A:$G,6,"falso")</f>
        <v>0.47</v>
      </c>
      <c r="J19" s="323">
        <f>VLOOKUP(A19,'[1]TAB OGU JUN18'!$A:$G,4,"falso")</f>
        <v>0.47</v>
      </c>
      <c r="K19" s="308">
        <f>H19*J19</f>
        <v>8.177999999999999</v>
      </c>
      <c r="L19" s="323">
        <f>VLOOKUP(A19,'[1]TAB OGU JUN18'!$A:$G,5,"falso")</f>
        <v>0</v>
      </c>
      <c r="M19" s="308"/>
      <c r="N19" s="308">
        <f>H19*I19</f>
        <v>8.177999999999999</v>
      </c>
      <c r="O19" s="185">
        <f>N19/N21</f>
        <v>1</v>
      </c>
    </row>
    <row r="20" spans="1:15" ht="12" customHeight="1" x14ac:dyDescent="0.2">
      <c r="G20" s="52"/>
      <c r="H20" s="324"/>
      <c r="I20" s="323"/>
      <c r="J20" s="323" t="e">
        <f>VLOOKUP(A20,'[1]TAB OGU JUN18'!$A:$G,4,"falso")</f>
        <v>#N/A</v>
      </c>
      <c r="K20" s="313"/>
      <c r="L20" s="323" t="e">
        <f>VLOOKUP(A20,'[1]TAB OGU JUN18'!$A:$G,5,"falso")</f>
        <v>#N/A</v>
      </c>
      <c r="M20" s="313"/>
      <c r="N20" s="309"/>
      <c r="O20" s="185"/>
    </row>
    <row r="21" spans="1:15" ht="12" customHeight="1" x14ac:dyDescent="0.2">
      <c r="B21" s="130" t="s">
        <v>18</v>
      </c>
      <c r="C21" s="131"/>
      <c r="D21" s="131"/>
      <c r="E21" s="131"/>
      <c r="F21" s="131"/>
      <c r="G21" s="53"/>
      <c r="H21" s="325"/>
      <c r="I21" s="582"/>
      <c r="J21" s="323" t="e">
        <f>VLOOKUP(A21,'[1]TAB OGU JUN18'!$A:$G,4,"falso")</f>
        <v>#N/A</v>
      </c>
      <c r="K21" s="326"/>
      <c r="L21" s="323" t="e">
        <f>VLOOKUP(A21,'[1]TAB OGU JUN18'!$A:$G,5,"falso")</f>
        <v>#N/A</v>
      </c>
      <c r="M21" s="326"/>
      <c r="N21" s="308">
        <f>SUM(N19:N19)</f>
        <v>8.177999999999999</v>
      </c>
      <c r="O21" s="185">
        <f>N21/N23</f>
        <v>2.7976190476190477E-2</v>
      </c>
    </row>
    <row r="22" spans="1:15" ht="12" customHeight="1" x14ac:dyDescent="0.2">
      <c r="B22" s="130"/>
      <c r="G22" s="52"/>
      <c r="H22" s="324"/>
      <c r="I22" s="323"/>
      <c r="J22" s="323" t="e">
        <f>VLOOKUP(A22,'[1]TAB OGU JUN18'!$A:$G,4,"falso")</f>
        <v>#N/A</v>
      </c>
      <c r="K22" s="313"/>
      <c r="L22" s="323" t="e">
        <f>VLOOKUP(A22,'[1]TAB OGU JUN18'!$A:$G,5,"falso")</f>
        <v>#N/A</v>
      </c>
      <c r="M22" s="313"/>
      <c r="N22" s="308"/>
      <c r="O22" s="185"/>
    </row>
    <row r="23" spans="1:15" s="132" customFormat="1" ht="11.25" customHeight="1" x14ac:dyDescent="0.2">
      <c r="A23" s="157"/>
      <c r="B23" s="133" t="s">
        <v>20</v>
      </c>
      <c r="C23" s="134"/>
      <c r="D23" s="134"/>
      <c r="E23" s="134"/>
      <c r="F23" s="134"/>
      <c r="G23" s="78"/>
      <c r="H23" s="327"/>
      <c r="I23" s="582"/>
      <c r="J23" s="323" t="e">
        <f>VLOOKUP(A23,'[1]TAB OGU JUN18'!$A:$G,4,"falso")</f>
        <v>#N/A</v>
      </c>
      <c r="K23" s="328"/>
      <c r="L23" s="323" t="e">
        <f>VLOOKUP(A23,'[1]TAB OGU JUN18'!$A:$G,5,"falso")</f>
        <v>#N/A</v>
      </c>
      <c r="M23" s="328"/>
      <c r="N23" s="310">
        <f>N16+N21</f>
        <v>292.31999999999994</v>
      </c>
      <c r="O23" s="77">
        <f>N23/N176</f>
        <v>4.8187556811026301E-3</v>
      </c>
    </row>
    <row r="24" spans="1:15" ht="11.25" customHeight="1" x14ac:dyDescent="0.2">
      <c r="B24" s="130"/>
      <c r="G24" s="52"/>
      <c r="H24" s="324"/>
      <c r="I24" s="323"/>
      <c r="J24" s="323" t="e">
        <f>VLOOKUP(A24,'[1]TAB OGU JUN18'!$A:$G,4,"falso")</f>
        <v>#N/A</v>
      </c>
      <c r="K24" s="313"/>
      <c r="L24" s="323" t="e">
        <f>VLOOKUP(A24,'[1]TAB OGU JUN18'!$A:$G,5,"falso")</f>
        <v>#N/A</v>
      </c>
      <c r="M24" s="313"/>
      <c r="N24" s="308"/>
      <c r="O24" s="25"/>
    </row>
    <row r="25" spans="1:15" ht="11.25" customHeight="1" x14ac:dyDescent="0.2">
      <c r="A25" s="129" t="s">
        <v>93</v>
      </c>
      <c r="B25" s="88" t="s">
        <v>96</v>
      </c>
      <c r="H25" s="329"/>
      <c r="I25" s="323"/>
      <c r="J25" s="323">
        <f>VLOOKUP(A25,'[1]TAB OGU JUN18'!$A:$G,4,"falso")</f>
        <v>0</v>
      </c>
      <c r="K25" s="311"/>
      <c r="L25" s="323">
        <f>VLOOKUP(A25,'[1]TAB OGU JUN18'!$A:$G,5,"falso")</f>
        <v>0</v>
      </c>
      <c r="M25" s="311"/>
      <c r="N25" s="311"/>
      <c r="O25" s="19"/>
    </row>
    <row r="26" spans="1:15" ht="11.25" customHeight="1" x14ac:dyDescent="0.2">
      <c r="A26" s="252" t="s">
        <v>540</v>
      </c>
      <c r="B26" s="835" t="s">
        <v>644</v>
      </c>
      <c r="C26" s="835"/>
      <c r="D26" s="835"/>
      <c r="E26" s="835"/>
      <c r="F26" s="835"/>
      <c r="H26" s="329"/>
      <c r="I26" s="323"/>
      <c r="J26" s="323" t="e">
        <f>VLOOKUP(A26,'[1]TAB OGU JUN18'!$A:$G,4,"falso")</f>
        <v>#N/A</v>
      </c>
      <c r="K26" s="311"/>
      <c r="L26" s="323" t="e">
        <f>VLOOKUP(A26,'[1]TAB OGU JUN18'!$A:$G,5,"falso")</f>
        <v>#N/A</v>
      </c>
      <c r="M26" s="311"/>
      <c r="N26" s="311"/>
      <c r="O26" s="19"/>
    </row>
    <row r="27" spans="1:15" ht="11.25" customHeight="1" x14ac:dyDescent="0.2">
      <c r="A27" s="129" t="s">
        <v>293</v>
      </c>
      <c r="B27" s="88" t="s">
        <v>541</v>
      </c>
      <c r="G27" s="97" t="s">
        <v>32</v>
      </c>
      <c r="H27" s="308">
        <f>81.83*0.3</f>
        <v>24.548999999999999</v>
      </c>
      <c r="I27" s="323">
        <f>VLOOKUP(A27,'[1]TAB OGU JUN18'!$A:$G,6,"falso")</f>
        <v>31.26</v>
      </c>
      <c r="J27" s="323">
        <f>VLOOKUP(A27,'[1]TAB OGU JUN18'!$A:$G,4,"falso")</f>
        <v>31.26</v>
      </c>
      <c r="K27" s="308">
        <f>H27*J27</f>
        <v>767.40174000000002</v>
      </c>
      <c r="L27" s="323">
        <f>VLOOKUP(A27,'[1]TAB OGU JUN18'!$A:$G,5,"falso")</f>
        <v>0</v>
      </c>
      <c r="M27" s="308"/>
      <c r="N27" s="308">
        <f>H27*I27</f>
        <v>767.40174000000002</v>
      </c>
      <c r="O27" s="25">
        <f>N27/N29</f>
        <v>1</v>
      </c>
    </row>
    <row r="28" spans="1:15" ht="11.25" customHeight="1" x14ac:dyDescent="0.2">
      <c r="G28" s="52"/>
      <c r="H28" s="324"/>
      <c r="I28" s="323"/>
      <c r="J28" s="323" t="e">
        <f>VLOOKUP(A28,'[1]TAB OGU JUN18'!$A:$G,4,"falso")</f>
        <v>#N/A</v>
      </c>
      <c r="K28" s="313"/>
      <c r="L28" s="323" t="e">
        <f>VLOOKUP(A28,'[1]TAB OGU JUN18'!$A:$G,5,"falso")</f>
        <v>#N/A</v>
      </c>
      <c r="M28" s="313"/>
      <c r="N28" s="309"/>
      <c r="O28" s="25"/>
    </row>
    <row r="29" spans="1:15" ht="11.25" customHeight="1" x14ac:dyDescent="0.2">
      <c r="B29" s="130" t="s">
        <v>18</v>
      </c>
      <c r="C29" s="131"/>
      <c r="D29" s="131"/>
      <c r="E29" s="131"/>
      <c r="F29" s="131"/>
      <c r="G29" s="53"/>
      <c r="H29" s="325"/>
      <c r="I29" s="582"/>
      <c r="J29" s="323" t="e">
        <f>VLOOKUP(A29,'[1]TAB OGU JUN18'!$A:$G,4,"falso")</f>
        <v>#N/A</v>
      </c>
      <c r="K29" s="326"/>
      <c r="L29" s="323" t="e">
        <f>VLOOKUP(A29,'[1]TAB OGU JUN18'!$A:$G,5,"falso")</f>
        <v>#N/A</v>
      </c>
      <c r="M29" s="326"/>
      <c r="N29" s="308">
        <f>SUM(N27:N27)</f>
        <v>767.40174000000002</v>
      </c>
      <c r="O29" s="25">
        <f>N29/N56</f>
        <v>0.487211965624474</v>
      </c>
    </row>
    <row r="30" spans="1:15" ht="11.25" customHeight="1" x14ac:dyDescent="0.2">
      <c r="B30" s="130"/>
      <c r="G30" s="52"/>
      <c r="H30" s="324"/>
      <c r="I30" s="323"/>
      <c r="J30" s="323" t="e">
        <f>VLOOKUP(A30,'[1]TAB OGU JUN18'!$A:$G,4,"falso")</f>
        <v>#N/A</v>
      </c>
      <c r="K30" s="313"/>
      <c r="L30" s="323" t="e">
        <f>VLOOKUP(A30,'[1]TAB OGU JUN18'!$A:$G,5,"falso")</f>
        <v>#N/A</v>
      </c>
      <c r="M30" s="313"/>
      <c r="N30" s="308"/>
      <c r="O30" s="25"/>
    </row>
    <row r="31" spans="1:15" ht="11.25" customHeight="1" x14ac:dyDescent="0.2">
      <c r="A31" s="252" t="s">
        <v>543</v>
      </c>
      <c r="B31" s="835" t="s">
        <v>645</v>
      </c>
      <c r="C31" s="835"/>
      <c r="D31" s="835"/>
      <c r="E31" s="835"/>
      <c r="F31" s="835"/>
      <c r="G31" s="52"/>
      <c r="H31" s="324"/>
      <c r="I31" s="323"/>
      <c r="J31" s="323" t="e">
        <f>VLOOKUP(A31,'[1]TAB OGU JUN18'!$A:$G,4,"falso")</f>
        <v>#N/A</v>
      </c>
      <c r="K31" s="313"/>
      <c r="L31" s="323" t="e">
        <f>VLOOKUP(A31,'[1]TAB OGU JUN18'!$A:$G,5,"falso")</f>
        <v>#N/A</v>
      </c>
      <c r="M31" s="313"/>
      <c r="N31" s="313"/>
      <c r="O31" s="19"/>
    </row>
    <row r="32" spans="1:15" ht="11.25" customHeight="1" x14ac:dyDescent="0.2">
      <c r="A32" s="98" t="s">
        <v>295</v>
      </c>
      <c r="B32" s="88" t="s">
        <v>229</v>
      </c>
      <c r="G32" s="97" t="s">
        <v>32</v>
      </c>
      <c r="H32" s="308">
        <f>81.83*0.7</f>
        <v>57.280999999999992</v>
      </c>
      <c r="I32" s="323">
        <f>VLOOKUP(A32,'[1]TAB OGU JUN18'!$A:$G,6,"falso")</f>
        <v>7.1</v>
      </c>
      <c r="J32" s="323">
        <f>VLOOKUP(A32,'[1]TAB OGU JUN18'!$A:$G,4,"falso")</f>
        <v>7.1</v>
      </c>
      <c r="K32" s="308">
        <f>H32*J32</f>
        <v>406.69509999999991</v>
      </c>
      <c r="L32" s="323">
        <f>VLOOKUP(A32,'[1]TAB OGU JUN18'!$A:$G,5,"falso")</f>
        <v>0</v>
      </c>
      <c r="M32" s="308"/>
      <c r="N32" s="308">
        <f>H32*I32</f>
        <v>406.69509999999991</v>
      </c>
      <c r="O32" s="25">
        <f>N32/N34</f>
        <v>1</v>
      </c>
    </row>
    <row r="33" spans="1:15" ht="11.25" customHeight="1" x14ac:dyDescent="0.2">
      <c r="G33" s="52"/>
      <c r="H33" s="324"/>
      <c r="I33" s="323"/>
      <c r="J33" s="323" t="e">
        <f>VLOOKUP(A33,'[1]TAB OGU JUN18'!$A:$G,4,"falso")</f>
        <v>#N/A</v>
      </c>
      <c r="K33" s="313"/>
      <c r="L33" s="323" t="e">
        <f>VLOOKUP(A33,'[1]TAB OGU JUN18'!$A:$G,5,"falso")</f>
        <v>#N/A</v>
      </c>
      <c r="M33" s="313"/>
      <c r="N33" s="313"/>
      <c r="O33" s="19"/>
    </row>
    <row r="34" spans="1:15" ht="11.25" customHeight="1" x14ac:dyDescent="0.2">
      <c r="B34" s="130" t="s">
        <v>18</v>
      </c>
      <c r="C34" s="131"/>
      <c r="D34" s="131"/>
      <c r="E34" s="131"/>
      <c r="F34" s="131"/>
      <c r="G34" s="53"/>
      <c r="H34" s="325"/>
      <c r="I34" s="582"/>
      <c r="J34" s="323" t="e">
        <f>VLOOKUP(A34,'[1]TAB OGU JUN18'!$A:$G,4,"falso")</f>
        <v>#N/A</v>
      </c>
      <c r="K34" s="326"/>
      <c r="L34" s="323" t="e">
        <f>VLOOKUP(A34,'[1]TAB OGU JUN18'!$A:$G,5,"falso")</f>
        <v>#N/A</v>
      </c>
      <c r="M34" s="326"/>
      <c r="N34" s="308">
        <f>N32</f>
        <v>406.69509999999991</v>
      </c>
      <c r="O34" s="25">
        <f>N34/N56</f>
        <v>0.25820467787946633</v>
      </c>
    </row>
    <row r="35" spans="1:15" ht="11.25" customHeight="1" x14ac:dyDescent="0.2">
      <c r="B35" s="130"/>
      <c r="G35" s="52"/>
      <c r="H35" s="324"/>
      <c r="I35" s="323"/>
      <c r="J35" s="323" t="e">
        <f>VLOOKUP(A35,'[1]TAB OGU JUN18'!$A:$G,4,"falso")</f>
        <v>#N/A</v>
      </c>
      <c r="K35" s="313"/>
      <c r="L35" s="323" t="e">
        <f>VLOOKUP(A35,'[1]TAB OGU JUN18'!$A:$G,5,"falso")</f>
        <v>#N/A</v>
      </c>
      <c r="M35" s="313"/>
      <c r="N35" s="308"/>
      <c r="O35" s="25"/>
    </row>
    <row r="36" spans="1:15" ht="11.25" customHeight="1" x14ac:dyDescent="0.2">
      <c r="A36" s="98" t="s">
        <v>101</v>
      </c>
      <c r="B36" s="88" t="s">
        <v>21</v>
      </c>
      <c r="G36" s="97"/>
      <c r="H36" s="308"/>
      <c r="I36" s="323"/>
      <c r="J36" s="323">
        <f>VLOOKUP(A36,'[1]TAB OGU JUN18'!$A:$G,4,"falso")</f>
        <v>0</v>
      </c>
      <c r="K36" s="308"/>
      <c r="L36" s="323">
        <f>VLOOKUP(A36,'[1]TAB OGU JUN18'!$A:$G,5,"falso")</f>
        <v>0</v>
      </c>
      <c r="M36" s="308"/>
      <c r="N36" s="308"/>
      <c r="O36" s="25"/>
    </row>
    <row r="37" spans="1:15" ht="11.25" customHeight="1" x14ac:dyDescent="0.2">
      <c r="A37" s="98" t="s">
        <v>103</v>
      </c>
      <c r="B37" s="88" t="s">
        <v>105</v>
      </c>
      <c r="G37" s="97" t="s">
        <v>32</v>
      </c>
      <c r="H37" s="308">
        <v>2.69</v>
      </c>
      <c r="I37" s="323">
        <f>VLOOKUP(A37,'[1]TAB OGU JUN18'!$A:$G,6,"falso")</f>
        <v>1.32</v>
      </c>
      <c r="J37" s="323">
        <f>VLOOKUP(A37,'[1]TAB OGU JUN18'!$A:$G,4,"falso")</f>
        <v>1.32</v>
      </c>
      <c r="K37" s="308">
        <f>H37*J37</f>
        <v>3.5508000000000002</v>
      </c>
      <c r="L37" s="323">
        <f>VLOOKUP(A37,'[1]TAB OGU JUN18'!$A:$G,5,"falso")</f>
        <v>0</v>
      </c>
      <c r="M37" s="308"/>
      <c r="N37" s="308">
        <f>H37*I37</f>
        <v>3.5508000000000002</v>
      </c>
      <c r="O37" s="25">
        <f>N37/N39</f>
        <v>1</v>
      </c>
    </row>
    <row r="38" spans="1:15" ht="11.25" customHeight="1" x14ac:dyDescent="0.2">
      <c r="B38" s="130"/>
      <c r="G38" s="52"/>
      <c r="H38" s="324"/>
      <c r="I38" s="323"/>
      <c r="J38" s="323" t="e">
        <f>VLOOKUP(A38,'[1]TAB OGU JUN18'!$A:$G,4,"falso")</f>
        <v>#N/A</v>
      </c>
      <c r="K38" s="313"/>
      <c r="L38" s="323" t="e">
        <f>VLOOKUP(A38,'[1]TAB OGU JUN18'!$A:$G,5,"falso")</f>
        <v>#N/A</v>
      </c>
      <c r="M38" s="313"/>
      <c r="N38" s="308"/>
      <c r="O38" s="25"/>
    </row>
    <row r="39" spans="1:15" ht="11.25" customHeight="1" x14ac:dyDescent="0.2">
      <c r="B39" s="130" t="s">
        <v>18</v>
      </c>
      <c r="C39" s="131"/>
      <c r="D39" s="131"/>
      <c r="E39" s="131"/>
      <c r="F39" s="131"/>
      <c r="G39" s="53"/>
      <c r="H39" s="325"/>
      <c r="I39" s="582"/>
      <c r="J39" s="323" t="e">
        <f>VLOOKUP(A39,'[1]TAB OGU JUN18'!$A:$G,4,"falso")</f>
        <v>#N/A</v>
      </c>
      <c r="K39" s="326"/>
      <c r="L39" s="323" t="e">
        <f>VLOOKUP(A39,'[1]TAB OGU JUN18'!$A:$G,5,"falso")</f>
        <v>#N/A</v>
      </c>
      <c r="M39" s="326"/>
      <c r="N39" s="308">
        <f>SUM(N37:N38)</f>
        <v>3.5508000000000002</v>
      </c>
      <c r="O39" s="25">
        <f>N39/N56</f>
        <v>2.2543501758796928E-3</v>
      </c>
    </row>
    <row r="40" spans="1:15" ht="11.25" customHeight="1" x14ac:dyDescent="0.2">
      <c r="B40" s="130"/>
      <c r="G40" s="52"/>
      <c r="H40" s="324"/>
      <c r="I40" s="323"/>
      <c r="J40" s="323" t="e">
        <f>VLOOKUP(A40,'[1]TAB OGU JUN18'!$A:$G,4,"falso")</f>
        <v>#N/A</v>
      </c>
      <c r="K40" s="313"/>
      <c r="L40" s="323" t="e">
        <f>VLOOKUP(A40,'[1]TAB OGU JUN18'!$A:$G,5,"falso")</f>
        <v>#N/A</v>
      </c>
      <c r="M40" s="313"/>
      <c r="N40" s="308"/>
      <c r="O40" s="25"/>
    </row>
    <row r="41" spans="1:15" ht="11.25" customHeight="1" x14ac:dyDescent="0.2">
      <c r="A41" s="98" t="s">
        <v>301</v>
      </c>
      <c r="B41" s="88" t="s">
        <v>669</v>
      </c>
      <c r="G41" s="97"/>
      <c r="H41" s="308"/>
      <c r="I41" s="323"/>
      <c r="J41" s="323">
        <f>VLOOKUP(A41,'[1]TAB OGU JUN18'!$A:$G,4,"falso")</f>
        <v>0</v>
      </c>
      <c r="K41" s="308"/>
      <c r="L41" s="323">
        <f>VLOOKUP(A41,'[1]TAB OGU JUN18'!$A:$G,5,"falso")</f>
        <v>0</v>
      </c>
      <c r="M41" s="308"/>
      <c r="N41" s="308"/>
      <c r="O41" s="25"/>
    </row>
    <row r="42" spans="1:15" ht="11.25" customHeight="1" x14ac:dyDescent="0.2">
      <c r="A42" s="98" t="s">
        <v>754</v>
      </c>
      <c r="B42" s="88" t="s">
        <v>755</v>
      </c>
      <c r="G42" s="97" t="s">
        <v>32</v>
      </c>
      <c r="H42" s="308">
        <f>H37</f>
        <v>2.69</v>
      </c>
      <c r="I42" s="323">
        <f>VLOOKUP(A42,'[1]TAB OGU JUN18'!$A:$G,6,"falso")</f>
        <v>5.0599999999999996</v>
      </c>
      <c r="J42" s="323">
        <f>VLOOKUP(A42,'[1]TAB OGU JUN18'!$A:$G,4,"falso")</f>
        <v>5.0599999999999996</v>
      </c>
      <c r="K42" s="308">
        <f>H42*J42</f>
        <v>13.611399999999998</v>
      </c>
      <c r="L42" s="323">
        <f>VLOOKUP(A42,'[1]TAB OGU JUN18'!$A:$G,5,"falso")</f>
        <v>0</v>
      </c>
      <c r="M42" s="308"/>
      <c r="N42" s="308">
        <f>H42*I42</f>
        <v>13.611399999999998</v>
      </c>
      <c r="O42" s="25">
        <f>N42/N44</f>
        <v>1</v>
      </c>
    </row>
    <row r="43" spans="1:15" ht="11.25" customHeight="1" x14ac:dyDescent="0.2">
      <c r="B43" s="130"/>
      <c r="G43" s="52"/>
      <c r="H43" s="324"/>
      <c r="I43" s="323"/>
      <c r="J43" s="323" t="e">
        <f>VLOOKUP(A43,'[1]TAB OGU JUN18'!$A:$G,4,"falso")</f>
        <v>#N/A</v>
      </c>
      <c r="K43" s="313"/>
      <c r="L43" s="323" t="e">
        <f>VLOOKUP(A43,'[1]TAB OGU JUN18'!$A:$G,5,"falso")</f>
        <v>#N/A</v>
      </c>
      <c r="M43" s="313"/>
      <c r="N43" s="308"/>
      <c r="O43" s="25"/>
    </row>
    <row r="44" spans="1:15" ht="11.25" customHeight="1" x14ac:dyDescent="0.2">
      <c r="B44" s="130" t="s">
        <v>18</v>
      </c>
      <c r="C44" s="131"/>
      <c r="D44" s="131"/>
      <c r="E44" s="131"/>
      <c r="F44" s="131"/>
      <c r="G44" s="53"/>
      <c r="H44" s="325"/>
      <c r="I44" s="582"/>
      <c r="J44" s="323" t="e">
        <f>VLOOKUP(A44,'[1]TAB OGU JUN18'!$A:$G,4,"falso")</f>
        <v>#N/A</v>
      </c>
      <c r="K44" s="326"/>
      <c r="L44" s="323" t="e">
        <f>VLOOKUP(A44,'[1]TAB OGU JUN18'!$A:$G,5,"falso")</f>
        <v>#N/A</v>
      </c>
      <c r="M44" s="326"/>
      <c r="N44" s="308">
        <f>SUM(N42:N43)</f>
        <v>13.611399999999998</v>
      </c>
      <c r="O44" s="25">
        <f>N44/N56</f>
        <v>8.6416756742054863E-3</v>
      </c>
    </row>
    <row r="45" spans="1:15" ht="11.25" customHeight="1" x14ac:dyDescent="0.2">
      <c r="B45" s="130"/>
      <c r="G45" s="52"/>
      <c r="H45" s="324"/>
      <c r="I45" s="323"/>
      <c r="J45" s="323" t="e">
        <f>VLOOKUP(A45,'[1]TAB OGU JUN18'!$A:$G,4,"falso")</f>
        <v>#N/A</v>
      </c>
      <c r="K45" s="313"/>
      <c r="L45" s="323" t="e">
        <f>VLOOKUP(A45,'[1]TAB OGU JUN18'!$A:$G,5,"falso")</f>
        <v>#N/A</v>
      </c>
      <c r="M45" s="313"/>
      <c r="N45" s="308"/>
      <c r="O45" s="25"/>
    </row>
    <row r="46" spans="1:15" ht="11.25" customHeight="1" x14ac:dyDescent="0.2">
      <c r="A46" s="98" t="s">
        <v>110</v>
      </c>
      <c r="B46" s="88" t="s">
        <v>112</v>
      </c>
      <c r="G46" s="52"/>
      <c r="H46" s="324"/>
      <c r="I46" s="323"/>
      <c r="J46" s="323">
        <f>VLOOKUP(A46,'[1]TAB OGU JUN18'!$A:$G,4,"falso")</f>
        <v>0</v>
      </c>
      <c r="K46" s="313"/>
      <c r="L46" s="323">
        <f>VLOOKUP(A46,'[1]TAB OGU JUN18'!$A:$G,5,"falso")</f>
        <v>0</v>
      </c>
      <c r="M46" s="313"/>
      <c r="N46" s="313"/>
      <c r="O46" s="19"/>
    </row>
    <row r="47" spans="1:15" ht="11.25" customHeight="1" x14ac:dyDescent="0.2">
      <c r="A47" s="98" t="s">
        <v>111</v>
      </c>
      <c r="B47" s="88" t="s">
        <v>113</v>
      </c>
      <c r="G47" s="97" t="s">
        <v>32</v>
      </c>
      <c r="H47" s="308">
        <f>ABS(H37-(H27+H32))</f>
        <v>79.139999999999986</v>
      </c>
      <c r="I47" s="323">
        <f>VLOOKUP(A47,'[1]TAB OGU JUN18'!$A:$G,6,"falso")</f>
        <v>1.85</v>
      </c>
      <c r="J47" s="323">
        <f>VLOOKUP(A47,'[1]TAB OGU JUN18'!$A:$G,4,"falso")</f>
        <v>1.85</v>
      </c>
      <c r="K47" s="308">
        <f>H47*J47</f>
        <v>146.40899999999999</v>
      </c>
      <c r="L47" s="323">
        <f>VLOOKUP(A47,'[1]TAB OGU JUN18'!$A:$G,5,"falso")</f>
        <v>0</v>
      </c>
      <c r="M47" s="308"/>
      <c r="N47" s="308">
        <f>H47*I47</f>
        <v>146.40899999999999</v>
      </c>
      <c r="O47" s="25">
        <f>N47/N49</f>
        <v>1</v>
      </c>
    </row>
    <row r="48" spans="1:15" ht="11.25" customHeight="1" x14ac:dyDescent="0.2">
      <c r="G48" s="52"/>
      <c r="H48" s="324"/>
      <c r="I48" s="323"/>
      <c r="J48" s="323" t="e">
        <f>VLOOKUP(A48,'[1]TAB OGU JUN18'!$A:$G,4,"falso")</f>
        <v>#N/A</v>
      </c>
      <c r="K48" s="313"/>
      <c r="L48" s="323" t="e">
        <f>VLOOKUP(A48,'[1]TAB OGU JUN18'!$A:$G,5,"falso")</f>
        <v>#N/A</v>
      </c>
      <c r="M48" s="313"/>
      <c r="N48" s="313"/>
      <c r="O48" s="19"/>
    </row>
    <row r="49" spans="1:15" ht="11.25" customHeight="1" x14ac:dyDescent="0.2">
      <c r="B49" s="130" t="s">
        <v>18</v>
      </c>
      <c r="C49" s="131"/>
      <c r="D49" s="131"/>
      <c r="E49" s="131"/>
      <c r="F49" s="131"/>
      <c r="G49" s="53"/>
      <c r="H49" s="325"/>
      <c r="I49" s="582"/>
      <c r="J49" s="323" t="e">
        <f>VLOOKUP(A49,'[1]TAB OGU JUN18'!$A:$G,4,"falso")</f>
        <v>#N/A</v>
      </c>
      <c r="K49" s="326"/>
      <c r="L49" s="323" t="e">
        <f>VLOOKUP(A49,'[1]TAB OGU JUN18'!$A:$G,5,"falso")</f>
        <v>#N/A</v>
      </c>
      <c r="M49" s="326"/>
      <c r="N49" s="308">
        <f>N47</f>
        <v>146.40899999999999</v>
      </c>
      <c r="O49" s="25">
        <f>N49/N56</f>
        <v>9.2952899318567622E-2</v>
      </c>
    </row>
    <row r="50" spans="1:15" ht="11.25" customHeight="1" x14ac:dyDescent="0.2">
      <c r="B50" s="130"/>
      <c r="G50" s="52"/>
      <c r="H50" s="324"/>
      <c r="I50" s="323"/>
      <c r="J50" s="323" t="e">
        <f>VLOOKUP(A50,'[1]TAB OGU JUN18'!$A:$G,4,"falso")</f>
        <v>#N/A</v>
      </c>
      <c r="K50" s="313"/>
      <c r="L50" s="323" t="e">
        <f>VLOOKUP(A50,'[1]TAB OGU JUN18'!$A:$G,5,"falso")</f>
        <v>#N/A</v>
      </c>
      <c r="M50" s="313"/>
      <c r="N50" s="308"/>
      <c r="O50" s="25"/>
    </row>
    <row r="51" spans="1:15" ht="11.25" customHeight="1" x14ac:dyDescent="0.2">
      <c r="A51" s="98" t="s">
        <v>114</v>
      </c>
      <c r="B51" s="88" t="s">
        <v>737</v>
      </c>
      <c r="G51" s="52"/>
      <c r="H51" s="324"/>
      <c r="I51" s="323"/>
      <c r="J51" s="323">
        <f>VLOOKUP(A51,'[1]TAB OGU JUN18'!$A:$G,4,"falso")</f>
        <v>0</v>
      </c>
      <c r="K51" s="313"/>
      <c r="L51" s="323">
        <f>VLOOKUP(A51,'[1]TAB OGU JUN18'!$A:$G,5,"falso")</f>
        <v>0</v>
      </c>
      <c r="M51" s="313"/>
      <c r="N51" s="313"/>
      <c r="O51" s="19"/>
    </row>
    <row r="52" spans="1:15" ht="11.25" customHeight="1" x14ac:dyDescent="0.2">
      <c r="A52" s="98" t="s">
        <v>115</v>
      </c>
      <c r="B52" s="88" t="s">
        <v>116</v>
      </c>
      <c r="G52" s="97" t="s">
        <v>180</v>
      </c>
      <c r="H52" s="308">
        <f>H47*3</f>
        <v>237.41999999999996</v>
      </c>
      <c r="I52" s="323">
        <f>VLOOKUP(A52,'[1]TAB OGU JUN18'!$A:$G,6,"falso")</f>
        <v>1</v>
      </c>
      <c r="J52" s="323">
        <f>VLOOKUP(A52,'[1]TAB OGU JUN18'!$A:$G,4,"falso")</f>
        <v>1</v>
      </c>
      <c r="K52" s="308">
        <f>H52*J52</f>
        <v>237.41999999999996</v>
      </c>
      <c r="L52" s="323">
        <f>VLOOKUP(A52,'[1]TAB OGU JUN18'!$A:$G,5,"falso")</f>
        <v>0</v>
      </c>
      <c r="M52" s="308"/>
      <c r="N52" s="308">
        <f>H52*I52</f>
        <v>237.41999999999996</v>
      </c>
      <c r="O52" s="25">
        <f>N52/N54</f>
        <v>1</v>
      </c>
    </row>
    <row r="53" spans="1:15" ht="11.25" customHeight="1" x14ac:dyDescent="0.2">
      <c r="G53" s="52"/>
      <c r="H53" s="324"/>
      <c r="I53" s="323"/>
      <c r="J53" s="323" t="e">
        <f>VLOOKUP(A53,'[1]TAB OGU JUN18'!$A:$G,4,"falso")</f>
        <v>#N/A</v>
      </c>
      <c r="K53" s="313"/>
      <c r="L53" s="323" t="e">
        <f>VLOOKUP(A53,'[1]TAB OGU JUN18'!$A:$G,5,"falso")</f>
        <v>#N/A</v>
      </c>
      <c r="M53" s="313"/>
      <c r="N53" s="313"/>
      <c r="O53" s="19"/>
    </row>
    <row r="54" spans="1:15" ht="11.25" customHeight="1" x14ac:dyDescent="0.2">
      <c r="B54" s="130" t="s">
        <v>18</v>
      </c>
      <c r="C54" s="131"/>
      <c r="D54" s="131"/>
      <c r="E54" s="131"/>
      <c r="F54" s="131"/>
      <c r="G54" s="53"/>
      <c r="H54" s="325"/>
      <c r="I54" s="582"/>
      <c r="J54" s="323" t="e">
        <f>VLOOKUP(A54,'[1]TAB OGU JUN18'!$A:$G,4,"falso")</f>
        <v>#N/A</v>
      </c>
      <c r="K54" s="326"/>
      <c r="L54" s="323" t="e">
        <f>VLOOKUP(A54,'[1]TAB OGU JUN18'!$A:$G,5,"falso")</f>
        <v>#N/A</v>
      </c>
      <c r="M54" s="326"/>
      <c r="N54" s="308">
        <f>N52</f>
        <v>237.41999999999996</v>
      </c>
      <c r="O54" s="25">
        <f>N54/N56</f>
        <v>0.15073443132740694</v>
      </c>
    </row>
    <row r="55" spans="1:15" ht="11.25" customHeight="1" x14ac:dyDescent="0.2">
      <c r="B55" s="130"/>
      <c r="G55" s="52"/>
      <c r="H55" s="324"/>
      <c r="I55" s="323"/>
      <c r="J55" s="323" t="e">
        <f>VLOOKUP(A55,'[1]TAB OGU JUN18'!$A:$G,4,"falso")</f>
        <v>#N/A</v>
      </c>
      <c r="K55" s="313"/>
      <c r="L55" s="323" t="e">
        <f>VLOOKUP(A55,'[1]TAB OGU JUN18'!$A:$G,5,"falso")</f>
        <v>#N/A</v>
      </c>
      <c r="M55" s="313"/>
      <c r="N55" s="308"/>
      <c r="O55" s="25"/>
    </row>
    <row r="56" spans="1:15" s="132" customFormat="1" ht="11.25" customHeight="1" x14ac:dyDescent="0.2">
      <c r="A56" s="157"/>
      <c r="B56" s="133" t="s">
        <v>20</v>
      </c>
      <c r="C56" s="134"/>
      <c r="D56" s="134"/>
      <c r="E56" s="134"/>
      <c r="F56" s="134"/>
      <c r="G56" s="78"/>
      <c r="H56" s="327"/>
      <c r="I56" s="582"/>
      <c r="J56" s="323" t="e">
        <f>VLOOKUP(A56,'[1]TAB OGU JUN18'!$A:$G,4,"falso")</f>
        <v>#N/A</v>
      </c>
      <c r="K56" s="328"/>
      <c r="L56" s="323" t="e">
        <f>VLOOKUP(A56,'[1]TAB OGU JUN18'!$A:$G,5,"falso")</f>
        <v>#N/A</v>
      </c>
      <c r="M56" s="328"/>
      <c r="N56" s="310">
        <f>N54+N49+N44+N39+N34+N29</f>
        <v>1575.0880399999999</v>
      </c>
      <c r="O56" s="77">
        <f>N56/N176</f>
        <v>2.5964574579183115E-2</v>
      </c>
    </row>
    <row r="57" spans="1:15" ht="11.25" customHeight="1" x14ac:dyDescent="0.2">
      <c r="B57" s="130"/>
      <c r="G57" s="52"/>
      <c r="H57" s="324"/>
      <c r="I57" s="323"/>
      <c r="J57" s="323" t="e">
        <f>VLOOKUP(A57,'[1]TAB OGU JUN18'!$A:$G,4,"falso")</f>
        <v>#N/A</v>
      </c>
      <c r="K57" s="313"/>
      <c r="L57" s="323" t="e">
        <f>VLOOKUP(A57,'[1]TAB OGU JUN18'!$A:$G,5,"falso")</f>
        <v>#N/A</v>
      </c>
      <c r="M57" s="313"/>
      <c r="N57" s="308"/>
      <c r="O57" s="25"/>
    </row>
    <row r="58" spans="1:15" ht="11.25" customHeight="1" x14ac:dyDescent="0.2">
      <c r="A58" s="129" t="s">
        <v>124</v>
      </c>
      <c r="B58" s="88" t="s">
        <v>121</v>
      </c>
      <c r="H58" s="329"/>
      <c r="I58" s="323"/>
      <c r="J58" s="323">
        <f>VLOOKUP(A58,'[1]TAB OGU JUN18'!$A:$G,4,"falso")</f>
        <v>0</v>
      </c>
      <c r="K58" s="311"/>
      <c r="L58" s="323">
        <f>VLOOKUP(A58,'[1]TAB OGU JUN18'!$A:$G,5,"falso")</f>
        <v>0</v>
      </c>
      <c r="M58" s="311"/>
      <c r="N58" s="311"/>
      <c r="O58" s="19"/>
    </row>
    <row r="59" spans="1:15" ht="11.25" customHeight="1" x14ac:dyDescent="0.2">
      <c r="A59" s="129" t="s">
        <v>125</v>
      </c>
      <c r="B59" s="88" t="s">
        <v>122</v>
      </c>
      <c r="H59" s="329"/>
      <c r="I59" s="323"/>
      <c r="J59" s="323">
        <f>VLOOKUP(A59,'[1]TAB OGU JUN18'!$A:$G,4,"falso")</f>
        <v>0</v>
      </c>
      <c r="K59" s="311"/>
      <c r="L59" s="323">
        <f>VLOOKUP(A59,'[1]TAB OGU JUN18'!$A:$G,5,"falso")</f>
        <v>0</v>
      </c>
      <c r="M59" s="311"/>
      <c r="N59" s="311"/>
      <c r="O59" s="19"/>
    </row>
    <row r="60" spans="1:15" ht="11.25" customHeight="1" x14ac:dyDescent="0.2">
      <c r="A60" s="129" t="s">
        <v>126</v>
      </c>
      <c r="B60" s="88" t="s">
        <v>189</v>
      </c>
      <c r="G60" s="97" t="s">
        <v>123</v>
      </c>
      <c r="H60" s="308">
        <f>(H27+H32)*100/20000</f>
        <v>0.4091499999999999</v>
      </c>
      <c r="I60" s="323">
        <f>VLOOKUP(A60,'[1]TAB OGU JUN18'!$A:$G,6,"falso")</f>
        <v>5.52</v>
      </c>
      <c r="J60" s="323">
        <f>VLOOKUP(A60,'[1]TAB OGU JUN18'!$A:$G,4,"falso")</f>
        <v>5.52</v>
      </c>
      <c r="K60" s="308">
        <v>0</v>
      </c>
      <c r="L60" s="323">
        <f>VLOOKUP(A60,'[1]TAB OGU JUN18'!$A:$G,5,"falso")</f>
        <v>0</v>
      </c>
      <c r="M60" s="308"/>
      <c r="N60" s="308">
        <v>0</v>
      </c>
      <c r="O60" s="25">
        <v>0</v>
      </c>
    </row>
    <row r="61" spans="1:15" ht="11.25" customHeight="1" x14ac:dyDescent="0.2">
      <c r="B61" s="130"/>
      <c r="G61" s="52"/>
      <c r="H61" s="324"/>
      <c r="I61" s="308"/>
      <c r="J61" s="308"/>
      <c r="K61" s="313"/>
      <c r="L61" s="313"/>
      <c r="M61" s="313"/>
      <c r="N61" s="308"/>
      <c r="O61" s="25"/>
    </row>
    <row r="62" spans="1:15" ht="11.25" customHeight="1" x14ac:dyDescent="0.2">
      <c r="B62" s="130" t="s">
        <v>18</v>
      </c>
      <c r="C62" s="131"/>
      <c r="D62" s="131"/>
      <c r="E62" s="131"/>
      <c r="F62" s="131"/>
      <c r="G62" s="53"/>
      <c r="H62" s="325"/>
      <c r="I62" s="326"/>
      <c r="J62" s="326"/>
      <c r="K62" s="326"/>
      <c r="L62" s="326"/>
      <c r="M62" s="326"/>
      <c r="N62" s="308">
        <f>N60</f>
        <v>0</v>
      </c>
      <c r="O62" s="25">
        <v>0</v>
      </c>
    </row>
    <row r="63" spans="1:15" ht="11.25" customHeight="1" x14ac:dyDescent="0.2">
      <c r="B63" s="130"/>
      <c r="G63" s="52"/>
      <c r="H63" s="324"/>
      <c r="I63" s="313"/>
      <c r="J63" s="313"/>
      <c r="K63" s="313"/>
      <c r="L63" s="313"/>
      <c r="M63" s="313"/>
      <c r="N63" s="308"/>
      <c r="O63" s="25"/>
    </row>
    <row r="64" spans="1:15" s="132" customFormat="1" ht="11.25" customHeight="1" x14ac:dyDescent="0.2">
      <c r="A64" s="157"/>
      <c r="B64" s="133" t="s">
        <v>20</v>
      </c>
      <c r="C64" s="134"/>
      <c r="D64" s="134"/>
      <c r="E64" s="134"/>
      <c r="F64" s="134"/>
      <c r="G64" s="78"/>
      <c r="H64" s="327"/>
      <c r="I64" s="328"/>
      <c r="J64" s="328"/>
      <c r="K64" s="328"/>
      <c r="L64" s="328"/>
      <c r="M64" s="328"/>
      <c r="N64" s="310">
        <f>N62</f>
        <v>0</v>
      </c>
      <c r="O64" s="77">
        <f>N64/N176</f>
        <v>0</v>
      </c>
    </row>
    <row r="65" spans="1:16" ht="11.25" customHeight="1" x14ac:dyDescent="0.2">
      <c r="B65" s="130"/>
      <c r="G65" s="52"/>
      <c r="H65" s="324"/>
      <c r="I65" s="313"/>
      <c r="J65" s="313"/>
      <c r="K65" s="313"/>
      <c r="L65" s="313"/>
      <c r="M65" s="313"/>
      <c r="N65" s="308"/>
      <c r="O65" s="25"/>
    </row>
    <row r="66" spans="1:16" ht="11.25" customHeight="1" x14ac:dyDescent="0.2">
      <c r="A66" s="256" t="s">
        <v>308</v>
      </c>
      <c r="B66" s="834" t="s">
        <v>309</v>
      </c>
      <c r="C66" s="834"/>
      <c r="D66" s="834"/>
      <c r="E66" s="834"/>
      <c r="F66" s="834"/>
      <c r="G66" s="137"/>
      <c r="H66" s="652"/>
      <c r="I66" s="367"/>
      <c r="J66" s="367"/>
      <c r="K66" s="367"/>
      <c r="L66" s="311"/>
      <c r="M66" s="311"/>
      <c r="N66" s="311"/>
    </row>
    <row r="67" spans="1:16" ht="11.25" customHeight="1" x14ac:dyDescent="0.2">
      <c r="A67" s="256" t="s">
        <v>310</v>
      </c>
      <c r="B67" s="834" t="s">
        <v>311</v>
      </c>
      <c r="C67" s="834"/>
      <c r="D67" s="834"/>
      <c r="E67" s="834"/>
      <c r="F67" s="834"/>
      <c r="G67" s="137"/>
      <c r="H67" s="652"/>
      <c r="I67" s="333"/>
      <c r="J67" s="313"/>
      <c r="K67" s="313"/>
      <c r="L67" s="313"/>
      <c r="M67" s="313"/>
      <c r="N67" s="333"/>
      <c r="O67" s="162"/>
    </row>
    <row r="68" spans="1:16" ht="25.5" customHeight="1" x14ac:dyDescent="0.2">
      <c r="A68" s="256" t="s">
        <v>709</v>
      </c>
      <c r="B68" s="837" t="s">
        <v>710</v>
      </c>
      <c r="C68" s="837"/>
      <c r="D68" s="837"/>
      <c r="E68" s="837"/>
      <c r="F68" s="837"/>
      <c r="G68" s="163" t="s">
        <v>17</v>
      </c>
      <c r="H68" s="293">
        <v>125.34</v>
      </c>
      <c r="I68" s="323">
        <v>35.729999999999997</v>
      </c>
      <c r="J68" s="323">
        <v>25.62</v>
      </c>
      <c r="K68" s="308">
        <f>H68*J68</f>
        <v>3211.2108000000003</v>
      </c>
      <c r="L68" s="323">
        <v>10.11</v>
      </c>
      <c r="M68" s="308">
        <f>H68*L68</f>
        <v>1267.1874</v>
      </c>
      <c r="N68" s="308">
        <f>H68*I68</f>
        <v>4478.3981999999996</v>
      </c>
      <c r="O68" s="424">
        <f>N68/N70</f>
        <v>1</v>
      </c>
      <c r="P68" s="51">
        <v>90877</v>
      </c>
    </row>
    <row r="69" spans="1:16" ht="11.25" customHeight="1" x14ac:dyDescent="0.2">
      <c r="A69" s="256"/>
      <c r="B69" s="138"/>
      <c r="C69" s="138"/>
      <c r="D69" s="138"/>
      <c r="E69" s="138"/>
      <c r="F69" s="138"/>
      <c r="G69" s="139"/>
      <c r="H69" s="293"/>
      <c r="I69" s="189"/>
      <c r="J69" s="308"/>
      <c r="K69" s="308"/>
      <c r="L69" s="308"/>
      <c r="M69" s="308"/>
      <c r="N69" s="189"/>
      <c r="O69" s="300"/>
    </row>
    <row r="70" spans="1:16" ht="11.25" customHeight="1" x14ac:dyDescent="0.2">
      <c r="A70" s="291"/>
      <c r="B70" s="155" t="s">
        <v>18</v>
      </c>
      <c r="C70" s="160"/>
      <c r="D70" s="160"/>
      <c r="E70" s="160"/>
      <c r="F70" s="144"/>
      <c r="G70" s="161"/>
      <c r="H70" s="656"/>
      <c r="I70" s="334"/>
      <c r="J70" s="334"/>
      <c r="K70" s="334"/>
      <c r="L70" s="334"/>
      <c r="M70" s="334"/>
      <c r="N70" s="315">
        <f>SUM(N68:N69)</f>
        <v>4478.3981999999996</v>
      </c>
      <c r="O70" s="301">
        <f>N70/N$109</f>
        <v>8.4831747663773466E-2</v>
      </c>
    </row>
    <row r="71" spans="1:16" ht="11.25" customHeight="1" x14ac:dyDescent="0.2">
      <c r="A71" s="291"/>
      <c r="B71" s="138"/>
      <c r="C71" s="138"/>
      <c r="D71" s="138"/>
      <c r="E71" s="138"/>
      <c r="F71" s="138"/>
      <c r="G71" s="137"/>
      <c r="H71" s="652"/>
      <c r="I71" s="333"/>
      <c r="J71" s="313"/>
      <c r="K71" s="313"/>
      <c r="L71" s="313"/>
      <c r="M71" s="313"/>
      <c r="N71" s="189"/>
      <c r="O71" s="300"/>
    </row>
    <row r="72" spans="1:16" ht="11.25" customHeight="1" x14ac:dyDescent="0.2">
      <c r="A72" s="256" t="s">
        <v>626</v>
      </c>
      <c r="B72" s="834" t="s">
        <v>627</v>
      </c>
      <c r="C72" s="834"/>
      <c r="D72" s="834"/>
      <c r="E72" s="834"/>
      <c r="F72" s="834"/>
      <c r="G72" s="137"/>
      <c r="H72" s="652"/>
      <c r="I72" s="333"/>
      <c r="J72" s="313"/>
      <c r="K72" s="313"/>
      <c r="L72" s="313"/>
      <c r="M72" s="313"/>
      <c r="N72" s="333"/>
      <c r="O72" s="162"/>
    </row>
    <row r="73" spans="1:16" ht="11.25" customHeight="1" x14ac:dyDescent="0.2">
      <c r="A73" s="256" t="s">
        <v>628</v>
      </c>
      <c r="B73" s="200" t="s">
        <v>629</v>
      </c>
      <c r="C73" s="142"/>
      <c r="D73" s="142"/>
      <c r="E73" s="142"/>
      <c r="F73" s="142"/>
      <c r="G73" s="139" t="s">
        <v>24</v>
      </c>
      <c r="H73" s="293">
        <v>21</v>
      </c>
      <c r="I73" s="323">
        <f>VLOOKUP(A73,'[1]TAB OGU JUN18'!$A:$G,6,"falso")</f>
        <v>59.33</v>
      </c>
      <c r="J73" s="323">
        <f>VLOOKUP(A73,'[1]TAB OGU JUN18'!$A:$G,4,"falso")</f>
        <v>59.33</v>
      </c>
      <c r="K73" s="308">
        <f>H73*J73</f>
        <v>1245.93</v>
      </c>
      <c r="L73" s="323">
        <f>VLOOKUP(A73,'[1]TAB OGU JUN18'!$A:$G,5,"falso")</f>
        <v>0</v>
      </c>
      <c r="M73" s="308"/>
      <c r="N73" s="308">
        <f>H73*I73</f>
        <v>1245.93</v>
      </c>
      <c r="O73" s="424">
        <f>N73/N75</f>
        <v>1</v>
      </c>
    </row>
    <row r="74" spans="1:16" ht="11.25" customHeight="1" x14ac:dyDescent="0.2">
      <c r="A74" s="256"/>
      <c r="B74" s="138"/>
      <c r="C74" s="138"/>
      <c r="D74" s="138"/>
      <c r="E74" s="138"/>
      <c r="F74" s="138"/>
      <c r="G74" s="139"/>
      <c r="H74" s="293"/>
      <c r="I74" s="323"/>
      <c r="J74" s="323" t="e">
        <f>VLOOKUP(A74,'[1]TAB OGU JUN18'!$A:$G,4,"falso")</f>
        <v>#N/A</v>
      </c>
      <c r="K74" s="308"/>
      <c r="L74" s="323" t="e">
        <f>VLOOKUP(A74,'[1]TAB OGU JUN18'!$A:$G,5,"falso")</f>
        <v>#N/A</v>
      </c>
      <c r="M74" s="308"/>
      <c r="N74" s="189"/>
      <c r="O74" s="300"/>
    </row>
    <row r="75" spans="1:16" ht="11.25" customHeight="1" x14ac:dyDescent="0.2">
      <c r="A75" s="291"/>
      <c r="B75" s="155" t="s">
        <v>18</v>
      </c>
      <c r="C75" s="160"/>
      <c r="D75" s="160"/>
      <c r="E75" s="160"/>
      <c r="F75" s="144"/>
      <c r="G75" s="161"/>
      <c r="H75" s="656"/>
      <c r="I75" s="582"/>
      <c r="J75" s="323" t="e">
        <f>VLOOKUP(A75,'[1]TAB OGU JUN18'!$A:$G,4,"falso")</f>
        <v>#N/A</v>
      </c>
      <c r="K75" s="334"/>
      <c r="L75" s="323" t="e">
        <f>VLOOKUP(A75,'[1]TAB OGU JUN18'!$A:$G,5,"falso")</f>
        <v>#N/A</v>
      </c>
      <c r="M75" s="334"/>
      <c r="N75" s="315">
        <f>SUM(N73:N74)</f>
        <v>1245.93</v>
      </c>
      <c r="O75" s="301">
        <f>N75/N$109</f>
        <v>2.3600942713563364E-2</v>
      </c>
    </row>
    <row r="76" spans="1:16" ht="11.25" customHeight="1" x14ac:dyDescent="0.2">
      <c r="A76" s="291"/>
      <c r="B76" s="138"/>
      <c r="C76" s="138"/>
      <c r="D76" s="138"/>
      <c r="E76" s="138"/>
      <c r="F76" s="138"/>
      <c r="G76" s="137"/>
      <c r="H76" s="652"/>
      <c r="I76" s="323"/>
      <c r="J76" s="323" t="e">
        <f>VLOOKUP(A76,'[1]TAB OGU JUN18'!$A:$G,4,"falso")</f>
        <v>#N/A</v>
      </c>
      <c r="K76" s="313"/>
      <c r="L76" s="323" t="e">
        <f>VLOOKUP(A76,'[1]TAB OGU JUN18'!$A:$G,5,"falso")</f>
        <v>#N/A</v>
      </c>
      <c r="M76" s="313"/>
      <c r="N76" s="189"/>
      <c r="O76" s="300"/>
    </row>
    <row r="77" spans="1:16" ht="11.25" customHeight="1" x14ac:dyDescent="0.2">
      <c r="A77" s="256" t="s">
        <v>314</v>
      </c>
      <c r="B77" s="834" t="s">
        <v>315</v>
      </c>
      <c r="C77" s="834"/>
      <c r="D77" s="834"/>
      <c r="E77" s="834"/>
      <c r="F77" s="834"/>
      <c r="G77" s="137"/>
      <c r="H77" s="652"/>
      <c r="I77" s="323"/>
      <c r="J77" s="323">
        <f>VLOOKUP(A77,'[1]TAB OGU JUN18'!$A:$G,4,"falso")</f>
        <v>0</v>
      </c>
      <c r="K77" s="313"/>
      <c r="L77" s="323">
        <f>VLOOKUP(A77,'[1]TAB OGU JUN18'!$A:$G,5,"falso")</f>
        <v>0</v>
      </c>
      <c r="M77" s="313"/>
      <c r="N77" s="333"/>
      <c r="O77" s="162"/>
    </row>
    <row r="78" spans="1:16" ht="11.25" customHeight="1" x14ac:dyDescent="0.2">
      <c r="A78" s="256" t="s">
        <v>316</v>
      </c>
      <c r="B78" s="834" t="s">
        <v>317</v>
      </c>
      <c r="C78" s="834"/>
      <c r="D78" s="834"/>
      <c r="E78" s="834"/>
      <c r="F78" s="834"/>
      <c r="G78" s="139" t="s">
        <v>31</v>
      </c>
      <c r="H78" s="293">
        <f>1.75*135.09</f>
        <v>236.4075</v>
      </c>
      <c r="I78" s="323">
        <f>VLOOKUP(A78,'[1]TAB OGU JUN18'!$A:$G,6,"falso")</f>
        <v>69.709999999999994</v>
      </c>
      <c r="J78" s="323">
        <f>VLOOKUP(A78,'[1]TAB OGU JUN18'!$A:$G,4,"falso")</f>
        <v>41.18</v>
      </c>
      <c r="K78" s="308">
        <f>H78*J78</f>
        <v>9735.2608500000006</v>
      </c>
      <c r="L78" s="323">
        <f>VLOOKUP(A78,'[1]TAB OGU JUN18'!$A:$G,5,"falso")</f>
        <v>28.53</v>
      </c>
      <c r="M78" s="308">
        <f>H78*L78</f>
        <v>6744.7059749999999</v>
      </c>
      <c r="N78" s="308">
        <f>H78*I78</f>
        <v>16479.966825</v>
      </c>
      <c r="O78" s="424">
        <f>N78/N80</f>
        <v>1</v>
      </c>
    </row>
    <row r="79" spans="1:16" ht="11.25" customHeight="1" x14ac:dyDescent="0.2">
      <c r="A79" s="256"/>
      <c r="B79" s="138"/>
      <c r="C79" s="138"/>
      <c r="D79" s="138"/>
      <c r="E79" s="138"/>
      <c r="F79" s="138"/>
      <c r="G79" s="139"/>
      <c r="H79" s="293"/>
      <c r="I79" s="323"/>
      <c r="J79" s="323" t="e">
        <f>VLOOKUP(A79,'[1]TAB OGU JUN18'!$A:$G,4,"falso")</f>
        <v>#N/A</v>
      </c>
      <c r="K79" s="308"/>
      <c r="L79" s="323" t="e">
        <f>VLOOKUP(A79,'[1]TAB OGU JUN18'!$A:$G,5,"falso")</f>
        <v>#N/A</v>
      </c>
      <c r="M79" s="308"/>
      <c r="N79" s="189"/>
      <c r="O79" s="300"/>
    </row>
    <row r="80" spans="1:16" ht="11.25" customHeight="1" x14ac:dyDescent="0.2">
      <c r="A80" s="291"/>
      <c r="B80" s="155" t="s">
        <v>18</v>
      </c>
      <c r="C80" s="160"/>
      <c r="D80" s="160"/>
      <c r="E80" s="160"/>
      <c r="F80" s="144"/>
      <c r="G80" s="161"/>
      <c r="H80" s="656"/>
      <c r="I80" s="582"/>
      <c r="J80" s="323" t="e">
        <f>VLOOKUP(A80,'[1]TAB OGU JUN18'!$A:$G,4,"falso")</f>
        <v>#N/A</v>
      </c>
      <c r="K80" s="334"/>
      <c r="L80" s="323" t="e">
        <f>VLOOKUP(A80,'[1]TAB OGU JUN18'!$A:$G,5,"falso")</f>
        <v>#N/A</v>
      </c>
      <c r="M80" s="334"/>
      <c r="N80" s="315">
        <f>SUM(N78:N79)</f>
        <v>16479.966825</v>
      </c>
      <c r="O80" s="301">
        <f>N80/N$109</f>
        <v>0.31217062993767686</v>
      </c>
    </row>
    <row r="81" spans="1:15" ht="11.25" customHeight="1" x14ac:dyDescent="0.2">
      <c r="A81" s="291"/>
      <c r="B81" s="138"/>
      <c r="C81" s="138"/>
      <c r="D81" s="138"/>
      <c r="E81" s="138"/>
      <c r="F81" s="138"/>
      <c r="G81" s="137"/>
      <c r="H81" s="652"/>
      <c r="I81" s="323"/>
      <c r="J81" s="323" t="e">
        <f>VLOOKUP(A81,'[1]TAB OGU JUN18'!$A:$G,4,"falso")</f>
        <v>#N/A</v>
      </c>
      <c r="K81" s="313"/>
      <c r="L81" s="323" t="e">
        <f>VLOOKUP(A81,'[1]TAB OGU JUN18'!$A:$G,5,"falso")</f>
        <v>#N/A</v>
      </c>
      <c r="M81" s="313"/>
      <c r="N81" s="189"/>
      <c r="O81" s="300"/>
    </row>
    <row r="82" spans="1:15" ht="11.25" customHeight="1" x14ac:dyDescent="0.2">
      <c r="A82" s="256" t="s">
        <v>321</v>
      </c>
      <c r="B82" s="834" t="s">
        <v>322</v>
      </c>
      <c r="C82" s="834"/>
      <c r="D82" s="834"/>
      <c r="E82" s="834"/>
      <c r="F82" s="834"/>
      <c r="G82" s="137"/>
      <c r="H82" s="652"/>
      <c r="I82" s="323"/>
      <c r="J82" s="323">
        <f>VLOOKUP(A82,'[1]TAB OGU JUN18'!$A:$G,4,"falso")</f>
        <v>0</v>
      </c>
      <c r="K82" s="313"/>
      <c r="L82" s="323">
        <f>VLOOKUP(A82,'[1]TAB OGU JUN18'!$A:$G,5,"falso")</f>
        <v>0</v>
      </c>
      <c r="M82" s="313"/>
      <c r="N82" s="333"/>
      <c r="O82" s="162"/>
    </row>
    <row r="83" spans="1:15" ht="11.25" customHeight="1" x14ac:dyDescent="0.2">
      <c r="A83" s="256" t="s">
        <v>323</v>
      </c>
      <c r="B83" s="834" t="s">
        <v>324</v>
      </c>
      <c r="C83" s="834"/>
      <c r="D83" s="834"/>
      <c r="E83" s="834"/>
      <c r="F83" s="834"/>
      <c r="G83" s="139" t="s">
        <v>325</v>
      </c>
      <c r="H83" s="293">
        <f>H94*80*0.98</f>
        <v>2990.6584615384613</v>
      </c>
      <c r="I83" s="323">
        <f>VLOOKUP(A83,'[1]TAB OGU JUN18'!$A:$G,6,"falso")</f>
        <v>5.01</v>
      </c>
      <c r="J83" s="323">
        <f>VLOOKUP(A83,'[1]TAB OGU JUN18'!$A:$G,4,"falso")</f>
        <v>2.4500000000000002</v>
      </c>
      <c r="K83" s="308">
        <f>H83*J83</f>
        <v>7327.1132307692305</v>
      </c>
      <c r="L83" s="323">
        <f>VLOOKUP(A83,'[1]TAB OGU JUN18'!$A:$G,5,"falso")</f>
        <v>2.56</v>
      </c>
      <c r="M83" s="308">
        <f>H83*L83</f>
        <v>7656.085661538461</v>
      </c>
      <c r="N83" s="308">
        <f>H83*I83</f>
        <v>14983.198892307691</v>
      </c>
      <c r="O83" s="424">
        <f>N83/N86</f>
        <v>0.96840236686390524</v>
      </c>
    </row>
    <row r="84" spans="1:15" ht="11.25" customHeight="1" x14ac:dyDescent="0.2">
      <c r="A84" s="256" t="s">
        <v>326</v>
      </c>
      <c r="B84" s="834" t="s">
        <v>327</v>
      </c>
      <c r="C84" s="834"/>
      <c r="D84" s="834"/>
      <c r="E84" s="834"/>
      <c r="F84" s="834"/>
      <c r="G84" s="139" t="s">
        <v>325</v>
      </c>
      <c r="H84" s="293">
        <f>H94*80*0.02</f>
        <v>61.033846153846156</v>
      </c>
      <c r="I84" s="323">
        <f>VLOOKUP(A84,'[1]TAB OGU JUN18'!$A:$G,6,"falso")</f>
        <v>8.01</v>
      </c>
      <c r="J84" s="323">
        <f>VLOOKUP(A84,'[1]TAB OGU JUN18'!$A:$G,4,"falso")</f>
        <v>3.68</v>
      </c>
      <c r="K84" s="308">
        <f>H84*J84</f>
        <v>224.60455384615386</v>
      </c>
      <c r="L84" s="323">
        <f>VLOOKUP(A84,'[1]TAB OGU JUN18'!$A:$G,5,"falso")</f>
        <v>4.33</v>
      </c>
      <c r="M84" s="308">
        <f>H84*L84</f>
        <v>264.27655384615383</v>
      </c>
      <c r="N84" s="308">
        <f>H84*I84</f>
        <v>488.88110769230769</v>
      </c>
      <c r="O84" s="424">
        <f>N84/N86</f>
        <v>3.1597633136094677E-2</v>
      </c>
    </row>
    <row r="85" spans="1:15" ht="11.25" customHeight="1" x14ac:dyDescent="0.2">
      <c r="A85" s="256"/>
      <c r="B85" s="138"/>
      <c r="C85" s="138"/>
      <c r="D85" s="138"/>
      <c r="E85" s="138"/>
      <c r="F85" s="138"/>
      <c r="G85" s="139"/>
      <c r="H85" s="293"/>
      <c r="I85" s="323"/>
      <c r="J85" s="323" t="e">
        <f>VLOOKUP(A85,'[1]TAB OGU JUN18'!$A:$G,4,"falso")</f>
        <v>#N/A</v>
      </c>
      <c r="K85" s="308"/>
      <c r="L85" s="323" t="e">
        <f>VLOOKUP(A85,'[1]TAB OGU JUN18'!$A:$G,5,"falso")</f>
        <v>#N/A</v>
      </c>
      <c r="M85" s="308"/>
      <c r="N85" s="189"/>
      <c r="O85" s="300"/>
    </row>
    <row r="86" spans="1:15" ht="11.25" customHeight="1" x14ac:dyDescent="0.2">
      <c r="A86" s="291"/>
      <c r="B86" s="155" t="s">
        <v>18</v>
      </c>
      <c r="C86" s="160"/>
      <c r="D86" s="160"/>
      <c r="E86" s="160"/>
      <c r="F86" s="144"/>
      <c r="G86" s="161"/>
      <c r="H86" s="656"/>
      <c r="I86" s="582"/>
      <c r="J86" s="323" t="e">
        <f>VLOOKUP(A86,'[1]TAB OGU JUN18'!$A:$G,4,"falso")</f>
        <v>#N/A</v>
      </c>
      <c r="K86" s="334"/>
      <c r="L86" s="323" t="e">
        <f>VLOOKUP(A86,'[1]TAB OGU JUN18'!$A:$G,5,"falso")</f>
        <v>#N/A</v>
      </c>
      <c r="M86" s="334"/>
      <c r="N86" s="315">
        <f>SUM(N83:N85)</f>
        <v>15472.08</v>
      </c>
      <c r="O86" s="301">
        <f>N86/N$109</f>
        <v>0.2930788035761796</v>
      </c>
    </row>
    <row r="87" spans="1:15" ht="11.25" customHeight="1" x14ac:dyDescent="0.2">
      <c r="A87" s="291"/>
      <c r="B87" s="138"/>
      <c r="C87" s="138"/>
      <c r="D87" s="138"/>
      <c r="E87" s="138"/>
      <c r="F87" s="138"/>
      <c r="G87" s="162"/>
      <c r="H87" s="641"/>
      <c r="I87" s="323"/>
      <c r="J87" s="323" t="e">
        <f>VLOOKUP(A87,'[1]TAB OGU JUN18'!$A:$G,4,"falso")</f>
        <v>#N/A</v>
      </c>
      <c r="K87" s="313"/>
      <c r="L87" s="323" t="e">
        <f>VLOOKUP(A87,'[1]TAB OGU JUN18'!$A:$G,5,"falso")</f>
        <v>#N/A</v>
      </c>
      <c r="M87" s="313"/>
      <c r="N87" s="189"/>
      <c r="O87" s="300"/>
    </row>
    <row r="88" spans="1:15" ht="11.25" customHeight="1" x14ac:dyDescent="0.2">
      <c r="A88" s="256" t="s">
        <v>328</v>
      </c>
      <c r="B88" s="834" t="s">
        <v>329</v>
      </c>
      <c r="C88" s="834"/>
      <c r="D88" s="834"/>
      <c r="E88" s="834"/>
      <c r="F88" s="834"/>
      <c r="G88" s="162"/>
      <c r="H88" s="641"/>
      <c r="I88" s="323"/>
      <c r="J88" s="323">
        <f>VLOOKUP(A88,'[1]TAB OGU JUN18'!$A:$G,4,"falso")</f>
        <v>0</v>
      </c>
      <c r="K88" s="313"/>
      <c r="L88" s="323">
        <f>VLOOKUP(A88,'[1]TAB OGU JUN18'!$A:$G,5,"falso")</f>
        <v>0</v>
      </c>
      <c r="M88" s="313"/>
      <c r="N88" s="333"/>
      <c r="O88" s="162"/>
    </row>
    <row r="89" spans="1:15" ht="11.25" customHeight="1" x14ac:dyDescent="0.2">
      <c r="A89" s="256" t="s">
        <v>330</v>
      </c>
      <c r="B89" s="834" t="s">
        <v>331</v>
      </c>
      <c r="C89" s="834"/>
      <c r="D89" s="834"/>
      <c r="E89" s="834"/>
      <c r="F89" s="834"/>
      <c r="G89" s="139" t="s">
        <v>32</v>
      </c>
      <c r="H89" s="189">
        <v>1.59</v>
      </c>
      <c r="I89" s="323">
        <f>VLOOKUP(A89,'[1]TAB OGU JUN18'!$A:$G,6,"falso")</f>
        <v>354.81</v>
      </c>
      <c r="J89" s="323">
        <f>VLOOKUP(A89,'[1]TAB OGU JUN18'!$A:$G,4,"falso")</f>
        <v>214.2</v>
      </c>
      <c r="K89" s="308">
        <f>H89*J89</f>
        <v>340.57799999999997</v>
      </c>
      <c r="L89" s="323">
        <f>VLOOKUP(A89,'[1]TAB OGU JUN18'!$A:$G,5,"falso")</f>
        <v>140.61000000000001</v>
      </c>
      <c r="M89" s="308">
        <f>H89*L89</f>
        <v>223.56990000000005</v>
      </c>
      <c r="N89" s="308">
        <f>H89*I89</f>
        <v>564.14790000000005</v>
      </c>
      <c r="O89" s="424">
        <f>N89/N91</f>
        <v>1</v>
      </c>
    </row>
    <row r="90" spans="1:15" ht="11.25" customHeight="1" x14ac:dyDescent="0.2">
      <c r="A90" s="292"/>
      <c r="B90" s="254"/>
      <c r="C90" s="254"/>
      <c r="D90" s="254"/>
      <c r="E90" s="254"/>
      <c r="F90" s="254"/>
      <c r="G90" s="163"/>
      <c r="H90" s="293"/>
      <c r="I90" s="323"/>
      <c r="J90" s="323" t="e">
        <f>VLOOKUP(A90,'[1]TAB OGU JUN18'!$A:$G,4,"falso")</f>
        <v>#N/A</v>
      </c>
      <c r="K90" s="308"/>
      <c r="L90" s="323" t="e">
        <f>VLOOKUP(A90,'[1]TAB OGU JUN18'!$A:$G,5,"falso")</f>
        <v>#N/A</v>
      </c>
      <c r="M90" s="308"/>
      <c r="N90" s="293"/>
      <c r="O90" s="320"/>
    </row>
    <row r="91" spans="1:15" ht="11.25" customHeight="1" x14ac:dyDescent="0.2">
      <c r="A91" s="291"/>
      <c r="B91" s="155" t="s">
        <v>18</v>
      </c>
      <c r="C91" s="160"/>
      <c r="D91" s="160"/>
      <c r="E91" s="160"/>
      <c r="F91" s="144"/>
      <c r="G91" s="161"/>
      <c r="H91" s="656"/>
      <c r="I91" s="582"/>
      <c r="J91" s="323" t="e">
        <f>VLOOKUP(A91,'[1]TAB OGU JUN18'!$A:$G,4,"falso")</f>
        <v>#N/A</v>
      </c>
      <c r="K91" s="334"/>
      <c r="L91" s="323" t="e">
        <f>VLOOKUP(A91,'[1]TAB OGU JUN18'!$A:$G,5,"falso")</f>
        <v>#N/A</v>
      </c>
      <c r="M91" s="334"/>
      <c r="N91" s="315">
        <f>SUM(N89:N90)</f>
        <v>564.14790000000005</v>
      </c>
      <c r="O91" s="301">
        <f>N91/N$109</f>
        <v>1.0686332514569097E-2</v>
      </c>
    </row>
    <row r="92" spans="1:15" ht="11.25" customHeight="1" x14ac:dyDescent="0.2">
      <c r="A92" s="291"/>
      <c r="B92" s="138"/>
      <c r="C92" s="138"/>
      <c r="D92" s="138"/>
      <c r="E92" s="138"/>
      <c r="F92" s="138"/>
      <c r="G92" s="162"/>
      <c r="H92" s="641"/>
      <c r="I92" s="323"/>
      <c r="J92" s="323" t="e">
        <f>VLOOKUP(A92,'[1]TAB OGU JUN18'!$A:$G,4,"falso")</f>
        <v>#N/A</v>
      </c>
      <c r="K92" s="313"/>
      <c r="L92" s="323" t="e">
        <f>VLOOKUP(A92,'[1]TAB OGU JUN18'!$A:$G,5,"falso")</f>
        <v>#N/A</v>
      </c>
      <c r="M92" s="313"/>
      <c r="N92" s="189"/>
      <c r="O92" s="300"/>
    </row>
    <row r="93" spans="1:15" ht="11.25" customHeight="1" x14ac:dyDescent="0.2">
      <c r="A93" s="256" t="s">
        <v>332</v>
      </c>
      <c r="B93" s="834" t="s">
        <v>333</v>
      </c>
      <c r="C93" s="834"/>
      <c r="D93" s="834"/>
      <c r="E93" s="834"/>
      <c r="F93" s="834"/>
      <c r="G93" s="162"/>
      <c r="H93" s="641"/>
      <c r="I93" s="323"/>
      <c r="J93" s="323">
        <f>VLOOKUP(A93,'[1]TAB OGU JUN18'!$A:$G,4,"falso")</f>
        <v>0</v>
      </c>
      <c r="K93" s="313"/>
      <c r="L93" s="323">
        <f>VLOOKUP(A93,'[1]TAB OGU JUN18'!$A:$G,5,"falso")</f>
        <v>0</v>
      </c>
      <c r="M93" s="313"/>
      <c r="N93" s="333"/>
      <c r="O93" s="162"/>
    </row>
    <row r="94" spans="1:15" ht="11.25" customHeight="1" x14ac:dyDescent="0.2">
      <c r="A94" s="256" t="s">
        <v>631</v>
      </c>
      <c r="B94" s="834" t="s">
        <v>630</v>
      </c>
      <c r="C94" s="834"/>
      <c r="D94" s="834"/>
      <c r="E94" s="834"/>
      <c r="F94" s="834"/>
      <c r="G94" s="139" t="s">
        <v>32</v>
      </c>
      <c r="H94" s="189">
        <f>((H14*19.5)/16.9)*1.9</f>
        <v>38.146153846153844</v>
      </c>
      <c r="I94" s="323">
        <f>VLOOKUP(A94,'[1]TAB OGU JUN18'!$A:$G,6,"falso")</f>
        <v>352.04</v>
      </c>
      <c r="J94" s="323">
        <f>VLOOKUP(A94,'[1]TAB OGU JUN18'!$A:$G,4,"falso")</f>
        <v>40.92</v>
      </c>
      <c r="K94" s="308">
        <f>H94*J94</f>
        <v>1560.9406153846153</v>
      </c>
      <c r="L94" s="323">
        <f>VLOOKUP(A94,'[1]TAB OGU JUN18'!$A:$G,5,"falso")</f>
        <v>311.12</v>
      </c>
      <c r="M94" s="308">
        <f>H94*L94</f>
        <v>11868.031384615384</v>
      </c>
      <c r="N94" s="308">
        <f>H94*I94</f>
        <v>13428.972</v>
      </c>
      <c r="O94" s="424">
        <f>N94/N96</f>
        <v>1</v>
      </c>
    </row>
    <row r="95" spans="1:15" ht="11.25" customHeight="1" x14ac:dyDescent="0.2">
      <c r="A95" s="292"/>
      <c r="B95" s="254"/>
      <c r="C95" s="254"/>
      <c r="D95" s="254"/>
      <c r="E95" s="254"/>
      <c r="F95" s="254"/>
      <c r="G95" s="163"/>
      <c r="H95" s="293"/>
      <c r="I95" s="323"/>
      <c r="J95" s="323" t="e">
        <f>VLOOKUP(A95,'[1]TAB OGU JUN18'!$A:$G,4,"falso")</f>
        <v>#N/A</v>
      </c>
      <c r="K95" s="308"/>
      <c r="L95" s="323" t="e">
        <f>VLOOKUP(A95,'[1]TAB OGU JUN18'!$A:$G,5,"falso")</f>
        <v>#N/A</v>
      </c>
      <c r="M95" s="308"/>
      <c r="N95" s="293"/>
      <c r="O95" s="320"/>
    </row>
    <row r="96" spans="1:15" ht="11.25" customHeight="1" x14ac:dyDescent="0.2">
      <c r="A96" s="291"/>
      <c r="B96" s="155" t="s">
        <v>18</v>
      </c>
      <c r="C96" s="160"/>
      <c r="D96" s="160"/>
      <c r="E96" s="160"/>
      <c r="F96" s="144"/>
      <c r="G96" s="161"/>
      <c r="H96" s="656"/>
      <c r="I96" s="582"/>
      <c r="J96" s="323" t="e">
        <f>VLOOKUP(A96,'[1]TAB OGU JUN18'!$A:$G,4,"falso")</f>
        <v>#N/A</v>
      </c>
      <c r="K96" s="334"/>
      <c r="L96" s="323" t="e">
        <f>VLOOKUP(A96,'[1]TAB OGU JUN18'!$A:$G,5,"falso")</f>
        <v>#N/A</v>
      </c>
      <c r="M96" s="334"/>
      <c r="N96" s="315">
        <f>SUM(N94:N95)</f>
        <v>13428.972</v>
      </c>
      <c r="O96" s="301">
        <f>N96/N$109</f>
        <v>0.25437737182188924</v>
      </c>
    </row>
    <row r="97" spans="1:15" ht="11.25" customHeight="1" x14ac:dyDescent="0.2">
      <c r="A97" s="291"/>
      <c r="B97" s="834"/>
      <c r="C97" s="834"/>
      <c r="D97" s="834"/>
      <c r="E97" s="834"/>
      <c r="F97" s="834"/>
      <c r="G97" s="162"/>
      <c r="H97" s="641"/>
      <c r="I97" s="323"/>
      <c r="J97" s="323" t="e">
        <f>VLOOKUP(A97,'[1]TAB OGU JUN18'!$A:$G,4,"falso")</f>
        <v>#N/A</v>
      </c>
      <c r="K97" s="313"/>
      <c r="L97" s="323" t="e">
        <f>VLOOKUP(A97,'[1]TAB OGU JUN18'!$A:$G,5,"falso")</f>
        <v>#N/A</v>
      </c>
      <c r="M97" s="313"/>
      <c r="N97" s="189"/>
      <c r="O97" s="300"/>
    </row>
    <row r="98" spans="1:15" ht="11.25" customHeight="1" x14ac:dyDescent="0.2">
      <c r="A98" s="256" t="s">
        <v>335</v>
      </c>
      <c r="B98" s="834" t="s">
        <v>336</v>
      </c>
      <c r="C98" s="834"/>
      <c r="D98" s="834"/>
      <c r="E98" s="834"/>
      <c r="F98" s="834"/>
      <c r="G98" s="162"/>
      <c r="H98" s="641"/>
      <c r="I98" s="323"/>
      <c r="J98" s="323">
        <f>VLOOKUP(A98,'[1]TAB OGU JUN18'!$A:$G,4,"falso")</f>
        <v>0</v>
      </c>
      <c r="K98" s="313"/>
      <c r="L98" s="323">
        <f>VLOOKUP(A98,'[1]TAB OGU JUN18'!$A:$G,5,"falso")</f>
        <v>0</v>
      </c>
      <c r="M98" s="313"/>
      <c r="N98" s="333"/>
      <c r="O98" s="162"/>
    </row>
    <row r="99" spans="1:15" ht="11.25" customHeight="1" x14ac:dyDescent="0.2">
      <c r="A99" s="256" t="s">
        <v>337</v>
      </c>
      <c r="B99" s="834" t="s">
        <v>338</v>
      </c>
      <c r="C99" s="834"/>
      <c r="D99" s="834"/>
      <c r="E99" s="834"/>
      <c r="F99" s="834"/>
      <c r="G99" s="139" t="s">
        <v>32</v>
      </c>
      <c r="H99" s="189">
        <f>H94</f>
        <v>38.146153846153844</v>
      </c>
      <c r="I99" s="323">
        <f>VLOOKUP(A99,'[1]TAB OGU JUN18'!$A:$G,6,"falso")</f>
        <v>28.95</v>
      </c>
      <c r="J99" s="323">
        <f>VLOOKUP(A99,'[1]TAB OGU JUN18'!$A:$G,4,"falso")</f>
        <v>4.22</v>
      </c>
      <c r="K99" s="308">
        <f>H99*J99</f>
        <v>160.97676923076921</v>
      </c>
      <c r="L99" s="323">
        <f>VLOOKUP(A99,'[1]TAB OGU JUN18'!$A:$G,5,"falso")</f>
        <v>24.73</v>
      </c>
      <c r="M99" s="308">
        <f>H99*L99</f>
        <v>943.35438461538456</v>
      </c>
      <c r="N99" s="308">
        <f>H99*I99</f>
        <v>1104.3311538461537</v>
      </c>
      <c r="O99" s="442">
        <f>N99/N101</f>
        <v>1</v>
      </c>
    </row>
    <row r="100" spans="1:15" ht="11.25" customHeight="1" x14ac:dyDescent="0.2">
      <c r="A100" s="292"/>
      <c r="B100" s="254"/>
      <c r="C100" s="254"/>
      <c r="D100" s="254"/>
      <c r="E100" s="254"/>
      <c r="F100" s="254"/>
      <c r="G100" s="163"/>
      <c r="H100" s="293"/>
      <c r="I100" s="323"/>
      <c r="J100" s="323" t="e">
        <f>VLOOKUP(A100,'[1]TAB OGU JUN18'!$A:$G,4,"falso")</f>
        <v>#N/A</v>
      </c>
      <c r="K100" s="313"/>
      <c r="L100" s="323" t="e">
        <f>VLOOKUP(A100,'[1]TAB OGU JUN18'!$A:$G,5,"falso")</f>
        <v>#N/A</v>
      </c>
      <c r="M100" s="313"/>
      <c r="N100" s="293"/>
      <c r="O100" s="443"/>
    </row>
    <row r="101" spans="1:15" ht="11.25" customHeight="1" x14ac:dyDescent="0.2">
      <c r="A101" s="291"/>
      <c r="B101" s="155" t="s">
        <v>18</v>
      </c>
      <c r="C101" s="160"/>
      <c r="D101" s="160"/>
      <c r="E101" s="160"/>
      <c r="F101" s="144"/>
      <c r="G101" s="161"/>
      <c r="H101" s="656"/>
      <c r="I101" s="582"/>
      <c r="J101" s="323" t="e">
        <f>VLOOKUP(A101,'[1]TAB OGU JUN18'!$A:$G,4,"falso")</f>
        <v>#N/A</v>
      </c>
      <c r="K101" s="334"/>
      <c r="L101" s="323" t="e">
        <f>VLOOKUP(A101,'[1]TAB OGU JUN18'!$A:$G,5,"falso")</f>
        <v>#N/A</v>
      </c>
      <c r="M101" s="334"/>
      <c r="N101" s="315">
        <f>SUM(N99:N100)</f>
        <v>1104.3311538461537</v>
      </c>
      <c r="O101" s="301">
        <f>N101/N$109</f>
        <v>2.0918716379512817E-2</v>
      </c>
    </row>
    <row r="102" spans="1:15" ht="11.25" customHeight="1" x14ac:dyDescent="0.2">
      <c r="A102" s="291"/>
      <c r="B102" s="834"/>
      <c r="C102" s="834"/>
      <c r="D102" s="834"/>
      <c r="E102" s="834"/>
      <c r="F102" s="834"/>
      <c r="G102" s="162"/>
      <c r="H102" s="641"/>
      <c r="I102" s="323"/>
      <c r="J102" s="323" t="e">
        <f>VLOOKUP(A102,'[1]TAB OGU JUN18'!$A:$G,4,"falso")</f>
        <v>#N/A</v>
      </c>
      <c r="K102" s="313"/>
      <c r="L102" s="323" t="e">
        <f>VLOOKUP(A102,'[1]TAB OGU JUN18'!$A:$G,5,"falso")</f>
        <v>#N/A</v>
      </c>
      <c r="M102" s="313"/>
      <c r="N102" s="189"/>
      <c r="O102" s="300"/>
    </row>
    <row r="103" spans="1:15" ht="11.25" customHeight="1" x14ac:dyDescent="0.2">
      <c r="A103" s="256" t="s">
        <v>339</v>
      </c>
      <c r="B103" s="834" t="s">
        <v>340</v>
      </c>
      <c r="C103" s="834"/>
      <c r="D103" s="834"/>
      <c r="E103" s="834"/>
      <c r="F103" s="834"/>
      <c r="G103" s="162"/>
      <c r="H103" s="641"/>
      <c r="I103" s="323"/>
      <c r="J103" s="323">
        <f>VLOOKUP(A103,'[1]TAB OGU JUN18'!$A:$G,4,"falso")</f>
        <v>0</v>
      </c>
      <c r="K103" s="313"/>
      <c r="L103" s="323">
        <f>VLOOKUP(A103,'[1]TAB OGU JUN18'!$A:$G,5,"falso")</f>
        <v>0</v>
      </c>
      <c r="M103" s="313"/>
      <c r="N103" s="333"/>
      <c r="O103" s="162"/>
    </row>
    <row r="104" spans="1:15" ht="11.25" customHeight="1" x14ac:dyDescent="0.2">
      <c r="A104" s="256" t="s">
        <v>341</v>
      </c>
      <c r="B104" s="834" t="s">
        <v>342</v>
      </c>
      <c r="C104" s="834"/>
      <c r="D104" s="834"/>
      <c r="E104" s="834"/>
      <c r="F104" s="834"/>
      <c r="G104" s="139" t="s">
        <v>31</v>
      </c>
      <c r="H104" s="189">
        <f>((H14*11.04)/16.9)*1.9</f>
        <v>21.596591715976327</v>
      </c>
      <c r="I104" s="323">
        <f>VLOOKUP(A104,'[1]TAB OGU JUN18'!$A:$G,6,"falso")</f>
        <v>0.82</v>
      </c>
      <c r="J104" s="323">
        <f>VLOOKUP(A104,'[1]TAB OGU JUN18'!$A:$G,4,"falso")</f>
        <v>0.82</v>
      </c>
      <c r="K104" s="308">
        <f>H104*J104</f>
        <v>17.709205207100588</v>
      </c>
      <c r="L104" s="323">
        <f>VLOOKUP(A104,'[1]TAB OGU JUN18'!$A:$G,5,"falso")</f>
        <v>0</v>
      </c>
      <c r="M104" s="308"/>
      <c r="N104" s="308">
        <f>H104*I104</f>
        <v>17.709205207100588</v>
      </c>
      <c r="O104" s="301">
        <f>N104/N107</f>
        <v>1</v>
      </c>
    </row>
    <row r="105" spans="1:15" ht="11.25" hidden="1" customHeight="1" x14ac:dyDescent="0.2">
      <c r="A105" s="256" t="s">
        <v>343</v>
      </c>
      <c r="B105" s="834" t="s">
        <v>646</v>
      </c>
      <c r="C105" s="834"/>
      <c r="D105" s="834"/>
      <c r="E105" s="834"/>
      <c r="F105" s="834"/>
      <c r="G105" s="139" t="s">
        <v>17</v>
      </c>
      <c r="H105" s="189"/>
      <c r="I105" s="323">
        <f>VLOOKUP(A105,'[1]TAB OGU JUN18'!$A:$G,6,"falso")</f>
        <v>4.2699999999999996</v>
      </c>
      <c r="J105" s="323">
        <f>VLOOKUP(A105,'[1]TAB OGU JUN18'!$A:$G,4,"falso")</f>
        <v>3.94</v>
      </c>
      <c r="K105" s="308">
        <f>H105*J105</f>
        <v>0</v>
      </c>
      <c r="L105" s="323">
        <f>VLOOKUP(A105,'[1]TAB OGU JUN18'!$A:$G,5,"falso")</f>
        <v>0.33</v>
      </c>
      <c r="M105" s="308">
        <f>H105*L105</f>
        <v>0</v>
      </c>
      <c r="N105" s="308">
        <f>H105*I105</f>
        <v>0</v>
      </c>
      <c r="O105" s="301">
        <f>N105/N107</f>
        <v>0</v>
      </c>
    </row>
    <row r="106" spans="1:15" ht="11.25" customHeight="1" x14ac:dyDescent="0.2">
      <c r="A106" s="292"/>
      <c r="B106" s="254"/>
      <c r="C106" s="254"/>
      <c r="D106" s="254"/>
      <c r="E106" s="254"/>
      <c r="F106" s="254"/>
      <c r="G106" s="164"/>
      <c r="H106" s="293"/>
      <c r="I106" s="323"/>
      <c r="J106" s="323" t="e">
        <f>VLOOKUP(A106,'[1]TAB OGU JUN18'!$A:$G,4,"falso")</f>
        <v>#N/A</v>
      </c>
      <c r="K106" s="313"/>
      <c r="L106" s="323" t="e">
        <f>VLOOKUP(A106,'[1]TAB OGU JUN18'!$A:$G,5,"falso")</f>
        <v>#N/A</v>
      </c>
      <c r="M106" s="313"/>
      <c r="N106" s="293"/>
      <c r="O106" s="320"/>
    </row>
    <row r="107" spans="1:15" ht="11.25" customHeight="1" x14ac:dyDescent="0.2">
      <c r="A107" s="291"/>
      <c r="B107" s="155" t="s">
        <v>18</v>
      </c>
      <c r="C107" s="160"/>
      <c r="D107" s="160"/>
      <c r="E107" s="160"/>
      <c r="F107" s="144"/>
      <c r="G107" s="161"/>
      <c r="H107" s="656"/>
      <c r="I107" s="582"/>
      <c r="J107" s="323" t="e">
        <f>VLOOKUP(A107,'[1]TAB OGU JUN18'!$A:$G,4,"falso")</f>
        <v>#N/A</v>
      </c>
      <c r="K107" s="334"/>
      <c r="L107" s="323" t="e">
        <f>VLOOKUP(A107,'[1]TAB OGU JUN18'!$A:$G,5,"falso")</f>
        <v>#N/A</v>
      </c>
      <c r="M107" s="334"/>
      <c r="N107" s="315">
        <f>SUM(N104:N106)</f>
        <v>17.709205207100588</v>
      </c>
      <c r="O107" s="301">
        <f>N107/N$109</f>
        <v>3.3545539283548757E-4</v>
      </c>
    </row>
    <row r="108" spans="1:15" ht="11.25" customHeight="1" x14ac:dyDescent="0.2">
      <c r="A108" s="291"/>
      <c r="B108" s="834"/>
      <c r="C108" s="834"/>
      <c r="D108" s="834"/>
      <c r="E108" s="834"/>
      <c r="F108" s="834"/>
      <c r="G108" s="137"/>
      <c r="H108" s="641"/>
      <c r="I108" s="323"/>
      <c r="J108" s="323" t="e">
        <f>VLOOKUP(A108,'[1]TAB OGU JUN18'!$A:$G,4,"falso")</f>
        <v>#N/A</v>
      </c>
      <c r="K108" s="313"/>
      <c r="L108" s="323" t="e">
        <f>VLOOKUP(A108,'[1]TAB OGU JUN18'!$A:$G,5,"falso")</f>
        <v>#N/A</v>
      </c>
      <c r="M108" s="313"/>
      <c r="N108" s="189"/>
      <c r="O108" s="300"/>
    </row>
    <row r="109" spans="1:15" ht="11.25" customHeight="1" x14ac:dyDescent="0.2">
      <c r="A109" s="294"/>
      <c r="B109" s="165" t="s">
        <v>20</v>
      </c>
      <c r="C109" s="166"/>
      <c r="D109" s="166"/>
      <c r="E109" s="166"/>
      <c r="F109" s="167"/>
      <c r="G109" s="168"/>
      <c r="H109" s="659"/>
      <c r="I109" s="582"/>
      <c r="J109" s="323" t="e">
        <f>VLOOKUP(A109,'[1]TAB OGU JUN18'!$A:$G,4,"falso")</f>
        <v>#N/A</v>
      </c>
      <c r="K109" s="368"/>
      <c r="L109" s="323" t="e">
        <f>VLOOKUP(A109,'[1]TAB OGU JUN18'!$A:$G,5,"falso")</f>
        <v>#N/A</v>
      </c>
      <c r="M109" s="368"/>
      <c r="N109" s="369">
        <f>N107+N101+N96+N86+N80+N70+N91+N73</f>
        <v>52791.535284053258</v>
      </c>
      <c r="O109" s="321">
        <f>N109/N176</f>
        <v>0.87024326274001662</v>
      </c>
    </row>
    <row r="110" spans="1:15" ht="11.25" customHeight="1" x14ac:dyDescent="0.2">
      <c r="A110" s="291"/>
      <c r="B110" s="138"/>
      <c r="C110" s="138"/>
      <c r="D110" s="138"/>
      <c r="E110" s="138"/>
      <c r="F110" s="138"/>
      <c r="G110" s="137"/>
      <c r="H110" s="641"/>
      <c r="I110" s="323"/>
      <c r="J110" s="323" t="e">
        <f>VLOOKUP(A110,'[1]TAB OGU JUN18'!$A:$G,4,"falso")</f>
        <v>#N/A</v>
      </c>
      <c r="K110" s="313"/>
      <c r="L110" s="323" t="e">
        <f>VLOOKUP(A110,'[1]TAB OGU JUN18'!$A:$G,5,"falso")</f>
        <v>#N/A</v>
      </c>
      <c r="M110" s="313"/>
      <c r="N110" s="189"/>
      <c r="O110" s="300"/>
    </row>
    <row r="111" spans="1:15" ht="11.25" customHeight="1" x14ac:dyDescent="0.2">
      <c r="A111" s="256">
        <v>12</v>
      </c>
      <c r="B111" s="834" t="s">
        <v>377</v>
      </c>
      <c r="C111" s="834"/>
      <c r="D111" s="834"/>
      <c r="E111" s="834"/>
      <c r="F111" s="834"/>
      <c r="G111" s="137"/>
      <c r="H111" s="641"/>
      <c r="I111" s="323"/>
      <c r="J111" s="323" t="e">
        <f>VLOOKUP(A111,'[1]TAB OGU JUN18'!$A:$G,4,"falso")</f>
        <v>#N/A</v>
      </c>
      <c r="K111" s="313"/>
      <c r="L111" s="323" t="e">
        <f>VLOOKUP(A111,'[1]TAB OGU JUN18'!$A:$G,5,"falso")</f>
        <v>#N/A</v>
      </c>
      <c r="M111" s="313"/>
      <c r="N111" s="333"/>
      <c r="O111" s="162"/>
    </row>
    <row r="112" spans="1:15" ht="11.25" customHeight="1" x14ac:dyDescent="0.2">
      <c r="A112" s="256">
        <v>1206</v>
      </c>
      <c r="B112" s="834" t="s">
        <v>647</v>
      </c>
      <c r="C112" s="834"/>
      <c r="D112" s="834"/>
      <c r="E112" s="834"/>
      <c r="F112" s="834"/>
      <c r="G112" s="137"/>
      <c r="H112" s="641"/>
      <c r="I112" s="323"/>
      <c r="J112" s="323" t="e">
        <f>VLOOKUP(A112,'[1]TAB OGU JUN18'!$A:$G,4,"falso")</f>
        <v>#N/A</v>
      </c>
      <c r="K112" s="313"/>
      <c r="L112" s="323" t="e">
        <f>VLOOKUP(A112,'[1]TAB OGU JUN18'!$A:$G,5,"falso")</f>
        <v>#N/A</v>
      </c>
      <c r="M112" s="313"/>
      <c r="N112" s="333"/>
      <c r="O112" s="162"/>
    </row>
    <row r="113" spans="1:15" ht="11.25" customHeight="1" x14ac:dyDescent="0.2">
      <c r="A113" s="256" t="s">
        <v>405</v>
      </c>
      <c r="B113" s="834" t="s">
        <v>648</v>
      </c>
      <c r="C113" s="834"/>
      <c r="D113" s="834"/>
      <c r="E113" s="834"/>
      <c r="F113" s="834"/>
      <c r="G113" s="139" t="s">
        <v>31</v>
      </c>
      <c r="H113" s="189">
        <f>(H14*119.96)/16.9</f>
        <v>123.50911242603549</v>
      </c>
      <c r="I113" s="323">
        <f>VLOOKUP(A113,'[1]TAB OGU JUN18'!$A:$G,6,"falso")</f>
        <v>12.42</v>
      </c>
      <c r="J113" s="323">
        <f>VLOOKUP(A113,'[1]TAB OGU JUN18'!$A:$G,4,"falso")</f>
        <v>8.42</v>
      </c>
      <c r="K113" s="308">
        <f>H113*J113</f>
        <v>1039.9467266272188</v>
      </c>
      <c r="L113" s="323">
        <f>VLOOKUP(A113,'[1]TAB OGU JUN18'!$A:$G,5,"falso")</f>
        <v>4</v>
      </c>
      <c r="M113" s="308">
        <f>H113*L113</f>
        <v>494.03644970414194</v>
      </c>
      <c r="N113" s="308">
        <f>H113*I113</f>
        <v>1533.9831763313607</v>
      </c>
      <c r="O113" s="424">
        <f>N113/N115</f>
        <v>1</v>
      </c>
    </row>
    <row r="114" spans="1:15" ht="11.25" customHeight="1" x14ac:dyDescent="0.2">
      <c r="A114" s="292"/>
      <c r="B114" s="254"/>
      <c r="C114" s="254"/>
      <c r="D114" s="254"/>
      <c r="E114" s="254"/>
      <c r="F114" s="254"/>
      <c r="G114" s="164"/>
      <c r="H114" s="293"/>
      <c r="I114" s="323"/>
      <c r="J114" s="323" t="e">
        <f>VLOOKUP(A114,'[1]TAB OGU JUN18'!$A:$G,4,"falso")</f>
        <v>#N/A</v>
      </c>
      <c r="K114" s="313"/>
      <c r="L114" s="323" t="e">
        <f>VLOOKUP(A114,'[1]TAB OGU JUN18'!$A:$G,5,"falso")</f>
        <v>#N/A</v>
      </c>
      <c r="M114" s="313"/>
      <c r="N114" s="293"/>
      <c r="O114" s="320"/>
    </row>
    <row r="115" spans="1:15" ht="11.25" customHeight="1" x14ac:dyDescent="0.2">
      <c r="A115" s="291"/>
      <c r="B115" s="155" t="s">
        <v>18</v>
      </c>
      <c r="C115" s="160"/>
      <c r="D115" s="160"/>
      <c r="E115" s="160"/>
      <c r="F115" s="144"/>
      <c r="G115" s="161"/>
      <c r="H115" s="656"/>
      <c r="I115" s="582"/>
      <c r="J115" s="323" t="e">
        <f>VLOOKUP(A115,'[1]TAB OGU JUN18'!$A:$G,4,"falso")</f>
        <v>#N/A</v>
      </c>
      <c r="K115" s="334"/>
      <c r="L115" s="323" t="e">
        <f>VLOOKUP(A115,'[1]TAB OGU JUN18'!$A:$G,5,"falso")</f>
        <v>#N/A</v>
      </c>
      <c r="M115" s="334"/>
      <c r="N115" s="315">
        <f>SUM(N113:N114)</f>
        <v>1533.9831763313607</v>
      </c>
      <c r="O115" s="301">
        <f>N115/$N$117</f>
        <v>1</v>
      </c>
    </row>
    <row r="116" spans="1:15" ht="11.25" customHeight="1" x14ac:dyDescent="0.2">
      <c r="A116" s="291"/>
      <c r="B116" s="834"/>
      <c r="C116" s="834"/>
      <c r="D116" s="834"/>
      <c r="E116" s="834"/>
      <c r="F116" s="834"/>
      <c r="G116" s="137"/>
      <c r="H116" s="641"/>
      <c r="I116" s="323"/>
      <c r="J116" s="323" t="e">
        <f>VLOOKUP(A116,'[1]TAB OGU JUN18'!$A:$G,4,"falso")</f>
        <v>#N/A</v>
      </c>
      <c r="K116" s="313"/>
      <c r="L116" s="323" t="e">
        <f>VLOOKUP(A116,'[1]TAB OGU JUN18'!$A:$G,5,"falso")</f>
        <v>#N/A</v>
      </c>
      <c r="M116" s="313"/>
      <c r="N116" s="189"/>
      <c r="O116" s="300"/>
    </row>
    <row r="117" spans="1:15" s="132" customFormat="1" ht="11.25" customHeight="1" x14ac:dyDescent="0.2">
      <c r="A117" s="294"/>
      <c r="B117" s="165" t="s">
        <v>20</v>
      </c>
      <c r="C117" s="166"/>
      <c r="D117" s="166"/>
      <c r="E117" s="166"/>
      <c r="F117" s="167"/>
      <c r="G117" s="168"/>
      <c r="H117" s="659"/>
      <c r="I117" s="582"/>
      <c r="J117" s="323" t="e">
        <f>VLOOKUP(A117,'[1]TAB OGU JUN18'!$A:$G,4,"falso")</f>
        <v>#N/A</v>
      </c>
      <c r="K117" s="368"/>
      <c r="L117" s="323" t="e">
        <f>VLOOKUP(A117,'[1]TAB OGU JUN18'!$A:$G,5,"falso")</f>
        <v>#N/A</v>
      </c>
      <c r="M117" s="368"/>
      <c r="N117" s="369">
        <f>N115</f>
        <v>1533.9831763313607</v>
      </c>
      <c r="O117" s="321">
        <f>N117/N176</f>
        <v>2.5286980520192268E-2</v>
      </c>
    </row>
    <row r="118" spans="1:15" ht="11.25" customHeight="1" x14ac:dyDescent="0.2">
      <c r="A118" s="291"/>
      <c r="B118" s="834"/>
      <c r="C118" s="834"/>
      <c r="D118" s="834"/>
      <c r="E118" s="834"/>
      <c r="F118" s="834"/>
      <c r="G118" s="137"/>
      <c r="H118" s="641"/>
      <c r="I118" s="323"/>
      <c r="J118" s="323" t="e">
        <f>VLOOKUP(A118,'[1]TAB OGU JUN18'!$A:$G,4,"falso")</f>
        <v>#N/A</v>
      </c>
      <c r="K118" s="313"/>
      <c r="L118" s="323" t="e">
        <f>VLOOKUP(A118,'[1]TAB OGU JUN18'!$A:$G,5,"falso")</f>
        <v>#N/A</v>
      </c>
      <c r="M118" s="313"/>
      <c r="N118" s="189"/>
      <c r="O118" s="300"/>
    </row>
    <row r="119" spans="1:15" ht="11.25" customHeight="1" x14ac:dyDescent="0.2">
      <c r="A119" s="256">
        <v>14</v>
      </c>
      <c r="B119" s="834" t="s">
        <v>427</v>
      </c>
      <c r="C119" s="834"/>
      <c r="D119" s="834"/>
      <c r="E119" s="834"/>
      <c r="F119" s="834"/>
      <c r="G119" s="137"/>
      <c r="H119" s="641"/>
      <c r="I119" s="323"/>
      <c r="J119" s="323" t="e">
        <f>VLOOKUP(A119,'[1]TAB OGU JUN18'!$A:$G,4,"falso")</f>
        <v>#N/A</v>
      </c>
      <c r="K119" s="313"/>
      <c r="L119" s="323" t="e">
        <f>VLOOKUP(A119,'[1]TAB OGU JUN18'!$A:$G,5,"falso")</f>
        <v>#N/A</v>
      </c>
      <c r="M119" s="313"/>
      <c r="N119" s="333"/>
      <c r="O119" s="162"/>
    </row>
    <row r="120" spans="1:15" ht="11.25" customHeight="1" x14ac:dyDescent="0.2">
      <c r="A120" s="256">
        <v>1404</v>
      </c>
      <c r="B120" s="834" t="s">
        <v>428</v>
      </c>
      <c r="C120" s="834"/>
      <c r="D120" s="834"/>
      <c r="E120" s="834"/>
      <c r="F120" s="834"/>
      <c r="G120" s="137"/>
      <c r="H120" s="641"/>
      <c r="I120" s="323"/>
      <c r="J120" s="323" t="e">
        <f>VLOOKUP(A120,'[1]TAB OGU JUN18'!$A:$G,4,"falso")</f>
        <v>#N/A</v>
      </c>
      <c r="K120" s="313"/>
      <c r="L120" s="323" t="e">
        <f>VLOOKUP(A120,'[1]TAB OGU JUN18'!$A:$G,5,"falso")</f>
        <v>#N/A</v>
      </c>
      <c r="M120" s="313"/>
      <c r="N120" s="333"/>
      <c r="O120" s="162"/>
    </row>
    <row r="121" spans="1:15" ht="11.25" customHeight="1" x14ac:dyDescent="0.2">
      <c r="A121" s="256" t="s">
        <v>431</v>
      </c>
      <c r="B121" s="834" t="s">
        <v>432</v>
      </c>
      <c r="C121" s="834"/>
      <c r="D121" s="834"/>
      <c r="E121" s="834"/>
      <c r="F121" s="834"/>
      <c r="G121" s="139" t="s">
        <v>24</v>
      </c>
      <c r="H121" s="189">
        <v>2</v>
      </c>
      <c r="I121" s="323">
        <f>VLOOKUP(A121,'[1]TAB OGU JUN18'!$A:$G,6,"falso")</f>
        <v>113.02</v>
      </c>
      <c r="J121" s="323">
        <f>VLOOKUP(A121,'[1]TAB OGU JUN18'!$A:$G,4,"falso")</f>
        <v>113.02</v>
      </c>
      <c r="K121" s="308">
        <f>H121*J121</f>
        <v>226.04</v>
      </c>
      <c r="L121" s="323">
        <f>VLOOKUP(A121,'[1]TAB OGU JUN18'!$A:$G,5,"falso")</f>
        <v>0</v>
      </c>
      <c r="M121" s="308"/>
      <c r="N121" s="308">
        <f>H121*I121</f>
        <v>226.04</v>
      </c>
      <c r="O121" s="424">
        <f>N121/N123</f>
        <v>1</v>
      </c>
    </row>
    <row r="122" spans="1:15" ht="11.25" customHeight="1" x14ac:dyDescent="0.2">
      <c r="A122" s="256"/>
      <c r="B122" s="138"/>
      <c r="C122" s="138"/>
      <c r="D122" s="138"/>
      <c r="E122" s="138"/>
      <c r="F122" s="138"/>
      <c r="G122" s="139"/>
      <c r="H122" s="189"/>
      <c r="I122" s="323"/>
      <c r="J122" s="323" t="e">
        <f>VLOOKUP(A122,'[1]TAB OGU JUN18'!$A:$G,4,"falso")</f>
        <v>#N/A</v>
      </c>
      <c r="K122" s="313"/>
      <c r="L122" s="323" t="e">
        <f>VLOOKUP(A122,'[1]TAB OGU JUN18'!$A:$G,5,"falso")</f>
        <v>#N/A</v>
      </c>
      <c r="M122" s="313"/>
      <c r="N122" s="189"/>
      <c r="O122" s="444"/>
    </row>
    <row r="123" spans="1:15" ht="11.25" customHeight="1" x14ac:dyDescent="0.2">
      <c r="A123" s="291"/>
      <c r="B123" s="155" t="s">
        <v>18</v>
      </c>
      <c r="C123" s="160"/>
      <c r="D123" s="160"/>
      <c r="E123" s="160"/>
      <c r="F123" s="144"/>
      <c r="G123" s="161"/>
      <c r="H123" s="656"/>
      <c r="I123" s="582"/>
      <c r="J123" s="323" t="e">
        <f>VLOOKUP(A123,'[1]TAB OGU JUN18'!$A:$G,4,"falso")</f>
        <v>#N/A</v>
      </c>
      <c r="K123" s="334"/>
      <c r="L123" s="323" t="e">
        <f>VLOOKUP(A123,'[1]TAB OGU JUN18'!$A:$G,5,"falso")</f>
        <v>#N/A</v>
      </c>
      <c r="M123" s="334"/>
      <c r="N123" s="315">
        <f>SUM(N120:N121)</f>
        <v>226.04</v>
      </c>
      <c r="O123" s="301">
        <f>N123/$N$145</f>
        <v>0.1275995213042202</v>
      </c>
    </row>
    <row r="124" spans="1:15" ht="11.25" customHeight="1" x14ac:dyDescent="0.2">
      <c r="B124" s="130"/>
      <c r="G124" s="52"/>
      <c r="H124" s="324"/>
      <c r="I124" s="323"/>
      <c r="J124" s="323" t="e">
        <f>VLOOKUP(A124,'[1]TAB OGU JUN18'!$A:$G,4,"falso")</f>
        <v>#N/A</v>
      </c>
      <c r="K124" s="313"/>
      <c r="L124" s="323" t="e">
        <f>VLOOKUP(A124,'[1]TAB OGU JUN18'!$A:$G,5,"falso")</f>
        <v>#N/A</v>
      </c>
      <c r="M124" s="313"/>
      <c r="N124" s="313"/>
      <c r="O124" s="15"/>
    </row>
    <row r="125" spans="1:15" ht="11.25" customHeight="1" x14ac:dyDescent="0.2">
      <c r="A125" s="256">
        <v>1407</v>
      </c>
      <c r="B125" s="834" t="s">
        <v>433</v>
      </c>
      <c r="C125" s="834"/>
      <c r="D125" s="834"/>
      <c r="E125" s="834"/>
      <c r="F125" s="834"/>
      <c r="G125" s="162"/>
      <c r="H125" s="641"/>
      <c r="I125" s="323"/>
      <c r="J125" s="323" t="e">
        <f>VLOOKUP(A125,'[1]TAB OGU JUN18'!$A:$G,4,"falso")</f>
        <v>#N/A</v>
      </c>
      <c r="K125" s="313"/>
      <c r="L125" s="323" t="e">
        <f>VLOOKUP(A125,'[1]TAB OGU JUN18'!$A:$G,5,"falso")</f>
        <v>#N/A</v>
      </c>
      <c r="M125" s="313"/>
      <c r="N125" s="333"/>
      <c r="O125" s="162"/>
    </row>
    <row r="126" spans="1:15" ht="11.25" customHeight="1" x14ac:dyDescent="0.2">
      <c r="A126" s="256" t="s">
        <v>434</v>
      </c>
      <c r="B126" s="834" t="s">
        <v>544</v>
      </c>
      <c r="C126" s="834"/>
      <c r="D126" s="834"/>
      <c r="E126" s="834"/>
      <c r="F126" s="834"/>
      <c r="G126" s="139" t="s">
        <v>24</v>
      </c>
      <c r="H126" s="189">
        <v>1</v>
      </c>
      <c r="I126" s="323">
        <f>VLOOKUP(A126,'[1]TAB OGU JUN18'!$A:$G,6,"falso")</f>
        <v>599.84</v>
      </c>
      <c r="J126" s="323">
        <f>VLOOKUP(A126,'[1]TAB OGU JUN18'!$A:$G,4,"falso")</f>
        <v>599.84</v>
      </c>
      <c r="K126" s="308">
        <f>H126*J126</f>
        <v>599.84</v>
      </c>
      <c r="L126" s="323">
        <f>VLOOKUP(A126,'[1]TAB OGU JUN18'!$A:$G,5,"falso")</f>
        <v>0</v>
      </c>
      <c r="M126" s="308"/>
      <c r="N126" s="308">
        <f>H126*I126</f>
        <v>599.84</v>
      </c>
      <c r="O126" s="424">
        <f>N126/N128</f>
        <v>1</v>
      </c>
    </row>
    <row r="127" spans="1:15" ht="11.25" customHeight="1" x14ac:dyDescent="0.2">
      <c r="A127" s="256"/>
      <c r="B127" s="138"/>
      <c r="C127" s="138"/>
      <c r="D127" s="138"/>
      <c r="E127" s="138"/>
      <c r="F127" s="138"/>
      <c r="G127" s="139"/>
      <c r="H127" s="189"/>
      <c r="I127" s="323"/>
      <c r="J127" s="323" t="e">
        <f>VLOOKUP(A127,'[1]TAB OGU JUN18'!$A:$G,4,"falso")</f>
        <v>#N/A</v>
      </c>
      <c r="K127" s="313"/>
      <c r="L127" s="323" t="e">
        <f>VLOOKUP(A127,'[1]TAB OGU JUN18'!$A:$G,5,"falso")</f>
        <v>#N/A</v>
      </c>
      <c r="M127" s="313"/>
      <c r="N127" s="189"/>
      <c r="O127" s="444"/>
    </row>
    <row r="128" spans="1:15" ht="11.25" customHeight="1" x14ac:dyDescent="0.2">
      <c r="A128" s="291"/>
      <c r="B128" s="155" t="s">
        <v>18</v>
      </c>
      <c r="C128" s="160"/>
      <c r="D128" s="160"/>
      <c r="E128" s="160"/>
      <c r="F128" s="144"/>
      <c r="G128" s="161"/>
      <c r="H128" s="656"/>
      <c r="I128" s="582"/>
      <c r="J128" s="323" t="e">
        <f>VLOOKUP(A128,'[1]TAB OGU JUN18'!$A:$G,4,"falso")</f>
        <v>#N/A</v>
      </c>
      <c r="K128" s="334"/>
      <c r="L128" s="323" t="e">
        <f>VLOOKUP(A128,'[1]TAB OGU JUN18'!$A:$G,5,"falso")</f>
        <v>#N/A</v>
      </c>
      <c r="M128" s="334"/>
      <c r="N128" s="315">
        <f>SUM(N125:N126)</f>
        <v>599.84</v>
      </c>
      <c r="O128" s="301">
        <f>N128/$N$145</f>
        <v>0.33860952423961888</v>
      </c>
    </row>
    <row r="129" spans="1:15" ht="11.25" customHeight="1" x14ac:dyDescent="0.2">
      <c r="B129" s="130"/>
      <c r="G129" s="52"/>
      <c r="H129" s="324"/>
      <c r="I129" s="323"/>
      <c r="J129" s="323" t="e">
        <f>VLOOKUP(A129,'[1]TAB OGU JUN18'!$A:$G,4,"falso")</f>
        <v>#N/A</v>
      </c>
      <c r="K129" s="313"/>
      <c r="L129" s="323" t="e">
        <f>VLOOKUP(A129,'[1]TAB OGU JUN18'!$A:$G,5,"falso")</f>
        <v>#N/A</v>
      </c>
      <c r="M129" s="313"/>
      <c r="N129" s="313"/>
      <c r="O129" s="15"/>
    </row>
    <row r="130" spans="1:15" ht="11.25" customHeight="1" x14ac:dyDescent="0.2">
      <c r="A130" s="256">
        <v>1410</v>
      </c>
      <c r="B130" s="834" t="s">
        <v>435</v>
      </c>
      <c r="C130" s="834"/>
      <c r="D130" s="834"/>
      <c r="E130" s="834"/>
      <c r="F130" s="834"/>
      <c r="G130" s="162"/>
      <c r="H130" s="641"/>
      <c r="I130" s="323"/>
      <c r="J130" s="323" t="e">
        <f>VLOOKUP(A130,'[1]TAB OGU JUN18'!$A:$G,4,"falso")</f>
        <v>#N/A</v>
      </c>
      <c r="K130" s="313"/>
      <c r="L130" s="323" t="e">
        <f>VLOOKUP(A130,'[1]TAB OGU JUN18'!$A:$G,5,"falso")</f>
        <v>#N/A</v>
      </c>
      <c r="M130" s="313"/>
      <c r="N130" s="333"/>
      <c r="O130" s="162"/>
    </row>
    <row r="131" spans="1:15" ht="11.25" customHeight="1" x14ac:dyDescent="0.2">
      <c r="A131" s="255" t="s">
        <v>437</v>
      </c>
      <c r="B131" s="834" t="s">
        <v>635</v>
      </c>
      <c r="C131" s="834"/>
      <c r="D131" s="834"/>
      <c r="E131" s="834"/>
      <c r="F131" s="834"/>
      <c r="G131" s="139" t="s">
        <v>24</v>
      </c>
      <c r="H131" s="189">
        <v>3</v>
      </c>
      <c r="I131" s="323">
        <f>VLOOKUP(A131,'[1]TAB OGU JUN18'!$A:$G,6,"falso")</f>
        <v>215.36</v>
      </c>
      <c r="J131" s="323">
        <f>VLOOKUP(A131,'[1]TAB OGU JUN18'!$A:$G,4,"falso")</f>
        <v>215.36</v>
      </c>
      <c r="K131" s="308">
        <f>H131*J131</f>
        <v>646.08000000000004</v>
      </c>
      <c r="L131" s="323">
        <f>VLOOKUP(A131,'[1]TAB OGU JUN18'!$A:$G,5,"falso")</f>
        <v>0</v>
      </c>
      <c r="M131" s="308"/>
      <c r="N131" s="308">
        <f>H131*I131</f>
        <v>646.08000000000004</v>
      </c>
      <c r="O131" s="424">
        <f>N131/N133</f>
        <v>1</v>
      </c>
    </row>
    <row r="132" spans="1:15" ht="11.25" customHeight="1" x14ac:dyDescent="0.2">
      <c r="A132" s="256"/>
      <c r="B132" s="138"/>
      <c r="C132" s="138"/>
      <c r="D132" s="138"/>
      <c r="E132" s="138"/>
      <c r="F132" s="138"/>
      <c r="G132" s="139"/>
      <c r="H132" s="189"/>
      <c r="I132" s="323"/>
      <c r="J132" s="323" t="e">
        <f>VLOOKUP(A132,'[1]TAB OGU JUN18'!$A:$G,4,"falso")</f>
        <v>#N/A</v>
      </c>
      <c r="K132" s="313"/>
      <c r="L132" s="323" t="e">
        <f>VLOOKUP(A132,'[1]TAB OGU JUN18'!$A:$G,5,"falso")</f>
        <v>#N/A</v>
      </c>
      <c r="M132" s="313"/>
      <c r="N132" s="189"/>
      <c r="O132" s="444"/>
    </row>
    <row r="133" spans="1:15" ht="11.25" customHeight="1" x14ac:dyDescent="0.2">
      <c r="A133" s="291"/>
      <c r="B133" s="155" t="s">
        <v>18</v>
      </c>
      <c r="C133" s="160"/>
      <c r="D133" s="160"/>
      <c r="E133" s="160"/>
      <c r="F133" s="144"/>
      <c r="G133" s="161"/>
      <c r="H133" s="656"/>
      <c r="I133" s="582"/>
      <c r="J133" s="323" t="e">
        <f>VLOOKUP(A133,'[1]TAB OGU JUN18'!$A:$G,4,"falso")</f>
        <v>#N/A</v>
      </c>
      <c r="K133" s="334"/>
      <c r="L133" s="323" t="e">
        <f>VLOOKUP(A133,'[1]TAB OGU JUN18'!$A:$G,5,"falso")</f>
        <v>#N/A</v>
      </c>
      <c r="M133" s="334"/>
      <c r="N133" s="315">
        <f>SUM(N130:N131)</f>
        <v>646.08000000000004</v>
      </c>
      <c r="O133" s="301">
        <f>N133/$N$145</f>
        <v>0.36471199223248357</v>
      </c>
    </row>
    <row r="134" spans="1:15" ht="11.25" hidden="1" customHeight="1" x14ac:dyDescent="0.2">
      <c r="B134" s="130"/>
      <c r="G134" s="52"/>
      <c r="H134" s="324"/>
      <c r="I134" s="323"/>
      <c r="J134" s="323" t="e">
        <f>VLOOKUP(A134,'[1]TAB OGU JUN18'!$A:$G,4,"falso")</f>
        <v>#N/A</v>
      </c>
      <c r="K134" s="313"/>
      <c r="L134" s="323" t="e">
        <f>VLOOKUP(A134,'[1]TAB OGU JUN18'!$A:$G,5,"falso")</f>
        <v>#N/A</v>
      </c>
      <c r="M134" s="313"/>
      <c r="N134" s="313"/>
      <c r="O134" s="15"/>
    </row>
    <row r="135" spans="1:15" ht="11.25" hidden="1" customHeight="1" x14ac:dyDescent="0.2">
      <c r="A135" s="256">
        <v>1411</v>
      </c>
      <c r="B135" s="834" t="s">
        <v>440</v>
      </c>
      <c r="C135" s="834"/>
      <c r="D135" s="834"/>
      <c r="E135" s="834"/>
      <c r="F135" s="834"/>
      <c r="G135" s="162"/>
      <c r="H135" s="641"/>
      <c r="I135" s="323"/>
      <c r="J135" s="323" t="e">
        <f>VLOOKUP(A135,'[1]TAB OGU JUN18'!$A:$G,4,"falso")</f>
        <v>#N/A</v>
      </c>
      <c r="K135" s="313"/>
      <c r="L135" s="323" t="e">
        <f>VLOOKUP(A135,'[1]TAB OGU JUN18'!$A:$G,5,"falso")</f>
        <v>#N/A</v>
      </c>
      <c r="M135" s="313"/>
      <c r="N135" s="333"/>
      <c r="O135" s="162"/>
    </row>
    <row r="136" spans="1:15" ht="11.25" hidden="1" customHeight="1" x14ac:dyDescent="0.2">
      <c r="A136" s="256" t="s">
        <v>441</v>
      </c>
      <c r="B136" s="834" t="s">
        <v>442</v>
      </c>
      <c r="C136" s="834"/>
      <c r="D136" s="834"/>
      <c r="E136" s="834"/>
      <c r="F136" s="834"/>
      <c r="G136" s="139" t="s">
        <v>24</v>
      </c>
      <c r="H136" s="189">
        <v>0</v>
      </c>
      <c r="I136" s="323"/>
      <c r="J136" s="323">
        <f>VLOOKUP(A136,'[1]TAB OGU JUN18'!$A:$G,4,"falso")</f>
        <v>793.62</v>
      </c>
      <c r="K136" s="308">
        <f>H136*J136</f>
        <v>0</v>
      </c>
      <c r="L136" s="323">
        <f>VLOOKUP(A136,'[1]TAB OGU JUN18'!$A:$G,5,"falso")</f>
        <v>0</v>
      </c>
      <c r="M136" s="308"/>
      <c r="N136" s="308">
        <f>H136*I136</f>
        <v>0</v>
      </c>
      <c r="O136" s="424" t="e">
        <f>N136/N138</f>
        <v>#DIV/0!</v>
      </c>
    </row>
    <row r="137" spans="1:15" ht="11.25" hidden="1" customHeight="1" x14ac:dyDescent="0.2">
      <c r="A137" s="256"/>
      <c r="B137" s="138"/>
      <c r="C137" s="138"/>
      <c r="D137" s="138"/>
      <c r="E137" s="138"/>
      <c r="F137" s="138"/>
      <c r="G137" s="139"/>
      <c r="H137" s="189"/>
      <c r="I137" s="323"/>
      <c r="J137" s="323" t="e">
        <f>VLOOKUP(A137,'[1]TAB OGU JUN18'!$A:$G,4,"falso")</f>
        <v>#N/A</v>
      </c>
      <c r="K137" s="313"/>
      <c r="L137" s="323" t="e">
        <f>VLOOKUP(A137,'[1]TAB OGU JUN18'!$A:$G,5,"falso")</f>
        <v>#N/A</v>
      </c>
      <c r="M137" s="313"/>
      <c r="N137" s="189"/>
      <c r="O137" s="444"/>
    </row>
    <row r="138" spans="1:15" ht="11.25" hidden="1" customHeight="1" x14ac:dyDescent="0.2">
      <c r="A138" s="291"/>
      <c r="B138" s="155" t="s">
        <v>18</v>
      </c>
      <c r="C138" s="160"/>
      <c r="D138" s="160"/>
      <c r="E138" s="160"/>
      <c r="F138" s="144"/>
      <c r="G138" s="161"/>
      <c r="H138" s="656"/>
      <c r="I138" s="323"/>
      <c r="J138" s="323" t="e">
        <f>VLOOKUP(A138,'[1]TAB OGU JUN18'!$A:$G,4,"falso")</f>
        <v>#N/A</v>
      </c>
      <c r="K138" s="334"/>
      <c r="L138" s="323" t="e">
        <f>VLOOKUP(A138,'[1]TAB OGU JUN18'!$A:$G,5,"falso")</f>
        <v>#N/A</v>
      </c>
      <c r="M138" s="334"/>
      <c r="N138" s="315">
        <f>SUM(N135:N136)</f>
        <v>0</v>
      </c>
      <c r="O138" s="301">
        <f>N138/$N$145</f>
        <v>0</v>
      </c>
    </row>
    <row r="139" spans="1:15" ht="11.25" customHeight="1" x14ac:dyDescent="0.2">
      <c r="A139" s="291"/>
      <c r="B139" s="834"/>
      <c r="C139" s="834"/>
      <c r="D139" s="834"/>
      <c r="E139" s="834"/>
      <c r="F139" s="834"/>
      <c r="G139" s="162"/>
      <c r="H139" s="641"/>
      <c r="I139" s="323"/>
      <c r="J139" s="323" t="e">
        <f>VLOOKUP(A139,'[1]TAB OGU JUN18'!$A:$G,4,"falso")</f>
        <v>#N/A</v>
      </c>
      <c r="K139" s="313"/>
      <c r="L139" s="323" t="e">
        <f>VLOOKUP(A139,'[1]TAB OGU JUN18'!$A:$G,5,"falso")</f>
        <v>#N/A</v>
      </c>
      <c r="M139" s="313"/>
      <c r="N139" s="189"/>
      <c r="O139" s="300"/>
    </row>
    <row r="140" spans="1:15" ht="11.25" customHeight="1" x14ac:dyDescent="0.2">
      <c r="A140" s="256">
        <v>1422</v>
      </c>
      <c r="B140" s="834" t="s">
        <v>444</v>
      </c>
      <c r="C140" s="834"/>
      <c r="D140" s="834"/>
      <c r="E140" s="834"/>
      <c r="F140" s="834"/>
      <c r="G140" s="162"/>
      <c r="H140" s="641"/>
      <c r="I140" s="323"/>
      <c r="J140" s="323" t="e">
        <f>VLOOKUP(A140,'[1]TAB OGU JUN18'!$A:$G,4,"falso")</f>
        <v>#N/A</v>
      </c>
      <c r="K140" s="313"/>
      <c r="L140" s="323" t="e">
        <f>VLOOKUP(A140,'[1]TAB OGU JUN18'!$A:$G,5,"falso")</f>
        <v>#N/A</v>
      </c>
      <c r="M140" s="313"/>
      <c r="N140" s="333"/>
      <c r="O140" s="162"/>
    </row>
    <row r="141" spans="1:15" ht="11.25" customHeight="1" x14ac:dyDescent="0.2">
      <c r="A141" s="256" t="s">
        <v>445</v>
      </c>
      <c r="B141" s="834" t="s">
        <v>446</v>
      </c>
      <c r="C141" s="834"/>
      <c r="D141" s="834"/>
      <c r="E141" s="834"/>
      <c r="F141" s="834"/>
      <c r="G141" s="139" t="s">
        <v>24</v>
      </c>
      <c r="H141" s="189">
        <v>2</v>
      </c>
      <c r="I141" s="323">
        <f>VLOOKUP(A141,'[1]TAB OGU JUN18'!$A:$G,6,"falso")</f>
        <v>149.76</v>
      </c>
      <c r="J141" s="323">
        <f>VLOOKUP(A141,'[1]TAB OGU JUN18'!$A:$G,4,"falso")</f>
        <v>149.76</v>
      </c>
      <c r="K141" s="308">
        <f>H141*J141</f>
        <v>299.52</v>
      </c>
      <c r="L141" s="323">
        <f>VLOOKUP(A141,'[1]TAB OGU JUN18'!$A:$G,5,"falso")</f>
        <v>0</v>
      </c>
      <c r="M141" s="308"/>
      <c r="N141" s="308">
        <f>H141*I141</f>
        <v>299.52</v>
      </c>
      <c r="O141" s="424">
        <f>N141/N143</f>
        <v>1</v>
      </c>
    </row>
    <row r="142" spans="1:15" ht="11.25" customHeight="1" x14ac:dyDescent="0.2">
      <c r="A142" s="292"/>
      <c r="B142" s="254"/>
      <c r="C142" s="254"/>
      <c r="D142" s="254"/>
      <c r="E142" s="254"/>
      <c r="F142" s="254"/>
      <c r="G142" s="164"/>
      <c r="H142" s="293"/>
      <c r="I142" s="323"/>
      <c r="J142" s="323" t="e">
        <f>VLOOKUP(A142,'[1]TAB OGU JUN18'!$A:$G,4,"falso")</f>
        <v>#N/A</v>
      </c>
      <c r="K142" s="313"/>
      <c r="L142" s="323" t="e">
        <f>VLOOKUP(A142,'[1]TAB OGU JUN18'!$A:$G,5,"falso")</f>
        <v>#N/A</v>
      </c>
      <c r="M142" s="313"/>
      <c r="N142" s="293"/>
      <c r="O142" s="320"/>
    </row>
    <row r="143" spans="1:15" ht="11.25" customHeight="1" x14ac:dyDescent="0.2">
      <c r="A143" s="291"/>
      <c r="B143" s="155" t="s">
        <v>18</v>
      </c>
      <c r="C143" s="160"/>
      <c r="D143" s="160"/>
      <c r="E143" s="160"/>
      <c r="F143" s="144"/>
      <c r="G143" s="161"/>
      <c r="H143" s="656"/>
      <c r="I143" s="582"/>
      <c r="J143" s="323" t="e">
        <f>VLOOKUP(A143,'[1]TAB OGU JUN18'!$A:$G,4,"falso")</f>
        <v>#N/A</v>
      </c>
      <c r="K143" s="334"/>
      <c r="L143" s="323" t="e">
        <f>VLOOKUP(A143,'[1]TAB OGU JUN18'!$A:$G,5,"falso")</f>
        <v>#N/A</v>
      </c>
      <c r="M143" s="334"/>
      <c r="N143" s="315">
        <f>SUM(N141:N142)</f>
        <v>299.52</v>
      </c>
      <c r="O143" s="301">
        <f>N143/$N$145</f>
        <v>0.16907896222367735</v>
      </c>
    </row>
    <row r="144" spans="1:15" ht="11.25" customHeight="1" x14ac:dyDescent="0.2">
      <c r="A144" s="291"/>
      <c r="B144" s="834"/>
      <c r="C144" s="834"/>
      <c r="D144" s="834"/>
      <c r="E144" s="834"/>
      <c r="F144" s="834"/>
      <c r="G144" s="137"/>
      <c r="H144" s="641"/>
      <c r="I144" s="323"/>
      <c r="J144" s="323" t="e">
        <f>VLOOKUP(A144,'[1]TAB OGU JUN18'!$A:$G,4,"falso")</f>
        <v>#N/A</v>
      </c>
      <c r="K144" s="313"/>
      <c r="L144" s="323" t="e">
        <f>VLOOKUP(A144,'[1]TAB OGU JUN18'!$A:$G,5,"falso")</f>
        <v>#N/A</v>
      </c>
      <c r="M144" s="313"/>
      <c r="N144" s="189"/>
      <c r="O144" s="300"/>
    </row>
    <row r="145" spans="1:15" ht="11.25" customHeight="1" x14ac:dyDescent="0.2">
      <c r="A145" s="294"/>
      <c r="B145" s="165" t="s">
        <v>20</v>
      </c>
      <c r="C145" s="166"/>
      <c r="D145" s="166"/>
      <c r="E145" s="166"/>
      <c r="F145" s="167"/>
      <c r="G145" s="168"/>
      <c r="H145" s="659"/>
      <c r="I145" s="582"/>
      <c r="J145" s="323" t="e">
        <f>VLOOKUP(A145,'[1]TAB OGU JUN18'!$A:$G,4,"falso")</f>
        <v>#N/A</v>
      </c>
      <c r="K145" s="368"/>
      <c r="L145" s="323" t="e">
        <f>VLOOKUP(A145,'[1]TAB OGU JUN18'!$A:$G,5,"falso")</f>
        <v>#N/A</v>
      </c>
      <c r="M145" s="368"/>
      <c r="N145" s="369">
        <f>N133+N143+N123+N138+N128</f>
        <v>1771.48</v>
      </c>
      <c r="O145" s="321">
        <f>N145/N176</f>
        <v>2.9202002305554496E-2</v>
      </c>
    </row>
    <row r="146" spans="1:15" ht="11.25" customHeight="1" x14ac:dyDescent="0.2">
      <c r="A146" s="291"/>
      <c r="B146" s="834"/>
      <c r="C146" s="834"/>
      <c r="D146" s="834"/>
      <c r="E146" s="834"/>
      <c r="F146" s="834"/>
      <c r="G146" s="137"/>
      <c r="H146" s="641"/>
      <c r="I146" s="323"/>
      <c r="J146" s="323" t="e">
        <f>VLOOKUP(A146,'[1]TAB OGU JUN18'!$A:$G,4,"falso")</f>
        <v>#N/A</v>
      </c>
      <c r="K146" s="313"/>
      <c r="L146" s="323" t="e">
        <f>VLOOKUP(A146,'[1]TAB OGU JUN18'!$A:$G,5,"falso")</f>
        <v>#N/A</v>
      </c>
      <c r="M146" s="313"/>
      <c r="N146" s="189"/>
      <c r="O146" s="300"/>
    </row>
    <row r="147" spans="1:15" ht="11.25" customHeight="1" x14ac:dyDescent="0.2">
      <c r="A147" s="256" t="s">
        <v>448</v>
      </c>
      <c r="B147" s="834" t="s">
        <v>449</v>
      </c>
      <c r="C147" s="834"/>
      <c r="D147" s="834"/>
      <c r="E147" s="834"/>
      <c r="F147" s="834"/>
      <c r="G147" s="137"/>
      <c r="H147" s="641"/>
      <c r="I147" s="323"/>
      <c r="J147" s="323">
        <f>VLOOKUP(A147,'[1]TAB OGU JUN18'!$A:$G,4,"falso")</f>
        <v>0</v>
      </c>
      <c r="K147" s="313"/>
      <c r="L147" s="323">
        <f>VLOOKUP(A147,'[1]TAB OGU JUN18'!$A:$G,5,"falso")</f>
        <v>0</v>
      </c>
      <c r="M147" s="313"/>
      <c r="N147" s="333"/>
      <c r="O147" s="162"/>
    </row>
    <row r="148" spans="1:15" ht="11.25" customHeight="1" x14ac:dyDescent="0.2">
      <c r="A148" s="256" t="s">
        <v>458</v>
      </c>
      <c r="B148" s="834" t="s">
        <v>459</v>
      </c>
      <c r="C148" s="834"/>
      <c r="D148" s="834"/>
      <c r="E148" s="834"/>
      <c r="F148" s="834"/>
      <c r="G148" s="137"/>
      <c r="H148" s="641"/>
      <c r="I148" s="323"/>
      <c r="J148" s="323">
        <f>VLOOKUP(A148,'[1]TAB OGU JUN18'!$A:$G,4,"falso")</f>
        <v>0</v>
      </c>
      <c r="K148" s="313"/>
      <c r="L148" s="323">
        <f>VLOOKUP(A148,'[1]TAB OGU JUN18'!$A:$G,5,"falso")</f>
        <v>0</v>
      </c>
      <c r="M148" s="313"/>
      <c r="N148" s="333"/>
      <c r="O148" s="162"/>
    </row>
    <row r="149" spans="1:15" ht="11.25" customHeight="1" x14ac:dyDescent="0.2">
      <c r="A149" s="256" t="s">
        <v>656</v>
      </c>
      <c r="B149" s="142" t="s">
        <v>655</v>
      </c>
      <c r="C149" s="142"/>
      <c r="D149" s="142"/>
      <c r="E149" s="142"/>
      <c r="F149" s="142"/>
      <c r="G149" s="139" t="s">
        <v>32</v>
      </c>
      <c r="H149" s="189">
        <v>0.84</v>
      </c>
      <c r="I149" s="323">
        <f>VLOOKUP(A149,'[1]TAB OGU JUN18'!$A:$G,6,"falso")</f>
        <v>76.31</v>
      </c>
      <c r="J149" s="323">
        <f>VLOOKUP(A149,'[1]TAB OGU JUN18'!$A:$G,4,"falso")</f>
        <v>32.9</v>
      </c>
      <c r="K149" s="308">
        <f>H149*J149</f>
        <v>27.635999999999999</v>
      </c>
      <c r="L149" s="323">
        <f>VLOOKUP(A149,'[1]TAB OGU JUN18'!$A:$G,5,"falso")</f>
        <v>43.41</v>
      </c>
      <c r="M149" s="308">
        <f>H149*L149</f>
        <v>36.464399999999998</v>
      </c>
      <c r="N149" s="308">
        <f>H149*I149</f>
        <v>64.100399999999993</v>
      </c>
      <c r="O149" s="424">
        <f>N149/N151</f>
        <v>1</v>
      </c>
    </row>
    <row r="150" spans="1:15" ht="11.25" customHeight="1" x14ac:dyDescent="0.2">
      <c r="A150" s="292"/>
      <c r="B150" s="254"/>
      <c r="C150" s="254"/>
      <c r="D150" s="254"/>
      <c r="E150" s="254"/>
      <c r="F150" s="254"/>
      <c r="G150" s="164"/>
      <c r="H150" s="293"/>
      <c r="I150" s="323"/>
      <c r="J150" s="323" t="e">
        <f>VLOOKUP(A150,'[1]TAB OGU JUN18'!$A:$G,4,"falso")</f>
        <v>#N/A</v>
      </c>
      <c r="K150" s="313"/>
      <c r="L150" s="323" t="e">
        <f>VLOOKUP(A150,'[1]TAB OGU JUN18'!$A:$G,5,"falso")</f>
        <v>#N/A</v>
      </c>
      <c r="M150" s="313"/>
      <c r="N150" s="293"/>
      <c r="O150" s="320"/>
    </row>
    <row r="151" spans="1:15" ht="11.25" customHeight="1" x14ac:dyDescent="0.2">
      <c r="A151" s="291"/>
      <c r="B151" s="155" t="s">
        <v>18</v>
      </c>
      <c r="C151" s="160"/>
      <c r="D151" s="160"/>
      <c r="E151" s="160"/>
      <c r="F151" s="144"/>
      <c r="G151" s="161"/>
      <c r="H151" s="656"/>
      <c r="I151" s="582"/>
      <c r="J151" s="323" t="e">
        <f>VLOOKUP(A151,'[1]TAB OGU JUN18'!$A:$G,4,"falso")</f>
        <v>#N/A</v>
      </c>
      <c r="K151" s="334"/>
      <c r="L151" s="323" t="e">
        <f>VLOOKUP(A151,'[1]TAB OGU JUN18'!$A:$G,5,"falso")</f>
        <v>#N/A</v>
      </c>
      <c r="M151" s="334"/>
      <c r="N151" s="315">
        <f>SUM(N149:N150)</f>
        <v>64.100399999999993</v>
      </c>
      <c r="O151" s="301">
        <f>N151/N153</f>
        <v>1</v>
      </c>
    </row>
    <row r="152" spans="1:15" ht="11.25" customHeight="1" x14ac:dyDescent="0.2">
      <c r="A152" s="291"/>
      <c r="B152" s="834"/>
      <c r="C152" s="834"/>
      <c r="D152" s="834"/>
      <c r="E152" s="834"/>
      <c r="F152" s="834"/>
      <c r="G152" s="137"/>
      <c r="H152" s="641"/>
      <c r="I152" s="323"/>
      <c r="J152" s="323" t="e">
        <f>VLOOKUP(A152,'[1]TAB OGU JUN18'!$A:$G,4,"falso")</f>
        <v>#N/A</v>
      </c>
      <c r="K152" s="313"/>
      <c r="L152" s="323" t="e">
        <f>VLOOKUP(A152,'[1]TAB OGU JUN18'!$A:$G,5,"falso")</f>
        <v>#N/A</v>
      </c>
      <c r="M152" s="313"/>
      <c r="N152" s="189"/>
      <c r="O152" s="300"/>
    </row>
    <row r="153" spans="1:15" s="132" customFormat="1" ht="11.25" customHeight="1" x14ac:dyDescent="0.2">
      <c r="A153" s="294"/>
      <c r="B153" s="165" t="s">
        <v>20</v>
      </c>
      <c r="C153" s="166"/>
      <c r="D153" s="166"/>
      <c r="E153" s="166"/>
      <c r="F153" s="167"/>
      <c r="G153" s="168"/>
      <c r="H153" s="659"/>
      <c r="I153" s="582"/>
      <c r="J153" s="323" t="e">
        <f>VLOOKUP(A153,'[1]TAB OGU JUN18'!$A:$G,4,"falso")</f>
        <v>#N/A</v>
      </c>
      <c r="K153" s="368"/>
      <c r="L153" s="323" t="e">
        <f>VLOOKUP(A153,'[1]TAB OGU JUN18'!$A:$G,5,"falso")</f>
        <v>#N/A</v>
      </c>
      <c r="M153" s="368"/>
      <c r="N153" s="369">
        <f>N151</f>
        <v>64.100399999999993</v>
      </c>
      <c r="O153" s="321">
        <f>N153/N176</f>
        <v>1.0566645000716717E-3</v>
      </c>
    </row>
    <row r="154" spans="1:15" ht="11.25" customHeight="1" x14ac:dyDescent="0.2">
      <c r="A154" s="291"/>
      <c r="B154" s="834"/>
      <c r="C154" s="834"/>
      <c r="D154" s="834"/>
      <c r="E154" s="834"/>
      <c r="F154" s="834"/>
      <c r="G154" s="137"/>
      <c r="H154" s="641"/>
      <c r="I154" s="323"/>
      <c r="J154" s="323" t="e">
        <f>VLOOKUP(A154,'[1]TAB OGU JUN18'!$A:$G,4,"falso")</f>
        <v>#N/A</v>
      </c>
      <c r="K154" s="313"/>
      <c r="L154" s="323" t="e">
        <f>VLOOKUP(A154,'[1]TAB OGU JUN18'!$A:$G,5,"falso")</f>
        <v>#N/A</v>
      </c>
      <c r="M154" s="313"/>
      <c r="N154" s="189"/>
      <c r="O154" s="300"/>
    </row>
    <row r="155" spans="1:15" ht="11.25" customHeight="1" x14ac:dyDescent="0.2">
      <c r="A155" s="256">
        <v>16</v>
      </c>
      <c r="B155" s="834" t="s">
        <v>172</v>
      </c>
      <c r="C155" s="834"/>
      <c r="D155" s="834"/>
      <c r="E155" s="834"/>
      <c r="F155" s="834"/>
      <c r="G155" s="137"/>
      <c r="H155" s="641"/>
      <c r="I155" s="323"/>
      <c r="J155" s="323" t="e">
        <f>VLOOKUP(A155,'[1]TAB OGU JUN18'!$A:$G,4,"falso")</f>
        <v>#N/A</v>
      </c>
      <c r="K155" s="313"/>
      <c r="L155" s="323" t="e">
        <f>VLOOKUP(A155,'[1]TAB OGU JUN18'!$A:$G,5,"falso")</f>
        <v>#N/A</v>
      </c>
      <c r="M155" s="313"/>
      <c r="N155" s="333"/>
      <c r="O155" s="162"/>
    </row>
    <row r="156" spans="1:15" ht="11.25" customHeight="1" x14ac:dyDescent="0.2">
      <c r="A156" s="98" t="s">
        <v>469</v>
      </c>
      <c r="B156" s="88" t="s">
        <v>470</v>
      </c>
      <c r="G156" s="97"/>
      <c r="H156" s="308"/>
      <c r="I156" s="323"/>
      <c r="J156" s="323">
        <f>VLOOKUP(A156,'[1]TAB OGU JUN18'!$A:$G,4,"falso")</f>
        <v>0</v>
      </c>
      <c r="K156" s="308"/>
      <c r="L156" s="323">
        <f>VLOOKUP(A156,'[1]TAB OGU JUN18'!$A:$G,5,"falso")</f>
        <v>0</v>
      </c>
      <c r="M156" s="308"/>
      <c r="N156" s="308"/>
      <c r="O156" s="25"/>
    </row>
    <row r="157" spans="1:15" ht="11.25" customHeight="1" x14ac:dyDescent="0.2">
      <c r="A157" s="98" t="s">
        <v>471</v>
      </c>
      <c r="B157" s="834" t="s">
        <v>472</v>
      </c>
      <c r="C157" s="834"/>
      <c r="D157" s="834"/>
      <c r="E157" s="834"/>
      <c r="F157" s="834"/>
      <c r="G157" s="97" t="s">
        <v>31</v>
      </c>
      <c r="H157" s="308">
        <v>3.6</v>
      </c>
      <c r="I157" s="323">
        <f>VLOOKUP(A157,'[1]TAB OGU JUN18'!$A:$G,6,"falso")</f>
        <v>697.39</v>
      </c>
      <c r="J157" s="323">
        <f>VLOOKUP(A157,'[1]TAB OGU JUN18'!$A:$G,4,"falso")</f>
        <v>67.39</v>
      </c>
      <c r="K157" s="308">
        <f>H157*J157</f>
        <v>242.60400000000001</v>
      </c>
      <c r="L157" s="323">
        <f>VLOOKUP(A157,'[1]TAB OGU JUN18'!$A:$G,5,"falso")</f>
        <v>630</v>
      </c>
      <c r="M157" s="308">
        <f>H157*L157</f>
        <v>2268</v>
      </c>
      <c r="N157" s="308">
        <f>H157*I157</f>
        <v>2510.6039999999998</v>
      </c>
      <c r="O157" s="25">
        <f>N157/N159</f>
        <v>1</v>
      </c>
    </row>
    <row r="158" spans="1:15" ht="11.25" customHeight="1" x14ac:dyDescent="0.2">
      <c r="B158" s="130"/>
      <c r="G158" s="52"/>
      <c r="H158" s="324"/>
      <c r="I158" s="323"/>
      <c r="J158" s="323" t="e">
        <f>VLOOKUP(A158,'[1]TAB OGU JUN18'!$A:$G,4,"falso")</f>
        <v>#N/A</v>
      </c>
      <c r="K158" s="313"/>
      <c r="L158" s="323" t="e">
        <f>VLOOKUP(A158,'[1]TAB OGU JUN18'!$A:$G,5,"falso")</f>
        <v>#N/A</v>
      </c>
      <c r="M158" s="313"/>
      <c r="N158" s="308"/>
      <c r="O158" s="25"/>
    </row>
    <row r="159" spans="1:15" ht="11.25" customHeight="1" x14ac:dyDescent="0.2">
      <c r="B159" s="130" t="s">
        <v>18</v>
      </c>
      <c r="C159" s="131"/>
      <c r="D159" s="131"/>
      <c r="E159" s="131"/>
      <c r="F159" s="131"/>
      <c r="G159" s="53"/>
      <c r="H159" s="325"/>
      <c r="I159" s="582"/>
      <c r="J159" s="323" t="e">
        <f>VLOOKUP(A159,'[1]TAB OGU JUN18'!$A:$G,4,"falso")</f>
        <v>#N/A</v>
      </c>
      <c r="K159" s="326"/>
      <c r="L159" s="323" t="e">
        <f>VLOOKUP(A159,'[1]TAB OGU JUN18'!$A:$G,5,"falso")</f>
        <v>#N/A</v>
      </c>
      <c r="M159" s="326"/>
      <c r="N159" s="308">
        <f>N157</f>
        <v>2510.6039999999998</v>
      </c>
      <c r="O159" s="25">
        <f>N159/N166</f>
        <v>0.98323652154297314</v>
      </c>
    </row>
    <row r="160" spans="1:15" ht="11.25" customHeight="1" x14ac:dyDescent="0.2">
      <c r="A160" s="291"/>
      <c r="B160" s="834"/>
      <c r="C160" s="834"/>
      <c r="D160" s="834"/>
      <c r="E160" s="834"/>
      <c r="F160" s="834"/>
      <c r="G160" s="137"/>
      <c r="H160" s="641"/>
      <c r="I160" s="323"/>
      <c r="J160" s="323" t="e">
        <f>VLOOKUP(A160,'[1]TAB OGU JUN18'!$A:$G,4,"falso")</f>
        <v>#N/A</v>
      </c>
      <c r="K160" s="313"/>
      <c r="L160" s="323" t="e">
        <f>VLOOKUP(A160,'[1]TAB OGU JUN18'!$A:$G,5,"falso")</f>
        <v>#N/A</v>
      </c>
      <c r="M160" s="313"/>
      <c r="N160" s="189"/>
      <c r="O160" s="300"/>
    </row>
    <row r="161" spans="1:16" ht="11.25" customHeight="1" x14ac:dyDescent="0.2">
      <c r="A161" s="98" t="s">
        <v>170</v>
      </c>
      <c r="B161" s="88" t="s">
        <v>173</v>
      </c>
      <c r="G161" s="97"/>
      <c r="H161" s="308"/>
      <c r="I161" s="323"/>
      <c r="J161" s="323">
        <f>VLOOKUP(A161,'[1]TAB OGU JUN18'!$A:$G,4,"falso")</f>
        <v>0</v>
      </c>
      <c r="K161" s="308"/>
      <c r="L161" s="323">
        <f>VLOOKUP(A161,'[1]TAB OGU JUN18'!$A:$G,5,"falso")</f>
        <v>0</v>
      </c>
      <c r="M161" s="308"/>
      <c r="N161" s="308"/>
      <c r="O161" s="25"/>
    </row>
    <row r="162" spans="1:16" ht="11.25" customHeight="1" x14ac:dyDescent="0.2">
      <c r="A162" s="98" t="s">
        <v>480</v>
      </c>
      <c r="B162" s="834" t="s">
        <v>481</v>
      </c>
      <c r="C162" s="834"/>
      <c r="D162" s="834"/>
      <c r="E162" s="834"/>
      <c r="F162" s="834"/>
      <c r="G162" s="97" t="s">
        <v>31</v>
      </c>
      <c r="H162" s="308">
        <f>H14</f>
        <v>17.399999999999999</v>
      </c>
      <c r="I162" s="323">
        <f>VLOOKUP(A162,'[1]TAB OGU JUN18'!$A:$G,6,"falso")</f>
        <v>2.46</v>
      </c>
      <c r="J162" s="323">
        <f>VLOOKUP(A162,'[1]TAB OGU JUN18'!$A:$G,4,"falso")</f>
        <v>2.34</v>
      </c>
      <c r="K162" s="308"/>
      <c r="L162" s="323">
        <f>VLOOKUP(A162,'[1]TAB OGU JUN18'!$A:$G,5,"falso")</f>
        <v>0.12</v>
      </c>
      <c r="M162" s="308">
        <f>H162*L162</f>
        <v>2.0879999999999996</v>
      </c>
      <c r="N162" s="308">
        <f>H162*I162</f>
        <v>42.803999999999995</v>
      </c>
      <c r="O162" s="25">
        <f>N162/N164</f>
        <v>1</v>
      </c>
    </row>
    <row r="163" spans="1:16" ht="11.25" customHeight="1" x14ac:dyDescent="0.2">
      <c r="B163" s="130"/>
      <c r="G163" s="52"/>
      <c r="H163" s="324"/>
      <c r="I163" s="313"/>
      <c r="J163" s="313"/>
      <c r="K163" s="313"/>
      <c r="L163" s="313"/>
      <c r="M163" s="313"/>
      <c r="N163" s="308"/>
      <c r="O163" s="25"/>
    </row>
    <row r="164" spans="1:16" ht="11.25" customHeight="1" x14ac:dyDescent="0.2">
      <c r="B164" s="130" t="s">
        <v>18</v>
      </c>
      <c r="C164" s="131"/>
      <c r="D164" s="131"/>
      <c r="E164" s="131"/>
      <c r="F164" s="131"/>
      <c r="G164" s="53"/>
      <c r="H164" s="325"/>
      <c r="I164" s="326"/>
      <c r="J164" s="326"/>
      <c r="K164" s="326"/>
      <c r="L164" s="326"/>
      <c r="M164" s="326"/>
      <c r="N164" s="308">
        <f>N162</f>
        <v>42.803999999999995</v>
      </c>
      <c r="O164" s="25">
        <f>N164/N166</f>
        <v>1.6763478457026842E-2</v>
      </c>
    </row>
    <row r="165" spans="1:16" ht="11.25" customHeight="1" x14ac:dyDescent="0.2">
      <c r="A165" s="291"/>
      <c r="B165" s="834"/>
      <c r="C165" s="834"/>
      <c r="D165" s="834"/>
      <c r="E165" s="834"/>
      <c r="F165" s="834"/>
      <c r="G165" s="137"/>
      <c r="H165" s="641"/>
      <c r="I165" s="333"/>
      <c r="J165" s="313"/>
      <c r="K165" s="313"/>
      <c r="L165" s="313"/>
      <c r="M165" s="313"/>
      <c r="N165" s="189"/>
      <c r="O165" s="300"/>
    </row>
    <row r="166" spans="1:16" s="132" customFormat="1" ht="11.25" customHeight="1" x14ac:dyDescent="0.2">
      <c r="A166" s="145"/>
      <c r="B166" s="133" t="s">
        <v>20</v>
      </c>
      <c r="C166" s="134"/>
      <c r="D166" s="134"/>
      <c r="E166" s="134"/>
      <c r="F166" s="134"/>
      <c r="G166" s="78"/>
      <c r="H166" s="327"/>
      <c r="I166" s="328"/>
      <c r="J166" s="328"/>
      <c r="K166" s="328"/>
      <c r="L166" s="328"/>
      <c r="M166" s="328"/>
      <c r="N166" s="310">
        <f>N164+N159</f>
        <v>2553.4079999999999</v>
      </c>
      <c r="O166" s="77">
        <f>N166/N176</f>
        <v>4.2091712185867908E-2</v>
      </c>
    </row>
    <row r="167" spans="1:16" ht="11.25" customHeight="1" x14ac:dyDescent="0.2">
      <c r="A167" s="291"/>
      <c r="B167" s="834"/>
      <c r="C167" s="834"/>
      <c r="D167" s="834"/>
      <c r="E167" s="834"/>
      <c r="F167" s="834"/>
      <c r="G167" s="137"/>
      <c r="H167" s="641"/>
      <c r="I167" s="333"/>
      <c r="J167" s="313"/>
      <c r="K167" s="313"/>
      <c r="L167" s="313"/>
      <c r="M167" s="313"/>
      <c r="N167" s="189"/>
      <c r="O167" s="300"/>
    </row>
    <row r="168" spans="1:16" ht="11.25" customHeight="1" x14ac:dyDescent="0.2">
      <c r="A168" s="256"/>
      <c r="B168" s="834" t="s">
        <v>557</v>
      </c>
      <c r="C168" s="834"/>
      <c r="D168" s="834"/>
      <c r="E168" s="834"/>
      <c r="F168" s="834"/>
      <c r="G168" s="137"/>
      <c r="H168" s="641"/>
      <c r="I168" s="333"/>
      <c r="J168" s="313"/>
      <c r="K168" s="313"/>
      <c r="L168" s="313"/>
      <c r="M168" s="313"/>
      <c r="N168" s="333"/>
      <c r="O168" s="162"/>
    </row>
    <row r="169" spans="1:16" ht="11.25" customHeight="1" x14ac:dyDescent="0.2">
      <c r="A169" s="98" t="s">
        <v>546</v>
      </c>
      <c r="B169" s="88" t="s">
        <v>547</v>
      </c>
      <c r="G169" s="97"/>
      <c r="H169" s="308"/>
      <c r="I169" s="308"/>
      <c r="J169" s="308"/>
      <c r="K169" s="308"/>
      <c r="L169" s="308"/>
      <c r="M169" s="308"/>
      <c r="N169" s="308"/>
      <c r="O169" s="25"/>
    </row>
    <row r="170" spans="1:16" ht="11.25" customHeight="1" x14ac:dyDescent="0.2">
      <c r="A170" s="98" t="s">
        <v>548</v>
      </c>
      <c r="B170" s="834" t="s">
        <v>549</v>
      </c>
      <c r="C170" s="834"/>
      <c r="D170" s="834"/>
      <c r="E170" s="834"/>
      <c r="F170" s="834"/>
      <c r="G170" s="97" t="s">
        <v>32</v>
      </c>
      <c r="H170" s="308">
        <v>0.18</v>
      </c>
      <c r="I170" s="323">
        <v>450.27</v>
      </c>
      <c r="J170" s="323">
        <v>129.91999999999999</v>
      </c>
      <c r="K170" s="308">
        <f>H170*J170</f>
        <v>23.385599999999997</v>
      </c>
      <c r="L170" s="323">
        <v>320.35000000000002</v>
      </c>
      <c r="M170" s="308">
        <f>H170*L170</f>
        <v>57.663000000000004</v>
      </c>
      <c r="N170" s="308">
        <f>H170*I170</f>
        <v>81.048599999999993</v>
      </c>
      <c r="O170" s="25">
        <f>N170/N172</f>
        <v>1</v>
      </c>
    </row>
    <row r="171" spans="1:16" ht="11.25" customHeight="1" x14ac:dyDescent="0.2">
      <c r="B171" s="130"/>
      <c r="G171" s="52"/>
      <c r="H171" s="324"/>
      <c r="I171" s="313"/>
      <c r="J171" s="313"/>
      <c r="K171" s="313"/>
      <c r="L171" s="313"/>
      <c r="M171" s="313"/>
      <c r="N171" s="308"/>
      <c r="O171" s="25"/>
    </row>
    <row r="172" spans="1:16" ht="11.25" customHeight="1" x14ac:dyDescent="0.2">
      <c r="B172" s="130" t="s">
        <v>18</v>
      </c>
      <c r="C172" s="131"/>
      <c r="D172" s="131"/>
      <c r="E172" s="131"/>
      <c r="F172" s="131"/>
      <c r="G172" s="53"/>
      <c r="H172" s="325"/>
      <c r="I172" s="326"/>
      <c r="J172" s="326"/>
      <c r="K172" s="326"/>
      <c r="L172" s="326"/>
      <c r="M172" s="326"/>
      <c r="N172" s="308">
        <f>N170</f>
        <v>81.048599999999993</v>
      </c>
      <c r="O172" s="25">
        <f>N172/N174</f>
        <v>1</v>
      </c>
    </row>
    <row r="173" spans="1:16" ht="11.25" customHeight="1" x14ac:dyDescent="0.2">
      <c r="A173" s="98"/>
      <c r="B173" s="88"/>
      <c r="G173" s="97"/>
      <c r="H173" s="308"/>
      <c r="I173" s="308"/>
      <c r="J173" s="308"/>
      <c r="K173" s="308"/>
      <c r="L173" s="308"/>
      <c r="M173" s="308"/>
      <c r="N173" s="308"/>
      <c r="O173" s="25"/>
    </row>
    <row r="174" spans="1:16" s="132" customFormat="1" ht="11.25" customHeight="1" x14ac:dyDescent="0.2">
      <c r="A174" s="145"/>
      <c r="B174" s="133" t="s">
        <v>20</v>
      </c>
      <c r="C174" s="134"/>
      <c r="D174" s="134"/>
      <c r="E174" s="134"/>
      <c r="F174" s="134"/>
      <c r="G174" s="78"/>
      <c r="H174" s="327"/>
      <c r="I174" s="328"/>
      <c r="J174" s="328"/>
      <c r="K174" s="328"/>
      <c r="L174" s="328"/>
      <c r="M174" s="328"/>
      <c r="N174" s="310">
        <f>N172</f>
        <v>81.048599999999993</v>
      </c>
      <c r="O174" s="77">
        <f>N174/N176</f>
        <v>1.336047488011134E-3</v>
      </c>
    </row>
    <row r="175" spans="1:16" ht="6.75" customHeight="1" x14ac:dyDescent="0.2">
      <c r="A175" s="98"/>
      <c r="B175" s="88"/>
      <c r="G175" s="97"/>
      <c r="H175" s="308"/>
      <c r="I175" s="308"/>
      <c r="J175" s="308"/>
      <c r="K175" s="308"/>
      <c r="L175" s="308"/>
      <c r="M175" s="308"/>
      <c r="N175" s="308"/>
      <c r="O175" s="25"/>
    </row>
    <row r="176" spans="1:16" ht="11.25" customHeight="1" x14ac:dyDescent="0.2">
      <c r="A176" s="206"/>
      <c r="B176" s="147" t="s">
        <v>30</v>
      </c>
      <c r="C176" s="146"/>
      <c r="D176" s="146"/>
      <c r="E176" s="146"/>
      <c r="F176" s="146"/>
      <c r="G176" s="146"/>
      <c r="H176" s="342"/>
      <c r="I176" s="345"/>
      <c r="J176" s="345"/>
      <c r="K176" s="285">
        <f>SUM(K14:K175)</f>
        <v>28680.204391065094</v>
      </c>
      <c r="L176" s="285"/>
      <c r="M176" s="285">
        <f>SUM(M14:M175)</f>
        <v>31942.043109319526</v>
      </c>
      <c r="N176" s="316">
        <f>N56+N23+N145+N117+N109+N166+N64+N153+N174</f>
        <v>60662.963500384627</v>
      </c>
      <c r="O176" s="29"/>
      <c r="P176" s="149"/>
    </row>
    <row r="177" spans="1:16" ht="6.75" customHeight="1" x14ac:dyDescent="0.2">
      <c r="H177" s="311"/>
      <c r="I177" s="311"/>
      <c r="J177" s="311"/>
      <c r="K177" s="311"/>
      <c r="L177" s="311"/>
      <c r="M177" s="311"/>
      <c r="N177" s="311"/>
      <c r="P177" s="149"/>
    </row>
    <row r="178" spans="1:16" ht="11.25" customHeight="1" x14ac:dyDescent="0.2">
      <c r="A178" s="206"/>
      <c r="B178" s="147" t="s">
        <v>265</v>
      </c>
      <c r="C178" s="146"/>
      <c r="D178" s="146"/>
      <c r="E178" s="146"/>
      <c r="F178" s="146"/>
      <c r="G178" s="146"/>
      <c r="H178" s="342"/>
      <c r="I178" s="345"/>
      <c r="J178" s="345"/>
      <c r="K178" s="285">
        <f>K176+(K176*O5)</f>
        <v>36590.204762120848</v>
      </c>
      <c r="L178" s="285"/>
      <c r="M178" s="285">
        <f>M176+(M176*O7)</f>
        <v>37602.173148290945</v>
      </c>
      <c r="N178" s="316">
        <f>M178+K178</f>
        <v>74192.3779104118</v>
      </c>
      <c r="O178" s="29">
        <f>N178/RESUMO!H95</f>
        <v>1.0245465500970734E-2</v>
      </c>
      <c r="P178" s="149"/>
    </row>
    <row r="183" spans="1:16" s="150" customFormat="1" ht="11.25" customHeight="1" x14ac:dyDescent="0.2">
      <c r="A183" s="156"/>
      <c r="B183" s="51"/>
      <c r="C183" s="51"/>
      <c r="D183" s="51"/>
      <c r="E183" s="51"/>
      <c r="F183" s="51"/>
      <c r="G183" s="51"/>
      <c r="H183" s="51"/>
      <c r="I183" s="51"/>
      <c r="J183" s="51"/>
      <c r="K183" s="51"/>
      <c r="L183" s="51"/>
      <c r="M183" s="51"/>
      <c r="N183" s="51"/>
      <c r="O183" s="52"/>
    </row>
    <row r="184" spans="1:16" s="150" customFormat="1" ht="11.25" customHeight="1" x14ac:dyDescent="0.2">
      <c r="A184" s="156"/>
      <c r="B184" s="51"/>
      <c r="C184" s="51"/>
      <c r="D184" s="51"/>
      <c r="E184" s="51"/>
      <c r="F184" s="51"/>
      <c r="G184" s="51"/>
      <c r="H184" s="51"/>
      <c r="I184" s="51"/>
      <c r="J184" s="51"/>
      <c r="K184" s="51"/>
      <c r="L184" s="51"/>
      <c r="M184" s="51"/>
      <c r="N184" s="51"/>
      <c r="O184" s="52"/>
    </row>
  </sheetData>
  <mergeCells count="57">
    <mergeCell ref="B170:F170"/>
    <mergeCell ref="B154:F154"/>
    <mergeCell ref="B167:F167"/>
    <mergeCell ref="B168:F168"/>
    <mergeCell ref="B136:F136"/>
    <mergeCell ref="B139:F139"/>
    <mergeCell ref="B140:F140"/>
    <mergeCell ref="B141:F141"/>
    <mergeCell ref="B144:F144"/>
    <mergeCell ref="B146:F146"/>
    <mergeCell ref="B155:F155"/>
    <mergeCell ref="B157:F157"/>
    <mergeCell ref="B160:F160"/>
    <mergeCell ref="B162:F162"/>
    <mergeCell ref="B165:F165"/>
    <mergeCell ref="B147:F147"/>
    <mergeCell ref="B148:F148"/>
    <mergeCell ref="B152:F152"/>
    <mergeCell ref="B135:F135"/>
    <mergeCell ref="B112:F112"/>
    <mergeCell ref="B113:F113"/>
    <mergeCell ref="B116:F116"/>
    <mergeCell ref="B118:F118"/>
    <mergeCell ref="B119:F119"/>
    <mergeCell ref="B120:F120"/>
    <mergeCell ref="B121:F121"/>
    <mergeCell ref="B125:F125"/>
    <mergeCell ref="B126:F126"/>
    <mergeCell ref="B130:F130"/>
    <mergeCell ref="B131:F131"/>
    <mergeCell ref="B111:F111"/>
    <mergeCell ref="B89:F89"/>
    <mergeCell ref="B93:F93"/>
    <mergeCell ref="B94:F94"/>
    <mergeCell ref="B97:F97"/>
    <mergeCell ref="B98:F98"/>
    <mergeCell ref="B99:F99"/>
    <mergeCell ref="B102:F102"/>
    <mergeCell ref="B103:F103"/>
    <mergeCell ref="B104:F104"/>
    <mergeCell ref="B105:F105"/>
    <mergeCell ref="B108:F108"/>
    <mergeCell ref="B88:F88"/>
    <mergeCell ref="A2:O2"/>
    <mergeCell ref="N4:O4"/>
    <mergeCell ref="A5:B6"/>
    <mergeCell ref="B26:F26"/>
    <mergeCell ref="B31:F31"/>
    <mergeCell ref="B66:F66"/>
    <mergeCell ref="B67:F67"/>
    <mergeCell ref="B77:F77"/>
    <mergeCell ref="B78:F78"/>
    <mergeCell ref="B82:F82"/>
    <mergeCell ref="B83:F83"/>
    <mergeCell ref="B72:F72"/>
    <mergeCell ref="B84:F84"/>
    <mergeCell ref="B68:F68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rowBreaks count="1" manualBreakCount="1">
    <brk id="24" max="14" man="1"/>
  </rowBreaks>
  <legacyDrawingHF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Planilha13">
    <tabColor theme="6" tint="0.39997558519241921"/>
    <pageSetUpPr fitToPage="1"/>
  </sheetPr>
  <dimension ref="A1:P72"/>
  <sheetViews>
    <sheetView view="pageBreakPreview" zoomScale="90" zoomScaleNormal="90" zoomScaleSheetLayoutView="90" workbookViewId="0">
      <selection activeCell="Q69" sqref="Q69"/>
    </sheetView>
  </sheetViews>
  <sheetFormatPr defaultColWidth="11.42578125" defaultRowHeight="11.25" customHeight="1" x14ac:dyDescent="0.2"/>
  <cols>
    <col min="1" max="5" width="11.42578125" style="51"/>
    <col min="6" max="6" width="28.5703125" style="51" customWidth="1"/>
    <col min="7" max="8" width="11.42578125" style="51" customWidth="1"/>
    <col min="9" max="9" width="8.140625" style="51" bestFit="1" customWidth="1"/>
    <col min="10" max="10" width="5.140625" style="51" hidden="1" customWidth="1"/>
    <col min="11" max="11" width="14.28515625" style="51" customWidth="1"/>
    <col min="12" max="12" width="7.42578125" style="51" hidden="1" customWidth="1"/>
    <col min="13" max="13" width="14.28515625" style="51" customWidth="1"/>
    <col min="14" max="14" width="17.140625" style="51" customWidth="1"/>
    <col min="15" max="15" width="11.42578125" style="52" customWidth="1"/>
    <col min="16" max="16384" width="11.42578125" style="51"/>
  </cols>
  <sheetData>
    <row r="1" spans="1:15" ht="6.75" customHeight="1" x14ac:dyDescent="0.2"/>
    <row r="2" spans="1:15" ht="11.25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5" ht="6.7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95"/>
    </row>
    <row r="4" spans="1:15" ht="11.25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5" ht="11.25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5" ht="11.25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5" ht="11.25" customHeight="1" x14ac:dyDescent="0.2">
      <c r="A7" s="253"/>
      <c r="B7" s="253"/>
      <c r="C7" s="260" t="s">
        <v>6</v>
      </c>
      <c r="D7" s="263" t="str">
        <f>RESUMO!A47</f>
        <v>U.C. : 13</v>
      </c>
      <c r="E7" s="258"/>
      <c r="F7" s="258"/>
      <c r="G7" s="260" t="s">
        <v>9</v>
      </c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5" ht="11.25" customHeight="1" thickBot="1" x14ac:dyDescent="0.25">
      <c r="A8" s="124"/>
      <c r="B8" s="125"/>
      <c r="C8" s="266" t="s">
        <v>8</v>
      </c>
      <c r="D8" s="267" t="str">
        <f>RESUMO!B47</f>
        <v>ESTAÇÃO DE TRATAMENTO DE ESGOTO - ETE</v>
      </c>
      <c r="E8" s="268"/>
      <c r="F8" s="268"/>
      <c r="G8" s="266"/>
      <c r="H8" s="123"/>
      <c r="I8" s="278"/>
      <c r="J8" s="278"/>
      <c r="K8" s="278"/>
      <c r="L8" s="278"/>
      <c r="M8" s="278" t="s">
        <v>654</v>
      </c>
      <c r="N8" s="271"/>
      <c r="O8" s="427"/>
    </row>
    <row r="9" spans="1:15" ht="11.25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5" ht="6.75" customHeight="1" x14ac:dyDescent="0.2">
      <c r="O10" s="19"/>
    </row>
    <row r="11" spans="1:15" ht="11.25" customHeight="1" x14ac:dyDescent="0.2">
      <c r="A11" s="93">
        <f>RESUMO!A56</f>
        <v>9</v>
      </c>
      <c r="B11" s="93" t="str">
        <f>RESUMO!B56</f>
        <v>DESARENADOR - MATERIAIS</v>
      </c>
      <c r="O11" s="19"/>
    </row>
    <row r="12" spans="1:15" ht="11.25" customHeight="1" x14ac:dyDescent="0.2">
      <c r="A12" s="182">
        <v>21</v>
      </c>
      <c r="B12" s="834" t="s">
        <v>672</v>
      </c>
      <c r="C12" s="834"/>
      <c r="D12" s="834"/>
      <c r="E12" s="834"/>
      <c r="F12" s="834"/>
      <c r="G12" s="137"/>
      <c r="H12" s="137"/>
      <c r="I12" s="137"/>
      <c r="N12" s="317"/>
      <c r="O12" s="68"/>
    </row>
    <row r="13" spans="1:15" ht="11.25" customHeight="1" x14ac:dyDescent="0.2">
      <c r="A13" s="182">
        <v>2103</v>
      </c>
      <c r="B13" s="834" t="s">
        <v>482</v>
      </c>
      <c r="C13" s="834"/>
      <c r="D13" s="834"/>
      <c r="E13" s="834"/>
      <c r="F13" s="834"/>
      <c r="G13" s="137"/>
      <c r="H13" s="640"/>
      <c r="I13" s="137"/>
      <c r="N13" s="317"/>
      <c r="O13" s="68"/>
    </row>
    <row r="14" spans="1:15" ht="11.25" customHeight="1" x14ac:dyDescent="0.2">
      <c r="A14" s="140" t="s">
        <v>484</v>
      </c>
      <c r="B14" s="834" t="s">
        <v>485</v>
      </c>
      <c r="C14" s="834"/>
      <c r="D14" s="834"/>
      <c r="E14" s="834"/>
      <c r="F14" s="834"/>
      <c r="G14" s="139" t="s">
        <v>483</v>
      </c>
      <c r="H14" s="189">
        <v>36</v>
      </c>
      <c r="I14" s="323">
        <f>VLOOKUP(A14,'[1]TAB OGU JUN18'!$A:$G,6,"falso")</f>
        <v>29.78</v>
      </c>
      <c r="J14" s="314"/>
      <c r="K14" s="314"/>
      <c r="L14" s="323">
        <f>VLOOKUP(A14,'[1]TAB OGU JUN18'!$A:$G,5,"falso")</f>
        <v>29.78</v>
      </c>
      <c r="M14" s="308">
        <f>H14*L14</f>
        <v>1072.08</v>
      </c>
      <c r="N14" s="189">
        <f>H14*I14</f>
        <v>1072.08</v>
      </c>
      <c r="O14" s="68">
        <f>N14/N16</f>
        <v>1</v>
      </c>
    </row>
    <row r="15" spans="1:15" ht="11.25" customHeight="1" x14ac:dyDescent="0.2">
      <c r="A15" s="182"/>
      <c r="B15" s="138"/>
      <c r="C15" s="138"/>
      <c r="D15" s="138"/>
      <c r="E15" s="138"/>
      <c r="F15" s="138"/>
      <c r="G15" s="139"/>
      <c r="H15" s="189"/>
      <c r="I15" s="189"/>
      <c r="J15" s="313"/>
      <c r="K15" s="313"/>
      <c r="L15" s="313"/>
      <c r="M15" s="313"/>
      <c r="N15" s="189"/>
      <c r="O15" s="171"/>
    </row>
    <row r="16" spans="1:15" ht="11.25" customHeight="1" x14ac:dyDescent="0.2">
      <c r="A16" s="137"/>
      <c r="B16" s="142" t="s">
        <v>18</v>
      </c>
      <c r="C16" s="143"/>
      <c r="D16" s="143"/>
      <c r="E16" s="143"/>
      <c r="F16" s="143"/>
      <c r="G16" s="173"/>
      <c r="H16" s="663"/>
      <c r="I16" s="335"/>
      <c r="J16" s="335"/>
      <c r="K16" s="335"/>
      <c r="L16" s="335"/>
      <c r="M16" s="335"/>
      <c r="N16" s="189">
        <f>SUM(N14:N15)</f>
        <v>1072.08</v>
      </c>
      <c r="O16" s="68">
        <f>N16/N18</f>
        <v>1</v>
      </c>
    </row>
    <row r="17" spans="1:15" ht="11.25" customHeight="1" x14ac:dyDescent="0.2">
      <c r="A17" s="137"/>
      <c r="B17" s="138"/>
      <c r="C17" s="138"/>
      <c r="D17" s="138"/>
      <c r="E17" s="138"/>
      <c r="F17" s="138"/>
      <c r="G17" s="162"/>
      <c r="H17" s="641"/>
      <c r="I17" s="333"/>
      <c r="J17" s="313"/>
      <c r="K17" s="313"/>
      <c r="L17" s="313"/>
      <c r="M17" s="313"/>
      <c r="N17" s="189"/>
      <c r="O17" s="171"/>
    </row>
    <row r="18" spans="1:15" s="132" customFormat="1" ht="11.25" customHeight="1" x14ac:dyDescent="0.2">
      <c r="A18" s="318"/>
      <c r="B18" s="175" t="s">
        <v>20</v>
      </c>
      <c r="C18" s="176"/>
      <c r="D18" s="176"/>
      <c r="E18" s="176"/>
      <c r="F18" s="176"/>
      <c r="G18" s="178"/>
      <c r="H18" s="666"/>
      <c r="I18" s="337"/>
      <c r="J18" s="337"/>
      <c r="K18" s="337"/>
      <c r="L18" s="337"/>
      <c r="M18" s="337"/>
      <c r="N18" s="295">
        <f>N16</f>
        <v>1072.08</v>
      </c>
      <c r="O18" s="235">
        <f>N18/N57</f>
        <v>3.5147833265700229E-2</v>
      </c>
    </row>
    <row r="19" spans="1:15" ht="11.25" customHeight="1" x14ac:dyDescent="0.2">
      <c r="A19" s="137"/>
      <c r="B19" s="138"/>
      <c r="C19" s="138"/>
      <c r="D19" s="138"/>
      <c r="E19" s="138"/>
      <c r="F19" s="138"/>
      <c r="G19" s="162"/>
      <c r="H19" s="641"/>
      <c r="I19" s="333"/>
      <c r="J19" s="313"/>
      <c r="K19" s="313"/>
      <c r="L19" s="313"/>
      <c r="M19" s="313"/>
      <c r="N19" s="296"/>
      <c r="O19" s="68"/>
    </row>
    <row r="20" spans="1:15" ht="11.25" customHeight="1" x14ac:dyDescent="0.2">
      <c r="A20" s="182">
        <v>21</v>
      </c>
      <c r="B20" s="834" t="s">
        <v>75</v>
      </c>
      <c r="C20" s="834"/>
      <c r="D20" s="834"/>
      <c r="E20" s="834"/>
      <c r="F20" s="834"/>
      <c r="G20" s="162"/>
      <c r="H20" s="641"/>
      <c r="I20" s="333"/>
      <c r="J20" s="313"/>
      <c r="K20" s="313"/>
      <c r="L20" s="313"/>
      <c r="M20" s="313"/>
      <c r="N20" s="333"/>
      <c r="O20" s="162"/>
    </row>
    <row r="21" spans="1:15" ht="11.25" customHeight="1" x14ac:dyDescent="0.2">
      <c r="A21" s="182">
        <v>2181</v>
      </c>
      <c r="B21" s="834" t="s">
        <v>673</v>
      </c>
      <c r="C21" s="834"/>
      <c r="D21" s="834"/>
      <c r="E21" s="834"/>
      <c r="F21" s="834"/>
      <c r="G21" s="162"/>
      <c r="H21" s="641"/>
      <c r="I21" s="333"/>
      <c r="J21" s="313"/>
      <c r="K21" s="313"/>
      <c r="L21" s="313"/>
      <c r="M21" s="313"/>
      <c r="N21" s="333"/>
      <c r="O21" s="162"/>
    </row>
    <row r="22" spans="1:15" ht="11.25" customHeight="1" x14ac:dyDescent="0.2">
      <c r="A22" s="140" t="s">
        <v>938</v>
      </c>
      <c r="B22" s="200" t="s">
        <v>939</v>
      </c>
      <c r="C22" s="138"/>
      <c r="D22" s="138"/>
      <c r="E22" s="138"/>
      <c r="F22" s="138"/>
      <c r="G22" s="139" t="s">
        <v>24</v>
      </c>
      <c r="H22" s="189">
        <v>1</v>
      </c>
      <c r="I22" s="323">
        <f>VLOOKUP(A22,'[1]TAB OGU JUN18'!$A:$G,6,"falso")</f>
        <v>285.48</v>
      </c>
      <c r="J22" s="313"/>
      <c r="K22" s="314"/>
      <c r="L22" s="313">
        <v>285.48</v>
      </c>
      <c r="M22" s="308">
        <f>H22*L22</f>
        <v>285.48</v>
      </c>
      <c r="N22" s="189">
        <f>H22*I22</f>
        <v>285.48</v>
      </c>
      <c r="O22" s="300">
        <f>N22/N26</f>
        <v>0.12208399796441143</v>
      </c>
    </row>
    <row r="23" spans="1:15" ht="11.25" customHeight="1" x14ac:dyDescent="0.2">
      <c r="A23" s="140" t="s">
        <v>936</v>
      </c>
      <c r="B23" s="200" t="s">
        <v>937</v>
      </c>
      <c r="C23" s="142"/>
      <c r="D23" s="142"/>
      <c r="E23" s="142"/>
      <c r="F23" s="142"/>
      <c r="G23" s="139" t="s">
        <v>24</v>
      </c>
      <c r="H23" s="189">
        <v>1</v>
      </c>
      <c r="I23" s="323">
        <f>VLOOKUP(A23,'[1]TAB OGU JUN18'!$A:$G,6,"falso")</f>
        <v>590.29</v>
      </c>
      <c r="J23" s="314"/>
      <c r="K23" s="314"/>
      <c r="L23" s="323">
        <f>VLOOKUP(A23,'[1]TAB OGU JUN18'!$A:$G,5,"falso")</f>
        <v>590.29</v>
      </c>
      <c r="M23" s="308">
        <f>H23*L23</f>
        <v>590.29</v>
      </c>
      <c r="N23" s="189">
        <f>H23*I23</f>
        <v>590.29</v>
      </c>
      <c r="O23" s="300">
        <f>N23/N26</f>
        <v>0.25243436723557661</v>
      </c>
    </row>
    <row r="24" spans="1:15" ht="11.25" customHeight="1" x14ac:dyDescent="0.2">
      <c r="A24" s="140" t="s">
        <v>940</v>
      </c>
      <c r="B24" s="200" t="s">
        <v>1049</v>
      </c>
      <c r="C24" s="142"/>
      <c r="D24" s="142"/>
      <c r="E24" s="142"/>
      <c r="F24" s="142"/>
      <c r="G24" s="139" t="s">
        <v>24</v>
      </c>
      <c r="H24" s="189">
        <v>2</v>
      </c>
      <c r="I24" s="323">
        <f>VLOOKUP(A24,'[1]TAB OGU JUN18'!$A:$G,6,"falso")</f>
        <v>731.31</v>
      </c>
      <c r="J24" s="314"/>
      <c r="K24" s="314"/>
      <c r="L24" s="323">
        <v>731.31</v>
      </c>
      <c r="M24" s="308">
        <f>H24*L24</f>
        <v>1462.62</v>
      </c>
      <c r="N24" s="189">
        <f>H24*I24</f>
        <v>1462.62</v>
      </c>
      <c r="O24" s="300">
        <f>N24/N26</f>
        <v>0.62548163480001195</v>
      </c>
    </row>
    <row r="25" spans="1:15" ht="11.25" customHeight="1" x14ac:dyDescent="0.2">
      <c r="A25" s="137"/>
      <c r="B25" s="834"/>
      <c r="C25" s="834"/>
      <c r="D25" s="834"/>
      <c r="E25" s="834"/>
      <c r="F25" s="834"/>
      <c r="G25" s="162"/>
      <c r="H25" s="641"/>
      <c r="I25" s="333"/>
      <c r="J25" s="313"/>
      <c r="K25" s="313"/>
      <c r="L25" s="313"/>
      <c r="M25" s="313"/>
      <c r="N25" s="189"/>
      <c r="O25" s="300"/>
    </row>
    <row r="26" spans="1:15" ht="11.25" customHeight="1" x14ac:dyDescent="0.2">
      <c r="A26" s="137"/>
      <c r="B26" s="142" t="s">
        <v>18</v>
      </c>
      <c r="C26" s="180"/>
      <c r="D26" s="180"/>
      <c r="E26" s="180"/>
      <c r="F26" s="180"/>
      <c r="G26" s="173"/>
      <c r="H26" s="663"/>
      <c r="I26" s="335"/>
      <c r="J26" s="335"/>
      <c r="K26" s="335"/>
      <c r="L26" s="335"/>
      <c r="M26" s="335"/>
      <c r="N26" s="189">
        <f>SUM(N22:N24)</f>
        <v>2338.39</v>
      </c>
      <c r="O26" s="300">
        <f>N26/N28</f>
        <v>1</v>
      </c>
    </row>
    <row r="27" spans="1:15" ht="11.25" customHeight="1" x14ac:dyDescent="0.2">
      <c r="A27" s="137"/>
      <c r="B27" s="155"/>
      <c r="C27" s="138"/>
      <c r="D27" s="138"/>
      <c r="E27" s="138"/>
      <c r="F27" s="138"/>
      <c r="G27" s="162"/>
      <c r="H27" s="641"/>
      <c r="I27" s="333"/>
      <c r="J27" s="313"/>
      <c r="K27" s="313"/>
      <c r="L27" s="313"/>
      <c r="M27" s="313"/>
      <c r="N27" s="189"/>
      <c r="O27" s="300"/>
    </row>
    <row r="28" spans="1:15" s="132" customFormat="1" ht="11.25" customHeight="1" x14ac:dyDescent="0.2">
      <c r="A28" s="318"/>
      <c r="B28" s="175" t="s">
        <v>20</v>
      </c>
      <c r="C28" s="181"/>
      <c r="D28" s="181"/>
      <c r="E28" s="181"/>
      <c r="F28" s="181"/>
      <c r="G28" s="178"/>
      <c r="H28" s="666"/>
      <c r="I28" s="337"/>
      <c r="J28" s="337"/>
      <c r="K28" s="337"/>
      <c r="L28" s="337"/>
      <c r="M28" s="337"/>
      <c r="N28" s="295">
        <f>SUM(N26)</f>
        <v>2338.39</v>
      </c>
      <c r="O28" s="445">
        <f>N28/$N$57</f>
        <v>7.6663441002705723E-2</v>
      </c>
    </row>
    <row r="29" spans="1:15" ht="11.25" customHeight="1" x14ac:dyDescent="0.2">
      <c r="A29" s="137"/>
      <c r="B29" s="834"/>
      <c r="C29" s="834"/>
      <c r="D29" s="834"/>
      <c r="E29" s="834"/>
      <c r="F29" s="834"/>
      <c r="G29" s="162"/>
      <c r="H29" s="641"/>
      <c r="I29" s="333"/>
      <c r="J29" s="313"/>
      <c r="K29" s="313"/>
      <c r="L29" s="313"/>
      <c r="M29" s="313"/>
      <c r="N29" s="189"/>
      <c r="O29" s="300"/>
    </row>
    <row r="30" spans="1:15" ht="11.25" customHeight="1" x14ac:dyDescent="0.2">
      <c r="A30" s="182">
        <v>29</v>
      </c>
      <c r="B30" s="834" t="s">
        <v>507</v>
      </c>
      <c r="C30" s="834"/>
      <c r="D30" s="834"/>
      <c r="E30" s="834"/>
      <c r="F30" s="834"/>
      <c r="G30" s="162"/>
      <c r="H30" s="641"/>
      <c r="I30" s="333"/>
      <c r="J30" s="313"/>
      <c r="K30" s="313"/>
      <c r="L30" s="313"/>
      <c r="M30" s="313"/>
      <c r="N30" s="333"/>
      <c r="O30" s="162"/>
    </row>
    <row r="31" spans="1:15" ht="11.25" customHeight="1" x14ac:dyDescent="0.2">
      <c r="A31" s="182">
        <v>2902</v>
      </c>
      <c r="B31" s="834" t="s">
        <v>508</v>
      </c>
      <c r="C31" s="834"/>
      <c r="D31" s="834"/>
      <c r="E31" s="834"/>
      <c r="F31" s="834"/>
      <c r="G31" s="162"/>
      <c r="H31" s="641"/>
      <c r="I31" s="333"/>
      <c r="J31" s="313"/>
      <c r="K31" s="313"/>
      <c r="L31" s="313"/>
      <c r="M31" s="313"/>
      <c r="N31" s="333"/>
      <c r="O31" s="162"/>
    </row>
    <row r="32" spans="1:15" ht="11.25" customHeight="1" x14ac:dyDescent="0.2">
      <c r="A32" s="182" t="s">
        <v>545</v>
      </c>
      <c r="B32" s="834" t="s">
        <v>941</v>
      </c>
      <c r="C32" s="834"/>
      <c r="D32" s="834"/>
      <c r="E32" s="834"/>
      <c r="F32" s="834"/>
      <c r="G32" s="163" t="s">
        <v>24</v>
      </c>
      <c r="H32" s="293">
        <v>2</v>
      </c>
      <c r="I32" s="308">
        <v>1947</v>
      </c>
      <c r="J32" s="308"/>
      <c r="K32" s="308"/>
      <c r="L32" s="308">
        <v>1947</v>
      </c>
      <c r="M32" s="308">
        <f>H32*L32</f>
        <v>3894</v>
      </c>
      <c r="N32" s="293">
        <f>H32*I32</f>
        <v>3894</v>
      </c>
      <c r="O32" s="320">
        <f>N32/N34</f>
        <v>1</v>
      </c>
    </row>
    <row r="33" spans="1:15" ht="11.25" customHeight="1" x14ac:dyDescent="0.2">
      <c r="A33" s="137"/>
      <c r="B33" s="834"/>
      <c r="C33" s="834"/>
      <c r="D33" s="834"/>
      <c r="E33" s="834"/>
      <c r="F33" s="834"/>
      <c r="G33" s="162"/>
      <c r="H33" s="641"/>
      <c r="I33" s="333"/>
      <c r="J33" s="313"/>
      <c r="K33" s="313"/>
      <c r="L33" s="313"/>
      <c r="M33" s="313"/>
      <c r="N33" s="189"/>
      <c r="O33" s="300"/>
    </row>
    <row r="34" spans="1:15" ht="11.25" customHeight="1" x14ac:dyDescent="0.2">
      <c r="A34" s="137"/>
      <c r="B34" s="142" t="s">
        <v>18</v>
      </c>
      <c r="C34" s="180"/>
      <c r="D34" s="180"/>
      <c r="E34" s="180"/>
      <c r="F34" s="180"/>
      <c r="G34" s="173"/>
      <c r="H34" s="663"/>
      <c r="I34" s="335"/>
      <c r="J34" s="335"/>
      <c r="K34" s="335"/>
      <c r="L34" s="335"/>
      <c r="M34" s="335"/>
      <c r="N34" s="189">
        <f>SUM(N32:N33)</f>
        <v>3894</v>
      </c>
      <c r="O34" s="300">
        <f>N34/N36</f>
        <v>1</v>
      </c>
    </row>
    <row r="35" spans="1:15" ht="11.25" customHeight="1" x14ac:dyDescent="0.2">
      <c r="A35" s="137"/>
      <c r="B35" s="155"/>
      <c r="C35" s="138"/>
      <c r="D35" s="138"/>
      <c r="E35" s="138"/>
      <c r="F35" s="138"/>
      <c r="G35" s="162"/>
      <c r="H35" s="641"/>
      <c r="I35" s="333"/>
      <c r="J35" s="313"/>
      <c r="K35" s="313"/>
      <c r="L35" s="313"/>
      <c r="M35" s="313"/>
      <c r="N35" s="189"/>
      <c r="O35" s="300"/>
    </row>
    <row r="36" spans="1:15" s="132" customFormat="1" ht="11.25" customHeight="1" x14ac:dyDescent="0.2">
      <c r="A36" s="318"/>
      <c r="B36" s="175" t="s">
        <v>20</v>
      </c>
      <c r="C36" s="181"/>
      <c r="D36" s="181"/>
      <c r="E36" s="181"/>
      <c r="F36" s="181"/>
      <c r="G36" s="178"/>
      <c r="H36" s="666"/>
      <c r="I36" s="337"/>
      <c r="J36" s="337"/>
      <c r="K36" s="337"/>
      <c r="L36" s="337"/>
      <c r="M36" s="337"/>
      <c r="N36" s="295">
        <f>SUM(N34)</f>
        <v>3894</v>
      </c>
      <c r="O36" s="445">
        <f>N36/$N$57</f>
        <v>0.12766366571210797</v>
      </c>
    </row>
    <row r="37" spans="1:15" ht="11.25" customHeight="1" x14ac:dyDescent="0.2">
      <c r="A37" s="137"/>
      <c r="B37" s="834"/>
      <c r="C37" s="834"/>
      <c r="D37" s="834"/>
      <c r="E37" s="834"/>
      <c r="F37" s="834"/>
      <c r="G37" s="162"/>
      <c r="H37" s="641"/>
      <c r="I37" s="333"/>
      <c r="J37" s="313"/>
      <c r="K37" s="313"/>
      <c r="L37" s="313"/>
      <c r="M37" s="313"/>
      <c r="N37" s="189"/>
      <c r="O37" s="300"/>
    </row>
    <row r="38" spans="1:15" ht="11.25" customHeight="1" x14ac:dyDescent="0.2">
      <c r="A38" s="182">
        <v>30</v>
      </c>
      <c r="B38" s="834" t="s">
        <v>556</v>
      </c>
      <c r="C38" s="834"/>
      <c r="D38" s="834"/>
      <c r="E38" s="834"/>
      <c r="F38" s="834"/>
      <c r="G38" s="162"/>
      <c r="H38" s="641"/>
      <c r="I38" s="333"/>
      <c r="J38" s="313"/>
      <c r="K38" s="313"/>
      <c r="L38" s="313"/>
      <c r="M38" s="313"/>
      <c r="N38" s="333"/>
      <c r="O38" s="162"/>
    </row>
    <row r="39" spans="1:15" ht="11.25" customHeight="1" x14ac:dyDescent="0.2">
      <c r="A39" s="319">
        <v>3002</v>
      </c>
      <c r="B39" s="837" t="s">
        <v>674</v>
      </c>
      <c r="C39" s="837"/>
      <c r="D39" s="837"/>
      <c r="E39" s="837"/>
      <c r="F39" s="837"/>
      <c r="G39" s="162"/>
      <c r="H39" s="641"/>
      <c r="I39" s="333"/>
      <c r="J39" s="313"/>
      <c r="K39" s="313"/>
      <c r="L39" s="313"/>
      <c r="M39" s="313"/>
      <c r="N39" s="333"/>
      <c r="O39" s="162"/>
    </row>
    <row r="40" spans="1:15" ht="11.25" customHeight="1" x14ac:dyDescent="0.2">
      <c r="A40" s="182" t="s">
        <v>545</v>
      </c>
      <c r="B40" s="142" t="s">
        <v>942</v>
      </c>
      <c r="C40" s="153"/>
      <c r="D40" s="153"/>
      <c r="E40" s="153"/>
      <c r="F40" s="153"/>
      <c r="G40" s="139" t="s">
        <v>24</v>
      </c>
      <c r="H40" s="189">
        <v>2</v>
      </c>
      <c r="I40" s="308">
        <v>5071</v>
      </c>
      <c r="J40" s="308"/>
      <c r="K40" s="308"/>
      <c r="L40" s="308">
        <v>5071</v>
      </c>
      <c r="M40" s="308">
        <f>H40*L40</f>
        <v>10142</v>
      </c>
      <c r="N40" s="189">
        <f>H40*I40</f>
        <v>10142</v>
      </c>
      <c r="O40" s="300">
        <f>N40/$N$42</f>
        <v>1</v>
      </c>
    </row>
    <row r="41" spans="1:15" ht="11.25" customHeight="1" x14ac:dyDescent="0.2">
      <c r="A41" s="182"/>
      <c r="B41" s="138"/>
      <c r="C41" s="138"/>
      <c r="D41" s="138"/>
      <c r="E41" s="138"/>
      <c r="F41" s="138"/>
      <c r="G41" s="139"/>
      <c r="H41" s="189"/>
      <c r="I41" s="189"/>
      <c r="J41" s="313"/>
      <c r="K41" s="313"/>
      <c r="L41" s="313"/>
      <c r="M41" s="313"/>
      <c r="N41" s="189"/>
      <c r="O41" s="300"/>
    </row>
    <row r="42" spans="1:15" ht="11.25" customHeight="1" x14ac:dyDescent="0.2">
      <c r="A42" s="137"/>
      <c r="B42" s="142" t="s">
        <v>18</v>
      </c>
      <c r="C42" s="180"/>
      <c r="D42" s="180"/>
      <c r="E42" s="180"/>
      <c r="F42" s="180"/>
      <c r="G42" s="173"/>
      <c r="H42" s="663"/>
      <c r="I42" s="335"/>
      <c r="J42" s="335"/>
      <c r="K42" s="335"/>
      <c r="L42" s="335"/>
      <c r="M42" s="335"/>
      <c r="N42" s="189">
        <f>SUM(N40:N41)</f>
        <v>10142</v>
      </c>
      <c r="O42" s="300">
        <f>N42/$N$55</f>
        <v>0.43720129585399087</v>
      </c>
    </row>
    <row r="43" spans="1:15" ht="11.25" customHeight="1" x14ac:dyDescent="0.2">
      <c r="A43" s="137"/>
      <c r="B43" s="138"/>
      <c r="C43" s="138"/>
      <c r="D43" s="138"/>
      <c r="E43" s="138"/>
      <c r="F43" s="138"/>
      <c r="G43" s="162"/>
      <c r="H43" s="641"/>
      <c r="I43" s="333"/>
      <c r="J43" s="313"/>
      <c r="K43" s="313"/>
      <c r="L43" s="313"/>
      <c r="M43" s="313"/>
      <c r="N43" s="189"/>
      <c r="O43" s="300"/>
    </row>
    <row r="44" spans="1:15" ht="11.25" customHeight="1" x14ac:dyDescent="0.2">
      <c r="A44" s="182">
        <v>3003</v>
      </c>
      <c r="B44" s="834" t="s">
        <v>675</v>
      </c>
      <c r="C44" s="834"/>
      <c r="D44" s="834"/>
      <c r="E44" s="834"/>
      <c r="F44" s="834"/>
      <c r="G44" s="162"/>
      <c r="H44" s="641"/>
      <c r="I44" s="333"/>
      <c r="J44" s="313"/>
      <c r="K44" s="313"/>
      <c r="L44" s="313"/>
      <c r="M44" s="313"/>
      <c r="N44" s="333"/>
      <c r="O44" s="162"/>
    </row>
    <row r="45" spans="1:15" ht="11.25" customHeight="1" x14ac:dyDescent="0.2">
      <c r="A45" s="182" t="s">
        <v>545</v>
      </c>
      <c r="B45" s="233" t="s">
        <v>551</v>
      </c>
      <c r="C45" s="233"/>
      <c r="D45" s="233"/>
      <c r="E45" s="233"/>
      <c r="F45" s="233"/>
      <c r="G45" s="139" t="s">
        <v>31</v>
      </c>
      <c r="H45" s="189">
        <f>('[2]19'!H14*0.65)/11.41</f>
        <v>0.96446099912357586</v>
      </c>
      <c r="I45" s="308">
        <v>8785.85</v>
      </c>
      <c r="J45" s="308"/>
      <c r="K45" s="308"/>
      <c r="L45" s="308">
        <v>8785.85</v>
      </c>
      <c r="M45" s="308">
        <f>H45*L45</f>
        <v>8473.6096691498697</v>
      </c>
      <c r="N45" s="189">
        <f>H45*I45</f>
        <v>8473.6096691498697</v>
      </c>
      <c r="O45" s="232">
        <f>N45/N48</f>
        <v>0.70875935606185136</v>
      </c>
    </row>
    <row r="46" spans="1:15" ht="11.25" customHeight="1" x14ac:dyDescent="0.2">
      <c r="A46" s="182" t="s">
        <v>545</v>
      </c>
      <c r="B46" s="233" t="s">
        <v>552</v>
      </c>
      <c r="C46" s="233"/>
      <c r="D46" s="233"/>
      <c r="E46" s="233"/>
      <c r="F46" s="233"/>
      <c r="G46" s="139" t="s">
        <v>31</v>
      </c>
      <c r="H46" s="189">
        <f>('[2]19'!H14*1.76)/11.41</f>
        <v>2.6114636283961437</v>
      </c>
      <c r="I46" s="308">
        <v>1333.33</v>
      </c>
      <c r="J46" s="308"/>
      <c r="K46" s="308"/>
      <c r="L46" s="308">
        <v>1333.33</v>
      </c>
      <c r="M46" s="308">
        <f>H46*L46</f>
        <v>3481.9427996494301</v>
      </c>
      <c r="N46" s="189">
        <f>H46*I46</f>
        <v>3481.9427996494301</v>
      </c>
      <c r="O46" s="232">
        <f>N46/N48</f>
        <v>0.29124064393814858</v>
      </c>
    </row>
    <row r="47" spans="1:15" ht="11.25" customHeight="1" x14ac:dyDescent="0.2">
      <c r="A47" s="137"/>
      <c r="B47" s="834"/>
      <c r="C47" s="834"/>
      <c r="D47" s="834"/>
      <c r="E47" s="834"/>
      <c r="F47" s="834"/>
      <c r="G47" s="137"/>
      <c r="H47" s="641"/>
      <c r="I47" s="323"/>
      <c r="J47" s="314"/>
      <c r="K47" s="314"/>
      <c r="L47" s="323"/>
      <c r="M47" s="313"/>
      <c r="N47" s="189"/>
      <c r="O47" s="300"/>
    </row>
    <row r="48" spans="1:15" ht="11.25" customHeight="1" x14ac:dyDescent="0.2">
      <c r="A48" s="137"/>
      <c r="B48" s="142" t="s">
        <v>18</v>
      </c>
      <c r="C48" s="180"/>
      <c r="D48" s="180"/>
      <c r="E48" s="180"/>
      <c r="F48" s="180"/>
      <c r="G48" s="188"/>
      <c r="H48" s="663"/>
      <c r="I48" s="335"/>
      <c r="J48" s="335"/>
      <c r="K48" s="335"/>
      <c r="L48" s="335"/>
      <c r="M48" s="335"/>
      <c r="N48" s="189">
        <f>SUM(N45:N47)</f>
        <v>11955.5524687993</v>
      </c>
      <c r="O48" s="300">
        <f>N48/$N$55</f>
        <v>0.51537990850023996</v>
      </c>
    </row>
    <row r="49" spans="1:16" ht="11.25" customHeight="1" x14ac:dyDescent="0.2">
      <c r="A49" s="137"/>
      <c r="B49" s="155"/>
      <c r="C49" s="138"/>
      <c r="D49" s="138"/>
      <c r="E49" s="138"/>
      <c r="F49" s="138"/>
      <c r="G49" s="137"/>
      <c r="H49" s="641"/>
      <c r="I49" s="333"/>
      <c r="J49" s="313"/>
      <c r="K49" s="313"/>
      <c r="L49" s="313"/>
      <c r="M49" s="313"/>
      <c r="N49" s="189"/>
      <c r="O49" s="300"/>
    </row>
    <row r="50" spans="1:16" ht="11.25" customHeight="1" x14ac:dyDescent="0.2">
      <c r="A50" s="182"/>
      <c r="B50" s="834" t="s">
        <v>557</v>
      </c>
      <c r="C50" s="834"/>
      <c r="D50" s="834"/>
      <c r="E50" s="834"/>
      <c r="F50" s="834"/>
      <c r="G50" s="162"/>
      <c r="H50" s="641"/>
      <c r="I50" s="333"/>
      <c r="J50" s="313"/>
      <c r="K50" s="313"/>
      <c r="L50" s="313"/>
      <c r="M50" s="313"/>
      <c r="N50" s="333"/>
      <c r="O50" s="162"/>
    </row>
    <row r="51" spans="1:16" ht="11.25" customHeight="1" x14ac:dyDescent="0.2">
      <c r="A51" s="182" t="s">
        <v>545</v>
      </c>
      <c r="B51" s="233" t="s">
        <v>727</v>
      </c>
      <c r="C51" s="233"/>
      <c r="D51" s="233"/>
      <c r="E51" s="233"/>
      <c r="F51" s="233"/>
      <c r="G51" s="139" t="s">
        <v>24</v>
      </c>
      <c r="H51" s="189">
        <v>1</v>
      </c>
      <c r="I51" s="308">
        <v>1100</v>
      </c>
      <c r="J51" s="308"/>
      <c r="K51" s="308"/>
      <c r="L51" s="308">
        <v>1100</v>
      </c>
      <c r="M51" s="308">
        <f>H51*L51</f>
        <v>1100</v>
      </c>
      <c r="N51" s="189">
        <f>H51*I51</f>
        <v>1100</v>
      </c>
      <c r="O51" s="232">
        <f>N51/N53</f>
        <v>1</v>
      </c>
    </row>
    <row r="52" spans="1:16" ht="11.25" customHeight="1" x14ac:dyDescent="0.2">
      <c r="A52" s="137"/>
      <c r="B52" s="834"/>
      <c r="C52" s="834"/>
      <c r="D52" s="834"/>
      <c r="E52" s="834"/>
      <c r="F52" s="834"/>
      <c r="G52" s="137"/>
      <c r="H52" s="641"/>
      <c r="I52" s="323"/>
      <c r="J52" s="314"/>
      <c r="K52" s="314"/>
      <c r="L52" s="323"/>
      <c r="M52" s="313"/>
      <c r="N52" s="189"/>
      <c r="O52" s="300"/>
    </row>
    <row r="53" spans="1:16" ht="11.25" customHeight="1" x14ac:dyDescent="0.2">
      <c r="A53" s="137"/>
      <c r="B53" s="142" t="s">
        <v>18</v>
      </c>
      <c r="C53" s="180"/>
      <c r="D53" s="180"/>
      <c r="E53" s="180"/>
      <c r="F53" s="180"/>
      <c r="G53" s="188"/>
      <c r="H53" s="335"/>
      <c r="I53" s="335"/>
      <c r="J53" s="335"/>
      <c r="K53" s="335"/>
      <c r="L53" s="335"/>
      <c r="M53" s="335"/>
      <c r="N53" s="189">
        <f>SUM(N51:N52)</f>
        <v>1100</v>
      </c>
      <c r="O53" s="300">
        <f>N53/$N$55</f>
        <v>4.7418795645769077E-2</v>
      </c>
    </row>
    <row r="54" spans="1:16" ht="11.25" customHeight="1" x14ac:dyDescent="0.2">
      <c r="A54" s="137"/>
      <c r="B54" s="155"/>
      <c r="C54" s="138"/>
      <c r="D54" s="138"/>
      <c r="E54" s="138"/>
      <c r="F54" s="138"/>
      <c r="G54" s="137"/>
      <c r="H54" s="333"/>
      <c r="I54" s="333"/>
      <c r="J54" s="313"/>
      <c r="K54" s="313"/>
      <c r="L54" s="313"/>
      <c r="M54" s="313"/>
      <c r="N54" s="189"/>
      <c r="O54" s="300"/>
    </row>
    <row r="55" spans="1:16" ht="12" customHeight="1" x14ac:dyDescent="0.2">
      <c r="A55" s="318"/>
      <c r="B55" s="175" t="s">
        <v>20</v>
      </c>
      <c r="C55" s="181"/>
      <c r="D55" s="181"/>
      <c r="E55" s="181"/>
      <c r="F55" s="181"/>
      <c r="G55" s="191"/>
      <c r="H55" s="337"/>
      <c r="I55" s="337"/>
      <c r="J55" s="337"/>
      <c r="K55" s="337"/>
      <c r="L55" s="337"/>
      <c r="M55" s="337"/>
      <c r="N55" s="295">
        <f>N42+N48+N53</f>
        <v>23197.552468799302</v>
      </c>
      <c r="O55" s="445">
        <f>N55/$N$57</f>
        <v>0.76052506001948605</v>
      </c>
    </row>
    <row r="56" spans="1:16" ht="6.75" customHeight="1" x14ac:dyDescent="0.2">
      <c r="G56" s="52"/>
      <c r="H56" s="313"/>
      <c r="I56" s="313"/>
      <c r="J56" s="313"/>
      <c r="K56" s="313"/>
      <c r="L56" s="313"/>
      <c r="M56" s="313"/>
      <c r="N56" s="313"/>
      <c r="O56" s="19"/>
    </row>
    <row r="57" spans="1:16" ht="11.25" customHeight="1" x14ac:dyDescent="0.2">
      <c r="A57" s="146"/>
      <c r="B57" s="147" t="s">
        <v>30</v>
      </c>
      <c r="C57" s="146"/>
      <c r="D57" s="146"/>
      <c r="E57" s="146"/>
      <c r="F57" s="146"/>
      <c r="G57" s="146"/>
      <c r="H57" s="342"/>
      <c r="I57" s="345"/>
      <c r="J57" s="345"/>
      <c r="K57" s="345"/>
      <c r="L57" s="345"/>
      <c r="M57" s="275">
        <f>SUM(M12:M56)</f>
        <v>30502.0224687993</v>
      </c>
      <c r="N57" s="316">
        <f>N55+N36+N28+N18</f>
        <v>30502.022468799303</v>
      </c>
      <c r="O57" s="29"/>
      <c r="P57" s="149"/>
    </row>
    <row r="58" spans="1:16" ht="6.75" customHeight="1" x14ac:dyDescent="0.2">
      <c r="H58" s="311"/>
      <c r="I58" s="311"/>
      <c r="J58" s="311"/>
      <c r="K58" s="311"/>
      <c r="L58" s="311"/>
      <c r="M58" s="311"/>
      <c r="N58" s="311"/>
      <c r="P58" s="149"/>
    </row>
    <row r="59" spans="1:16" ht="11.25" customHeight="1" x14ac:dyDescent="0.2">
      <c r="A59" s="146"/>
      <c r="B59" s="147" t="s">
        <v>265</v>
      </c>
      <c r="C59" s="146"/>
      <c r="D59" s="146"/>
      <c r="E59" s="146"/>
      <c r="F59" s="146"/>
      <c r="G59" s="146"/>
      <c r="H59" s="342"/>
      <c r="I59" s="345"/>
      <c r="J59" s="345"/>
      <c r="K59" s="345"/>
      <c r="L59" s="345"/>
      <c r="M59" s="275">
        <f>M57+(M57*O7)</f>
        <v>35906.980850270535</v>
      </c>
      <c r="N59" s="316">
        <f>M59</f>
        <v>35906.980850270535</v>
      </c>
      <c r="O59" s="29">
        <f>N59/RESUMO!H95</f>
        <v>4.9585111558182928E-3</v>
      </c>
      <c r="P59" s="149"/>
    </row>
    <row r="71" spans="1:15" ht="11.25" customHeight="1" x14ac:dyDescent="0.2">
      <c r="A71" s="150"/>
      <c r="B71" s="150"/>
      <c r="C71" s="150"/>
      <c r="D71" s="150"/>
      <c r="E71" s="150"/>
      <c r="F71" s="150"/>
      <c r="G71" s="150"/>
      <c r="H71" s="150"/>
      <c r="I71" s="150"/>
      <c r="J71" s="150"/>
      <c r="K71" s="150"/>
      <c r="L71" s="150"/>
      <c r="M71" s="150"/>
      <c r="N71" s="211"/>
      <c r="O71" s="210"/>
    </row>
    <row r="72" spans="1:15" ht="11.25" customHeight="1" x14ac:dyDescent="0.2">
      <c r="A72" s="88"/>
      <c r="C72" s="184"/>
      <c r="D72" s="184"/>
      <c r="E72" s="184"/>
      <c r="F72" s="184"/>
      <c r="G72" s="184"/>
      <c r="H72" s="184"/>
      <c r="I72" s="184"/>
      <c r="J72" s="184"/>
      <c r="K72" s="184"/>
      <c r="L72" s="184"/>
      <c r="M72" s="184"/>
      <c r="N72" s="184"/>
      <c r="O72" s="437"/>
    </row>
  </sheetData>
  <mergeCells count="21">
    <mergeCell ref="B32:F32"/>
    <mergeCell ref="B33:F33"/>
    <mergeCell ref="B37:F37"/>
    <mergeCell ref="B38:F38"/>
    <mergeCell ref="B39:F39"/>
    <mergeCell ref="B50:F50"/>
    <mergeCell ref="B52:F52"/>
    <mergeCell ref="B14:F14"/>
    <mergeCell ref="A2:O2"/>
    <mergeCell ref="N4:O4"/>
    <mergeCell ref="A5:B6"/>
    <mergeCell ref="B12:F12"/>
    <mergeCell ref="B13:F13"/>
    <mergeCell ref="B47:F47"/>
    <mergeCell ref="B44:F44"/>
    <mergeCell ref="B20:F20"/>
    <mergeCell ref="B21:F21"/>
    <mergeCell ref="B25:F25"/>
    <mergeCell ref="B29:F29"/>
    <mergeCell ref="B30:F30"/>
    <mergeCell ref="B31:F31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4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legacyDrawingHF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Planilha14">
    <tabColor theme="6" tint="0.39997558519241921"/>
    <pageSetUpPr fitToPage="1"/>
  </sheetPr>
  <dimension ref="A1:P154"/>
  <sheetViews>
    <sheetView view="pageBreakPreview" topLeftCell="A43" zoomScaleNormal="90" zoomScaleSheetLayoutView="100" workbookViewId="0">
      <selection activeCell="O154" sqref="O154"/>
    </sheetView>
  </sheetViews>
  <sheetFormatPr defaultColWidth="11.42578125" defaultRowHeight="11.25" customHeight="1" x14ac:dyDescent="0.2"/>
  <cols>
    <col min="1" max="1" width="11.42578125" style="156"/>
    <col min="2" max="5" width="11.42578125" style="51"/>
    <col min="6" max="6" width="28.5703125" style="51" customWidth="1"/>
    <col min="7" max="9" width="11.42578125" style="51" customWidth="1"/>
    <col min="10" max="10" width="7.140625" style="51" hidden="1" customWidth="1"/>
    <col min="11" max="11" width="14.28515625" style="51" customWidth="1"/>
    <col min="12" max="12" width="7.42578125" style="51" hidden="1" customWidth="1"/>
    <col min="13" max="13" width="14.28515625" style="51" customWidth="1"/>
    <col min="14" max="14" width="17.140625" style="51" customWidth="1"/>
    <col min="15" max="15" width="11.42578125" style="52" customWidth="1"/>
    <col min="16" max="16384" width="11.42578125" style="51"/>
  </cols>
  <sheetData>
    <row r="1" spans="1:15" ht="6.75" customHeight="1" x14ac:dyDescent="0.2"/>
    <row r="2" spans="1:15" ht="11.25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5" ht="6.75" customHeight="1" thickBot="1" x14ac:dyDescent="0.25">
      <c r="A3" s="194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95"/>
    </row>
    <row r="4" spans="1:15" ht="11.25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5" ht="11.25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5" ht="11.25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5" ht="11.25" customHeight="1" x14ac:dyDescent="0.2">
      <c r="A7" s="196"/>
      <c r="B7" s="253"/>
      <c r="C7" s="260" t="s">
        <v>6</v>
      </c>
      <c r="D7" s="263" t="str">
        <f>RESUMO!A47</f>
        <v>U.C. : 13</v>
      </c>
      <c r="E7" s="258"/>
      <c r="F7" s="258"/>
      <c r="G7" s="260" t="s">
        <v>9</v>
      </c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5" ht="11.25" customHeight="1" thickBot="1" x14ac:dyDescent="0.25">
      <c r="A8" s="197"/>
      <c r="B8" s="125"/>
      <c r="C8" s="266" t="s">
        <v>8</v>
      </c>
      <c r="D8" s="267" t="str">
        <f>RESUMO!B47</f>
        <v>ESTAÇÃO DE TRATAMENTO DE ESGOTO - ETE</v>
      </c>
      <c r="E8" s="268"/>
      <c r="F8" s="268"/>
      <c r="G8" s="266"/>
      <c r="H8" s="123"/>
      <c r="I8" s="278"/>
      <c r="J8" s="278"/>
      <c r="K8" s="278"/>
      <c r="L8" s="278"/>
      <c r="M8" s="278" t="s">
        <v>774</v>
      </c>
      <c r="N8" s="271"/>
      <c r="O8" s="427"/>
    </row>
    <row r="9" spans="1:15" ht="11.25" customHeight="1" thickTop="1" x14ac:dyDescent="0.2">
      <c r="A9" s="198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5" ht="6.75" customHeight="1" x14ac:dyDescent="0.2">
      <c r="O10" s="19"/>
    </row>
    <row r="11" spans="1:15" ht="11.25" customHeight="1" x14ac:dyDescent="0.2">
      <c r="A11" s="93">
        <f>RESUMO!A57</f>
        <v>10</v>
      </c>
      <c r="B11" s="93" t="str">
        <f>RESUMO!B57</f>
        <v>BAGS - SERVIÇOS</v>
      </c>
      <c r="H11" s="61"/>
      <c r="O11" s="19"/>
    </row>
    <row r="12" spans="1:15" ht="11.25" customHeight="1" x14ac:dyDescent="0.2">
      <c r="A12" s="129" t="s">
        <v>48</v>
      </c>
      <c r="B12" s="88" t="s">
        <v>16</v>
      </c>
      <c r="H12" s="61"/>
      <c r="O12" s="19"/>
    </row>
    <row r="13" spans="1:15" ht="11.25" customHeight="1" x14ac:dyDescent="0.2">
      <c r="A13" s="129" t="s">
        <v>79</v>
      </c>
      <c r="B13" s="88" t="s">
        <v>80</v>
      </c>
      <c r="H13" s="61"/>
      <c r="O13" s="19"/>
    </row>
    <row r="14" spans="1:15" ht="11.25" customHeight="1" x14ac:dyDescent="0.2">
      <c r="A14" s="256" t="s">
        <v>286</v>
      </c>
      <c r="B14" s="834" t="s">
        <v>636</v>
      </c>
      <c r="C14" s="834"/>
      <c r="D14" s="834"/>
      <c r="E14" s="834"/>
      <c r="F14" s="834"/>
      <c r="G14" s="97" t="s">
        <v>31</v>
      </c>
      <c r="H14" s="308">
        <v>866.61</v>
      </c>
      <c r="I14" s="323">
        <f>VLOOKUP(A14,'[1]TAB OGU JUN18'!$A:$G,6,"falso")</f>
        <v>16.329999999999998</v>
      </c>
      <c r="J14" s="323">
        <f>VLOOKUP(A14,'[1]TAB OGU JUN18'!$A:$G,4,"falso")</f>
        <v>9.6300000000000008</v>
      </c>
      <c r="K14" s="308">
        <f>H14*J14</f>
        <v>8345.4543000000012</v>
      </c>
      <c r="L14" s="323">
        <f>VLOOKUP(A14,'[1]TAB OGU JUN18'!$A:$G,5,"falso")</f>
        <v>6.7</v>
      </c>
      <c r="M14" s="308">
        <f>H14*L14</f>
        <v>5806.2870000000003</v>
      </c>
      <c r="N14" s="308">
        <f>H14*I14</f>
        <v>14151.741299999998</v>
      </c>
      <c r="O14" s="185">
        <f>(N14*1)/$N$16</f>
        <v>1</v>
      </c>
    </row>
    <row r="15" spans="1:15" ht="11.25" customHeight="1" x14ac:dyDescent="0.2">
      <c r="G15" s="52"/>
      <c r="H15" s="324"/>
      <c r="I15" s="313"/>
      <c r="J15" s="308"/>
      <c r="K15" s="313"/>
      <c r="L15" s="313"/>
      <c r="M15" s="313"/>
      <c r="N15" s="309"/>
      <c r="O15" s="185"/>
    </row>
    <row r="16" spans="1:15" ht="11.25" customHeight="1" x14ac:dyDescent="0.2">
      <c r="B16" s="130" t="s">
        <v>18</v>
      </c>
      <c r="C16" s="131"/>
      <c r="D16" s="131"/>
      <c r="E16" s="131"/>
      <c r="F16" s="131"/>
      <c r="G16" s="53"/>
      <c r="H16" s="325"/>
      <c r="I16" s="325"/>
      <c r="J16" s="325"/>
      <c r="K16" s="326"/>
      <c r="L16" s="326"/>
      <c r="M16" s="326"/>
      <c r="N16" s="308">
        <f>SUM(N14:N14)</f>
        <v>14151.741299999998</v>
      </c>
      <c r="O16" s="185">
        <f>N16/N23</f>
        <v>0.97202380952380962</v>
      </c>
    </row>
    <row r="17" spans="1:15" ht="11.25" customHeight="1" x14ac:dyDescent="0.2">
      <c r="B17" s="130"/>
      <c r="G17" s="52"/>
      <c r="H17" s="324"/>
      <c r="I17" s="324"/>
      <c r="J17" s="324"/>
      <c r="K17" s="313"/>
      <c r="L17" s="313"/>
      <c r="M17" s="313"/>
      <c r="N17" s="308"/>
      <c r="O17" s="185"/>
    </row>
    <row r="18" spans="1:15" ht="12" customHeight="1" x14ac:dyDescent="0.2">
      <c r="A18" s="129" t="s">
        <v>779</v>
      </c>
      <c r="B18" s="88" t="s">
        <v>780</v>
      </c>
      <c r="H18" s="704"/>
      <c r="N18" s="303"/>
      <c r="O18" s="187"/>
    </row>
    <row r="19" spans="1:15" ht="12" customHeight="1" x14ac:dyDescent="0.2">
      <c r="A19" s="140" t="s">
        <v>789</v>
      </c>
      <c r="B19" s="142" t="s">
        <v>636</v>
      </c>
      <c r="C19" s="153"/>
      <c r="D19" s="153"/>
      <c r="E19" s="153"/>
      <c r="F19" s="153"/>
      <c r="G19" s="97" t="s">
        <v>31</v>
      </c>
      <c r="H19" s="308">
        <f>H14</f>
        <v>866.61</v>
      </c>
      <c r="I19" s="323">
        <f>VLOOKUP(A19,'[1]TAB OGU JUN18'!$A:$G,6,"falso")</f>
        <v>0.47</v>
      </c>
      <c r="J19" s="323">
        <f>VLOOKUP(A19,'[1]TAB OGU JUN18'!$A:$G,4,"falso")</f>
        <v>0.47</v>
      </c>
      <c r="K19" s="308">
        <f>H19*J19</f>
        <v>407.30669999999998</v>
      </c>
      <c r="L19" s="323">
        <f>VLOOKUP(A19,'[1]TAB OGU JUN18'!$A:$G,5,"falso")</f>
        <v>0</v>
      </c>
      <c r="M19" s="308"/>
      <c r="N19" s="308">
        <f>H19*I19</f>
        <v>407.30669999999998</v>
      </c>
      <c r="O19" s="185">
        <f>N19/N21</f>
        <v>1</v>
      </c>
    </row>
    <row r="20" spans="1:15" ht="12" customHeight="1" x14ac:dyDescent="0.2">
      <c r="G20" s="52"/>
      <c r="H20" s="324"/>
      <c r="I20" s="313"/>
      <c r="J20" s="313"/>
      <c r="K20" s="313"/>
      <c r="L20" s="313"/>
      <c r="M20" s="313"/>
      <c r="N20" s="309"/>
      <c r="O20" s="185"/>
    </row>
    <row r="21" spans="1:15" ht="12" customHeight="1" x14ac:dyDescent="0.2">
      <c r="B21" s="130" t="s">
        <v>18</v>
      </c>
      <c r="C21" s="131"/>
      <c r="D21" s="131"/>
      <c r="E21" s="131"/>
      <c r="F21" s="131"/>
      <c r="G21" s="53"/>
      <c r="H21" s="325"/>
      <c r="I21" s="326"/>
      <c r="J21" s="326"/>
      <c r="K21" s="326"/>
      <c r="L21" s="326"/>
      <c r="M21" s="326"/>
      <c r="N21" s="308">
        <f>SUM(N19:N19)</f>
        <v>407.30669999999998</v>
      </c>
      <c r="O21" s="185">
        <f>N21/N23</f>
        <v>2.7976190476190481E-2</v>
      </c>
    </row>
    <row r="22" spans="1:15" ht="12" customHeight="1" x14ac:dyDescent="0.2">
      <c r="B22" s="130"/>
      <c r="G22" s="52"/>
      <c r="H22" s="324"/>
      <c r="I22" s="313"/>
      <c r="J22" s="313"/>
      <c r="K22" s="313"/>
      <c r="L22" s="313"/>
      <c r="M22" s="313"/>
      <c r="N22" s="308"/>
      <c r="O22" s="185"/>
    </row>
    <row r="23" spans="1:15" s="132" customFormat="1" ht="11.25" customHeight="1" x14ac:dyDescent="0.2">
      <c r="A23" s="157"/>
      <c r="B23" s="133" t="s">
        <v>20</v>
      </c>
      <c r="C23" s="134"/>
      <c r="D23" s="134"/>
      <c r="E23" s="134"/>
      <c r="F23" s="134"/>
      <c r="G23" s="78"/>
      <c r="H23" s="327"/>
      <c r="I23" s="327"/>
      <c r="J23" s="327"/>
      <c r="K23" s="328"/>
      <c r="L23" s="328"/>
      <c r="M23" s="328"/>
      <c r="N23" s="310">
        <f>N16+N21</f>
        <v>14559.047999999997</v>
      </c>
      <c r="O23" s="186">
        <f>N23/N146</f>
        <v>0.62603273345683408</v>
      </c>
    </row>
    <row r="24" spans="1:15" ht="11.25" customHeight="1" x14ac:dyDescent="0.2">
      <c r="B24" s="130"/>
      <c r="G24" s="52"/>
      <c r="H24" s="324"/>
      <c r="I24" s="313"/>
      <c r="J24" s="308"/>
      <c r="K24" s="313"/>
      <c r="L24" s="313"/>
      <c r="M24" s="313"/>
      <c r="N24" s="308"/>
      <c r="O24" s="185"/>
    </row>
    <row r="25" spans="1:15" ht="11.25" customHeight="1" x14ac:dyDescent="0.2">
      <c r="A25" s="129" t="s">
        <v>93</v>
      </c>
      <c r="B25" s="88" t="s">
        <v>96</v>
      </c>
      <c r="H25" s="329"/>
      <c r="I25" s="311"/>
      <c r="J25" s="308"/>
      <c r="K25" s="311"/>
      <c r="L25" s="311"/>
      <c r="M25" s="311"/>
      <c r="N25" s="313"/>
      <c r="O25" s="187"/>
    </row>
    <row r="26" spans="1:15" ht="11.25" customHeight="1" x14ac:dyDescent="0.2">
      <c r="A26" s="255" t="s">
        <v>540</v>
      </c>
      <c r="B26" s="835" t="s">
        <v>644</v>
      </c>
      <c r="C26" s="835"/>
      <c r="D26" s="835"/>
      <c r="E26" s="835"/>
      <c r="F26" s="835"/>
      <c r="H26" s="329"/>
      <c r="I26" s="311"/>
      <c r="J26" s="308"/>
      <c r="K26" s="311"/>
      <c r="L26" s="311"/>
      <c r="M26" s="311"/>
      <c r="N26" s="313"/>
      <c r="O26" s="187"/>
    </row>
    <row r="27" spans="1:15" ht="11.25" customHeight="1" x14ac:dyDescent="0.2">
      <c r="A27" s="129" t="s">
        <v>293</v>
      </c>
      <c r="B27" s="88" t="s">
        <v>541</v>
      </c>
      <c r="G27" s="97" t="s">
        <v>32</v>
      </c>
      <c r="H27" s="308">
        <f>326.74*0.3</f>
        <v>98.022000000000006</v>
      </c>
      <c r="I27" s="323">
        <f>VLOOKUP(A27,'[1]TAB OGU JUN18'!$A:$G,6,"falso")</f>
        <v>31.26</v>
      </c>
      <c r="J27" s="323">
        <f>VLOOKUP(A27,'[1]TAB OGU JUN18'!$A:$G,4,"falso")</f>
        <v>31.26</v>
      </c>
      <c r="K27" s="308">
        <f>H27*J27</f>
        <v>3064.1677200000004</v>
      </c>
      <c r="L27" s="323">
        <f>VLOOKUP(A27,'[1]TAB OGU JUN18'!$A:$G,5,"falso")</f>
        <v>0</v>
      </c>
      <c r="M27" s="308"/>
      <c r="N27" s="308">
        <f>H27*I27</f>
        <v>3064.1677200000004</v>
      </c>
      <c r="O27" s="185">
        <f>N27/N29</f>
        <v>1</v>
      </c>
    </row>
    <row r="28" spans="1:15" ht="11.25" customHeight="1" x14ac:dyDescent="0.2">
      <c r="G28" s="52"/>
      <c r="H28" s="324"/>
      <c r="I28" s="313"/>
      <c r="J28" s="308"/>
      <c r="K28" s="313"/>
      <c r="L28" s="313"/>
      <c r="M28" s="313"/>
      <c r="N28" s="309"/>
      <c r="O28" s="185"/>
    </row>
    <row r="29" spans="1:15" ht="11.25" customHeight="1" x14ac:dyDescent="0.2">
      <c r="B29" s="130" t="s">
        <v>18</v>
      </c>
      <c r="C29" s="131"/>
      <c r="D29" s="131"/>
      <c r="E29" s="131"/>
      <c r="F29" s="131"/>
      <c r="G29" s="53"/>
      <c r="H29" s="325"/>
      <c r="I29" s="325"/>
      <c r="J29" s="325"/>
      <c r="K29" s="325"/>
      <c r="L29" s="326"/>
      <c r="M29" s="326"/>
      <c r="N29" s="308">
        <f>SUM(N27:N27)</f>
        <v>3064.1677200000004</v>
      </c>
      <c r="O29" s="185">
        <f>N29/N56</f>
        <v>0.48801344521943274</v>
      </c>
    </row>
    <row r="30" spans="1:15" ht="11.25" customHeight="1" x14ac:dyDescent="0.2">
      <c r="B30" s="130"/>
      <c r="G30" s="52"/>
      <c r="H30" s="324"/>
      <c r="I30" s="313"/>
      <c r="J30" s="308"/>
      <c r="K30" s="311"/>
      <c r="L30" s="311"/>
      <c r="M30" s="311"/>
      <c r="N30" s="308"/>
      <c r="O30" s="185"/>
    </row>
    <row r="31" spans="1:15" ht="11.25" customHeight="1" x14ac:dyDescent="0.2">
      <c r="A31" s="255" t="s">
        <v>543</v>
      </c>
      <c r="B31" s="835" t="s">
        <v>645</v>
      </c>
      <c r="C31" s="835"/>
      <c r="D31" s="835"/>
      <c r="E31" s="835"/>
      <c r="F31" s="835"/>
      <c r="G31" s="52"/>
      <c r="H31" s="324"/>
      <c r="I31" s="313"/>
      <c r="J31" s="313"/>
      <c r="K31" s="313"/>
      <c r="L31" s="313"/>
      <c r="M31" s="313"/>
      <c r="N31" s="313"/>
      <c r="O31" s="19"/>
    </row>
    <row r="32" spans="1:15" ht="11.25" customHeight="1" x14ac:dyDescent="0.2">
      <c r="A32" s="98" t="s">
        <v>295</v>
      </c>
      <c r="B32" s="88" t="s">
        <v>229</v>
      </c>
      <c r="G32" s="97" t="s">
        <v>32</v>
      </c>
      <c r="H32" s="308">
        <f>326.74*0.7</f>
        <v>228.71799999999999</v>
      </c>
      <c r="I32" s="323">
        <f>VLOOKUP(A32,'[1]TAB OGU JUN18'!$A:$G,6,"falso")</f>
        <v>7.1</v>
      </c>
      <c r="J32" s="323">
        <f>VLOOKUP(A32,'[1]TAB OGU JUN18'!$A:$G,4,"falso")</f>
        <v>7.1</v>
      </c>
      <c r="K32" s="308">
        <f>H32*J32</f>
        <v>1623.8977999999997</v>
      </c>
      <c r="L32" s="323">
        <f>VLOOKUP(A32,'[1]TAB OGU JUN18'!$A:$G,5,"falso")</f>
        <v>0</v>
      </c>
      <c r="M32" s="308"/>
      <c r="N32" s="308">
        <f>H32*I32</f>
        <v>1623.8977999999997</v>
      </c>
      <c r="O32" s="25">
        <f>N32/N34</f>
        <v>1</v>
      </c>
    </row>
    <row r="33" spans="1:15" ht="11.25" customHeight="1" x14ac:dyDescent="0.2">
      <c r="G33" s="52"/>
      <c r="H33" s="324"/>
      <c r="I33" s="323"/>
      <c r="J33" s="313"/>
      <c r="K33" s="313"/>
      <c r="L33" s="313"/>
      <c r="M33" s="313"/>
      <c r="N33" s="313"/>
      <c r="O33" s="19"/>
    </row>
    <row r="34" spans="1:15" ht="11.25" customHeight="1" x14ac:dyDescent="0.2">
      <c r="B34" s="130" t="s">
        <v>18</v>
      </c>
      <c r="C34" s="131"/>
      <c r="D34" s="131"/>
      <c r="E34" s="131"/>
      <c r="F34" s="131"/>
      <c r="G34" s="53"/>
      <c r="H34" s="325"/>
      <c r="I34" s="582"/>
      <c r="J34" s="326"/>
      <c r="K34" s="326"/>
      <c r="L34" s="326"/>
      <c r="M34" s="326"/>
      <c r="N34" s="308">
        <f>N32</f>
        <v>1623.8977999999997</v>
      </c>
      <c r="O34" s="25">
        <f>N34/N56</f>
        <v>0.25862943300709962</v>
      </c>
    </row>
    <row r="35" spans="1:15" ht="11.25" customHeight="1" x14ac:dyDescent="0.2">
      <c r="B35" s="130"/>
      <c r="G35" s="52"/>
      <c r="H35" s="324"/>
      <c r="I35" s="323"/>
      <c r="J35" s="313"/>
      <c r="K35" s="313"/>
      <c r="L35" s="313"/>
      <c r="M35" s="313"/>
      <c r="N35" s="308"/>
      <c r="O35" s="25"/>
    </row>
    <row r="36" spans="1:15" ht="11.25" customHeight="1" x14ac:dyDescent="0.2">
      <c r="A36" s="98" t="s">
        <v>101</v>
      </c>
      <c r="B36" s="88" t="s">
        <v>21</v>
      </c>
      <c r="G36" s="97"/>
      <c r="H36" s="308"/>
      <c r="I36" s="323"/>
      <c r="J36" s="308"/>
      <c r="K36" s="308"/>
      <c r="L36" s="308"/>
      <c r="M36" s="308"/>
      <c r="N36" s="308"/>
      <c r="O36" s="185"/>
    </row>
    <row r="37" spans="1:15" ht="11.25" customHeight="1" x14ac:dyDescent="0.2">
      <c r="A37" s="98" t="s">
        <v>103</v>
      </c>
      <c r="B37" s="88" t="s">
        <v>105</v>
      </c>
      <c r="G37" s="97" t="s">
        <v>32</v>
      </c>
      <c r="H37" s="308">
        <v>3.99</v>
      </c>
      <c r="I37" s="323">
        <f>VLOOKUP(A37,'[1]TAB OGU JUN18'!$A:$G,6,"falso")</f>
        <v>1.32</v>
      </c>
      <c r="J37" s="323">
        <f>VLOOKUP(A37,'[1]TAB OGU JUN18'!$A:$G,4,"falso")</f>
        <v>1.32</v>
      </c>
      <c r="K37" s="308">
        <f>H37*J37</f>
        <v>5.2668000000000008</v>
      </c>
      <c r="L37" s="323">
        <f>VLOOKUP(A37,'[1]TAB OGU JUN18'!$A:$G,5,"falso")</f>
        <v>0</v>
      </c>
      <c r="M37" s="308"/>
      <c r="N37" s="308">
        <f>H37*I37</f>
        <v>5.2668000000000008</v>
      </c>
      <c r="O37" s="25">
        <f>N37/N39</f>
        <v>1</v>
      </c>
    </row>
    <row r="38" spans="1:15" ht="11.25" customHeight="1" x14ac:dyDescent="0.2">
      <c r="B38" s="130"/>
      <c r="G38" s="52"/>
      <c r="H38" s="324"/>
      <c r="I38" s="323"/>
      <c r="J38" s="308"/>
      <c r="K38" s="313"/>
      <c r="L38" s="313"/>
      <c r="M38" s="313"/>
      <c r="N38" s="308"/>
      <c r="O38" s="185"/>
    </row>
    <row r="39" spans="1:15" ht="11.25" customHeight="1" x14ac:dyDescent="0.2">
      <c r="B39" s="130" t="s">
        <v>18</v>
      </c>
      <c r="C39" s="131"/>
      <c r="D39" s="131"/>
      <c r="E39" s="131"/>
      <c r="F39" s="131"/>
      <c r="G39" s="53"/>
      <c r="H39" s="325"/>
      <c r="I39" s="582"/>
      <c r="J39" s="325"/>
      <c r="K39" s="326"/>
      <c r="L39" s="326"/>
      <c r="M39" s="326"/>
      <c r="N39" s="308">
        <f>SUM(N37:N38)</f>
        <v>5.2668000000000008</v>
      </c>
      <c r="O39" s="185">
        <f>N39/N56</f>
        <v>8.3881479349365003E-4</v>
      </c>
    </row>
    <row r="40" spans="1:15" ht="11.25" customHeight="1" x14ac:dyDescent="0.2">
      <c r="B40" s="130"/>
      <c r="G40" s="52"/>
      <c r="H40" s="324"/>
      <c r="I40" s="323"/>
      <c r="J40" s="308"/>
      <c r="K40" s="313"/>
      <c r="L40" s="313"/>
      <c r="M40" s="313"/>
      <c r="N40" s="308"/>
      <c r="O40" s="185"/>
    </row>
    <row r="41" spans="1:15" ht="11.25" customHeight="1" x14ac:dyDescent="0.2">
      <c r="A41" s="98" t="s">
        <v>301</v>
      </c>
      <c r="B41" s="88" t="s">
        <v>669</v>
      </c>
      <c r="C41" s="153"/>
      <c r="D41" s="153"/>
      <c r="E41" s="153"/>
      <c r="F41" s="153"/>
      <c r="G41" s="97"/>
      <c r="H41" s="308"/>
      <c r="I41" s="323"/>
      <c r="J41" s="308"/>
      <c r="K41" s="308"/>
      <c r="L41" s="308"/>
      <c r="M41" s="308"/>
      <c r="N41" s="308"/>
      <c r="O41" s="185"/>
    </row>
    <row r="42" spans="1:15" ht="11.25" customHeight="1" x14ac:dyDescent="0.2">
      <c r="A42" s="98" t="s">
        <v>754</v>
      </c>
      <c r="B42" s="88" t="s">
        <v>755</v>
      </c>
      <c r="G42" s="97" t="s">
        <v>32</v>
      </c>
      <c r="H42" s="308">
        <f>H37</f>
        <v>3.99</v>
      </c>
      <c r="I42" s="323">
        <f>VLOOKUP(A42,'[1]TAB OGU JUN18'!$A:$G,6,"falso")</f>
        <v>5.0599999999999996</v>
      </c>
      <c r="J42" s="323">
        <f>VLOOKUP(A42,'[1]TAB OGU JUN18'!$A:$G,4,"falso")</f>
        <v>5.0599999999999996</v>
      </c>
      <c r="K42" s="308">
        <f>H42*J42</f>
        <v>20.189399999999999</v>
      </c>
      <c r="L42" s="323">
        <f>VLOOKUP(A42,'[1]TAB OGU JUN18'!$A:$G,5,"falso")</f>
        <v>0</v>
      </c>
      <c r="M42" s="308"/>
      <c r="N42" s="308">
        <f>H42*I42</f>
        <v>20.189399999999999</v>
      </c>
      <c r="O42" s="25">
        <f>N42/N44</f>
        <v>1</v>
      </c>
    </row>
    <row r="43" spans="1:15" ht="11.25" customHeight="1" x14ac:dyDescent="0.2">
      <c r="B43" s="130"/>
      <c r="G43" s="52"/>
      <c r="H43" s="324"/>
      <c r="I43" s="323"/>
      <c r="J43" s="308"/>
      <c r="K43" s="313"/>
      <c r="L43" s="313"/>
      <c r="M43" s="313"/>
      <c r="N43" s="308"/>
      <c r="O43" s="185"/>
    </row>
    <row r="44" spans="1:15" ht="11.25" customHeight="1" x14ac:dyDescent="0.2">
      <c r="B44" s="130" t="s">
        <v>18</v>
      </c>
      <c r="C44" s="131"/>
      <c r="D44" s="131"/>
      <c r="E44" s="131"/>
      <c r="F44" s="131"/>
      <c r="G44" s="53"/>
      <c r="H44" s="325"/>
      <c r="I44" s="582"/>
      <c r="J44" s="325"/>
      <c r="K44" s="325"/>
      <c r="L44" s="326"/>
      <c r="M44" s="326"/>
      <c r="N44" s="308">
        <f>SUM(N42:N43)</f>
        <v>20.189399999999999</v>
      </c>
      <c r="O44" s="185">
        <f>N44/N56</f>
        <v>3.2154567083923246E-3</v>
      </c>
    </row>
    <row r="45" spans="1:15" ht="11.25" customHeight="1" x14ac:dyDescent="0.2">
      <c r="B45" s="130"/>
      <c r="G45" s="52"/>
      <c r="H45" s="324"/>
      <c r="I45" s="323"/>
      <c r="J45" s="308"/>
      <c r="K45" s="313"/>
      <c r="L45" s="313"/>
      <c r="M45" s="313"/>
      <c r="N45" s="308"/>
      <c r="O45" s="185"/>
    </row>
    <row r="46" spans="1:15" ht="11.25" customHeight="1" x14ac:dyDescent="0.2">
      <c r="A46" s="98" t="s">
        <v>110</v>
      </c>
      <c r="B46" s="88" t="s">
        <v>112</v>
      </c>
      <c r="G46" s="52"/>
      <c r="H46" s="324"/>
      <c r="I46" s="323"/>
      <c r="J46" s="308"/>
      <c r="K46" s="313"/>
      <c r="L46" s="313"/>
      <c r="M46" s="313"/>
      <c r="N46" s="313"/>
      <c r="O46" s="187"/>
    </row>
    <row r="47" spans="1:15" ht="11.25" customHeight="1" x14ac:dyDescent="0.2">
      <c r="A47" s="98" t="s">
        <v>111</v>
      </c>
      <c r="B47" s="88" t="s">
        <v>113</v>
      </c>
      <c r="G47" s="97" t="s">
        <v>32</v>
      </c>
      <c r="H47" s="308">
        <f>ABS(H37-(H27+H32))</f>
        <v>322.75</v>
      </c>
      <c r="I47" s="323">
        <f>VLOOKUP(A47,'[1]TAB OGU JUN18'!$A:$G,6,"falso")</f>
        <v>1.85</v>
      </c>
      <c r="J47" s="323">
        <f>VLOOKUP(A47,'[1]TAB OGU JUN18'!$A:$G,4,"falso")</f>
        <v>1.85</v>
      </c>
      <c r="K47" s="308">
        <f>H47*J47</f>
        <v>597.08749999999998</v>
      </c>
      <c r="L47" s="323">
        <f>VLOOKUP(A47,'[1]TAB OGU JUN18'!$A:$G,5,"falso")</f>
        <v>0</v>
      </c>
      <c r="M47" s="308"/>
      <c r="N47" s="308">
        <f>H47*I47</f>
        <v>597.08749999999998</v>
      </c>
      <c r="O47" s="185">
        <f>N47/N49</f>
        <v>1</v>
      </c>
    </row>
    <row r="48" spans="1:15" ht="11.25" customHeight="1" x14ac:dyDescent="0.2">
      <c r="G48" s="52"/>
      <c r="H48" s="324"/>
      <c r="I48" s="323"/>
      <c r="J48" s="308"/>
      <c r="K48" s="313"/>
      <c r="L48" s="313"/>
      <c r="M48" s="313"/>
      <c r="N48" s="313"/>
      <c r="O48" s="187"/>
    </row>
    <row r="49" spans="1:16" ht="11.25" customHeight="1" x14ac:dyDescent="0.2">
      <c r="B49" s="130" t="s">
        <v>18</v>
      </c>
      <c r="C49" s="131"/>
      <c r="D49" s="131"/>
      <c r="E49" s="131"/>
      <c r="F49" s="131"/>
      <c r="G49" s="53"/>
      <c r="H49" s="325"/>
      <c r="I49" s="582"/>
      <c r="J49" s="325"/>
      <c r="K49" s="325"/>
      <c r="L49" s="325"/>
      <c r="M49" s="326"/>
      <c r="N49" s="308">
        <f>N47</f>
        <v>597.08749999999998</v>
      </c>
      <c r="O49" s="185">
        <f>N49/N56</f>
        <v>9.5094901649984742E-2</v>
      </c>
    </row>
    <row r="50" spans="1:16" ht="11.25" customHeight="1" x14ac:dyDescent="0.2">
      <c r="B50" s="130"/>
      <c r="G50" s="52"/>
      <c r="H50" s="324"/>
      <c r="I50" s="323"/>
      <c r="J50" s="308"/>
      <c r="K50" s="313"/>
      <c r="L50" s="313"/>
      <c r="M50" s="313"/>
      <c r="N50" s="308"/>
      <c r="O50" s="185"/>
    </row>
    <row r="51" spans="1:16" ht="11.25" customHeight="1" x14ac:dyDescent="0.2">
      <c r="A51" s="98" t="s">
        <v>114</v>
      </c>
      <c r="B51" s="88" t="s">
        <v>737</v>
      </c>
      <c r="G51" s="52"/>
      <c r="H51" s="324"/>
      <c r="I51" s="323"/>
      <c r="J51" s="308"/>
      <c r="K51" s="313"/>
      <c r="L51" s="313"/>
      <c r="M51" s="313"/>
      <c r="N51" s="313"/>
      <c r="O51" s="187"/>
    </row>
    <row r="52" spans="1:16" ht="11.25" customHeight="1" x14ac:dyDescent="0.2">
      <c r="A52" s="98" t="s">
        <v>115</v>
      </c>
      <c r="B52" s="88" t="s">
        <v>116</v>
      </c>
      <c r="G52" s="97" t="s">
        <v>180</v>
      </c>
      <c r="H52" s="308">
        <f>H47*3</f>
        <v>968.25</v>
      </c>
      <c r="I52" s="323">
        <f>VLOOKUP(A52,'[1]TAB OGU JUN18'!$A:$G,6,"falso")</f>
        <v>1</v>
      </c>
      <c r="J52" s="323">
        <f>VLOOKUP(A52,'[1]TAB OGU JUN18'!$A:$G,4,"falso")</f>
        <v>1</v>
      </c>
      <c r="K52" s="308">
        <f>H52*J52</f>
        <v>968.25</v>
      </c>
      <c r="L52" s="323">
        <f>VLOOKUP(A52,'[1]TAB OGU JUN18'!$A:$G,5,"falso")</f>
        <v>0</v>
      </c>
      <c r="M52" s="308"/>
      <c r="N52" s="308">
        <f>H52*I52</f>
        <v>968.25</v>
      </c>
      <c r="O52" s="185">
        <f>N52/N54</f>
        <v>1</v>
      </c>
    </row>
    <row r="53" spans="1:16" ht="11.25" customHeight="1" x14ac:dyDescent="0.2">
      <c r="G53" s="52"/>
      <c r="H53" s="324"/>
      <c r="I53" s="323"/>
      <c r="J53" s="313"/>
      <c r="K53" s="313"/>
      <c r="L53" s="313"/>
      <c r="M53" s="313"/>
      <c r="N53" s="313"/>
      <c r="O53" s="187"/>
    </row>
    <row r="54" spans="1:16" ht="11.25" customHeight="1" x14ac:dyDescent="0.2">
      <c r="B54" s="130" t="s">
        <v>18</v>
      </c>
      <c r="C54" s="131"/>
      <c r="D54" s="131"/>
      <c r="E54" s="131"/>
      <c r="F54" s="131"/>
      <c r="G54" s="53"/>
      <c r="H54" s="325"/>
      <c r="I54" s="582"/>
      <c r="J54" s="326"/>
      <c r="K54" s="326"/>
      <c r="L54" s="326"/>
      <c r="M54" s="326"/>
      <c r="N54" s="308">
        <f>N52</f>
        <v>968.25</v>
      </c>
      <c r="O54" s="185">
        <f>N54/N56</f>
        <v>0.1542079486215969</v>
      </c>
    </row>
    <row r="55" spans="1:16" ht="11.25" customHeight="1" x14ac:dyDescent="0.2">
      <c r="B55" s="130"/>
      <c r="G55" s="52"/>
      <c r="H55" s="324"/>
      <c r="I55" s="323"/>
      <c r="J55" s="313"/>
      <c r="K55" s="313"/>
      <c r="L55" s="313"/>
      <c r="M55" s="313"/>
      <c r="N55" s="308"/>
      <c r="O55" s="185"/>
    </row>
    <row r="56" spans="1:16" s="132" customFormat="1" ht="11.25" customHeight="1" x14ac:dyDescent="0.2">
      <c r="A56" s="157"/>
      <c r="B56" s="133" t="s">
        <v>20</v>
      </c>
      <c r="C56" s="134"/>
      <c r="D56" s="134"/>
      <c r="E56" s="134"/>
      <c r="F56" s="134"/>
      <c r="G56" s="78"/>
      <c r="H56" s="327"/>
      <c r="I56" s="582"/>
      <c r="J56" s="328"/>
      <c r="K56" s="328"/>
      <c r="L56" s="328"/>
      <c r="M56" s="328"/>
      <c r="N56" s="310">
        <f>N54+N49+N44+N39+N29+N34</f>
        <v>6278.8592200000003</v>
      </c>
      <c r="O56" s="186">
        <f>N56/N146</f>
        <v>0.26998821629595876</v>
      </c>
    </row>
    <row r="57" spans="1:16" ht="12.75" hidden="1" x14ac:dyDescent="0.2">
      <c r="B57" s="130"/>
      <c r="G57" s="52"/>
      <c r="H57" s="324"/>
      <c r="I57" s="323"/>
      <c r="J57" s="313"/>
      <c r="K57" s="313"/>
      <c r="L57" s="313"/>
      <c r="M57" s="313"/>
      <c r="N57" s="308"/>
      <c r="O57" s="185"/>
    </row>
    <row r="58" spans="1:16" ht="12.75" hidden="1" x14ac:dyDescent="0.2">
      <c r="A58" s="256" t="s">
        <v>308</v>
      </c>
      <c r="B58" s="834" t="s">
        <v>309</v>
      </c>
      <c r="C58" s="834"/>
      <c r="D58" s="834"/>
      <c r="E58" s="834"/>
      <c r="F58" s="834"/>
      <c r="G58" s="137"/>
      <c r="H58" s="642"/>
      <c r="I58" s="323"/>
      <c r="J58" s="330"/>
      <c r="K58" s="331"/>
      <c r="L58" s="311"/>
      <c r="M58" s="311"/>
      <c r="N58" s="313"/>
      <c r="O58" s="219"/>
    </row>
    <row r="59" spans="1:16" ht="12.75" hidden="1" x14ac:dyDescent="0.2">
      <c r="A59" s="256" t="s">
        <v>310</v>
      </c>
      <c r="B59" s="834" t="s">
        <v>311</v>
      </c>
      <c r="C59" s="834"/>
      <c r="D59" s="834"/>
      <c r="E59" s="834"/>
      <c r="F59" s="834"/>
      <c r="G59" s="137"/>
      <c r="H59" s="652"/>
      <c r="I59" s="323"/>
      <c r="J59" s="313"/>
      <c r="K59" s="313"/>
      <c r="L59" s="313"/>
      <c r="M59" s="313"/>
      <c r="N59" s="333"/>
      <c r="O59" s="299"/>
    </row>
    <row r="60" spans="1:16" ht="12.75" hidden="1" x14ac:dyDescent="0.2">
      <c r="A60" s="256" t="s">
        <v>709</v>
      </c>
      <c r="B60" s="837" t="s">
        <v>710</v>
      </c>
      <c r="C60" s="837"/>
      <c r="D60" s="837"/>
      <c r="E60" s="837"/>
      <c r="F60" s="837"/>
      <c r="G60" s="163" t="s">
        <v>17</v>
      </c>
      <c r="H60" s="293">
        <v>0</v>
      </c>
      <c r="I60" s="323"/>
      <c r="J60" s="323">
        <v>10.11</v>
      </c>
      <c r="K60" s="308">
        <f>H60*J60</f>
        <v>0</v>
      </c>
      <c r="L60" s="323">
        <v>25.62</v>
      </c>
      <c r="M60" s="308">
        <f>H60*L60</f>
        <v>0</v>
      </c>
      <c r="N60" s="308">
        <f>H60*I60</f>
        <v>0</v>
      </c>
      <c r="O60" s="424">
        <f>N60/N62</f>
        <v>0</v>
      </c>
      <c r="P60" s="51">
        <v>90877</v>
      </c>
    </row>
    <row r="61" spans="1:16" ht="12.75" hidden="1" x14ac:dyDescent="0.2">
      <c r="A61" s="256"/>
      <c r="B61" s="138"/>
      <c r="C61" s="138"/>
      <c r="D61" s="138"/>
      <c r="E61" s="138"/>
      <c r="F61" s="138"/>
      <c r="G61" s="139"/>
      <c r="H61" s="293"/>
      <c r="I61" s="323"/>
      <c r="J61" s="308"/>
      <c r="K61" s="308"/>
      <c r="L61" s="308"/>
      <c r="M61" s="308"/>
      <c r="N61" s="189"/>
      <c r="O61" s="300"/>
    </row>
    <row r="62" spans="1:16" ht="12.75" hidden="1" x14ac:dyDescent="0.2">
      <c r="A62" s="291"/>
      <c r="B62" s="155" t="s">
        <v>18</v>
      </c>
      <c r="C62" s="160"/>
      <c r="D62" s="160"/>
      <c r="E62" s="160"/>
      <c r="F62" s="144"/>
      <c r="G62" s="161"/>
      <c r="H62" s="656"/>
      <c r="I62" s="323"/>
      <c r="J62" s="334"/>
      <c r="K62" s="334"/>
      <c r="L62" s="334"/>
      <c r="M62" s="334"/>
      <c r="N62" s="315">
        <v>1</v>
      </c>
      <c r="O62" s="301">
        <f>N62/N90</f>
        <v>10</v>
      </c>
    </row>
    <row r="63" spans="1:16" ht="12.75" hidden="1" x14ac:dyDescent="0.2">
      <c r="A63" s="291"/>
      <c r="B63" s="138"/>
      <c r="C63" s="138"/>
      <c r="D63" s="138"/>
      <c r="E63" s="138"/>
      <c r="F63" s="138"/>
      <c r="G63" s="137"/>
      <c r="H63" s="652"/>
      <c r="I63" s="323"/>
      <c r="J63" s="313"/>
      <c r="K63" s="313"/>
      <c r="L63" s="313"/>
      <c r="M63" s="313"/>
      <c r="N63" s="189"/>
      <c r="O63" s="300"/>
    </row>
    <row r="64" spans="1:16" ht="12.75" hidden="1" x14ac:dyDescent="0.2">
      <c r="A64" s="256" t="s">
        <v>626</v>
      </c>
      <c r="B64" s="142" t="s">
        <v>627</v>
      </c>
      <c r="C64" s="142"/>
      <c r="D64" s="142"/>
      <c r="E64" s="142"/>
      <c r="F64" s="142"/>
      <c r="G64" s="137"/>
      <c r="H64" s="652"/>
      <c r="I64" s="323"/>
      <c r="J64" s="313"/>
      <c r="K64" s="313"/>
      <c r="L64" s="313"/>
      <c r="M64" s="313"/>
      <c r="N64" s="333"/>
      <c r="O64" s="299"/>
    </row>
    <row r="65" spans="1:15" ht="12.75" hidden="1" x14ac:dyDescent="0.2">
      <c r="A65" s="256" t="s">
        <v>628</v>
      </c>
      <c r="B65" s="200" t="s">
        <v>629</v>
      </c>
      <c r="C65" s="142"/>
      <c r="D65" s="142"/>
      <c r="E65" s="142"/>
      <c r="F65" s="142"/>
      <c r="G65" s="139" t="s">
        <v>24</v>
      </c>
      <c r="H65" s="293">
        <v>0</v>
      </c>
      <c r="I65" s="323"/>
      <c r="J65" s="323">
        <f>VLOOKUP(A65,'[1]TAB OGU JUN18'!$A:$G,4,"falso")</f>
        <v>59.33</v>
      </c>
      <c r="K65" s="308">
        <f>H65*J65</f>
        <v>0</v>
      </c>
      <c r="L65" s="323">
        <f>VLOOKUP(A65,'[1]TAB OGU JUN18'!$A:$G,5,"falso")</f>
        <v>0</v>
      </c>
      <c r="M65" s="308"/>
      <c r="N65" s="315">
        <f>H65*I65</f>
        <v>0</v>
      </c>
      <c r="O65" s="192">
        <f>N65/N67</f>
        <v>0</v>
      </c>
    </row>
    <row r="66" spans="1:15" ht="12.75" hidden="1" x14ac:dyDescent="0.2">
      <c r="A66" s="256"/>
      <c r="B66" s="138"/>
      <c r="C66" s="138"/>
      <c r="D66" s="138"/>
      <c r="E66" s="138"/>
      <c r="F66" s="138"/>
      <c r="G66" s="139"/>
      <c r="H66" s="293"/>
      <c r="I66" s="323"/>
      <c r="J66" s="308"/>
      <c r="K66" s="308"/>
      <c r="L66" s="308"/>
      <c r="M66" s="308"/>
      <c r="N66" s="189"/>
      <c r="O66" s="300"/>
    </row>
    <row r="67" spans="1:15" ht="12.75" hidden="1" x14ac:dyDescent="0.2">
      <c r="A67" s="291"/>
      <c r="B67" s="155" t="s">
        <v>18</v>
      </c>
      <c r="C67" s="160"/>
      <c r="D67" s="160"/>
      <c r="E67" s="160"/>
      <c r="F67" s="144"/>
      <c r="G67" s="161"/>
      <c r="H67" s="656"/>
      <c r="I67" s="323"/>
      <c r="J67" s="334"/>
      <c r="K67" s="334"/>
      <c r="L67" s="334"/>
      <c r="M67" s="334"/>
      <c r="N67" s="315">
        <v>1</v>
      </c>
      <c r="O67" s="301">
        <f>N67/N90</f>
        <v>10</v>
      </c>
    </row>
    <row r="68" spans="1:15" ht="12.75" hidden="1" x14ac:dyDescent="0.2">
      <c r="A68" s="291"/>
      <c r="B68" s="138"/>
      <c r="C68" s="138"/>
      <c r="D68" s="138"/>
      <c r="E68" s="138"/>
      <c r="F68" s="138"/>
      <c r="G68" s="137"/>
      <c r="H68" s="652"/>
      <c r="I68" s="323"/>
      <c r="J68" s="313"/>
      <c r="K68" s="313"/>
      <c r="L68" s="313"/>
      <c r="M68" s="313"/>
      <c r="N68" s="189"/>
      <c r="O68" s="300"/>
    </row>
    <row r="69" spans="1:15" ht="12.75" hidden="1" x14ac:dyDescent="0.2">
      <c r="A69" s="256" t="s">
        <v>318</v>
      </c>
      <c r="B69" s="834" t="s">
        <v>639</v>
      </c>
      <c r="C69" s="834"/>
      <c r="D69" s="834"/>
      <c r="E69" s="834"/>
      <c r="F69" s="834"/>
      <c r="G69" s="137"/>
      <c r="H69" s="642"/>
      <c r="I69" s="323"/>
      <c r="J69" s="330"/>
      <c r="K69" s="331"/>
      <c r="L69" s="311"/>
      <c r="M69" s="311"/>
      <c r="N69" s="313"/>
      <c r="O69" s="219"/>
    </row>
    <row r="70" spans="1:15" ht="12.75" hidden="1" x14ac:dyDescent="0.2">
      <c r="A70" s="256" t="s">
        <v>319</v>
      </c>
      <c r="B70" s="834" t="s">
        <v>640</v>
      </c>
      <c r="C70" s="834"/>
      <c r="D70" s="834"/>
      <c r="E70" s="834"/>
      <c r="F70" s="834"/>
      <c r="G70" s="97" t="s">
        <v>31</v>
      </c>
      <c r="H70" s="189">
        <v>0</v>
      </c>
      <c r="I70" s="323"/>
      <c r="J70" s="323">
        <f>VLOOKUP(A70,'[1]TAB OGU JUN18'!$A:$G,4,"falso")</f>
        <v>37.44</v>
      </c>
      <c r="K70" s="308">
        <f>H70*J70</f>
        <v>0</v>
      </c>
      <c r="L70" s="323">
        <f>VLOOKUP(A70,'[1]TAB OGU JUN18'!$A:$G,5,"falso")</f>
        <v>8.9499999999999993</v>
      </c>
      <c r="M70" s="308">
        <f>H70*L70</f>
        <v>0</v>
      </c>
      <c r="N70" s="315">
        <f>H70*I70</f>
        <v>0</v>
      </c>
      <c r="O70" s="297">
        <f>N70/N72</f>
        <v>0</v>
      </c>
    </row>
    <row r="71" spans="1:15" ht="12.75" hidden="1" x14ac:dyDescent="0.2">
      <c r="A71" s="256"/>
      <c r="B71" s="138"/>
      <c r="C71" s="138"/>
      <c r="D71" s="138"/>
      <c r="E71" s="138"/>
      <c r="F71" s="138"/>
      <c r="G71" s="139"/>
      <c r="H71" s="189"/>
      <c r="I71" s="323"/>
      <c r="J71" s="311"/>
      <c r="K71" s="311"/>
      <c r="L71" s="311"/>
      <c r="M71" s="311"/>
      <c r="N71" s="189"/>
      <c r="O71" s="297"/>
    </row>
    <row r="72" spans="1:15" ht="12.75" hidden="1" x14ac:dyDescent="0.2">
      <c r="A72" s="291"/>
      <c r="B72" s="142" t="s">
        <v>18</v>
      </c>
      <c r="C72" s="143"/>
      <c r="D72" s="143"/>
      <c r="E72" s="143"/>
      <c r="F72" s="143"/>
      <c r="G72" s="173"/>
      <c r="H72" s="663"/>
      <c r="I72" s="323"/>
      <c r="J72" s="336"/>
      <c r="K72" s="336"/>
      <c r="L72" s="336"/>
      <c r="M72" s="336"/>
      <c r="N72" s="189">
        <v>1</v>
      </c>
      <c r="O72" s="297">
        <f>N72/$N$90</f>
        <v>10</v>
      </c>
    </row>
    <row r="73" spans="1:15" ht="12.75" hidden="1" x14ac:dyDescent="0.2">
      <c r="A73" s="291"/>
      <c r="B73" s="138"/>
      <c r="C73" s="138"/>
      <c r="D73" s="138"/>
      <c r="E73" s="138"/>
      <c r="F73" s="138"/>
      <c r="G73" s="162"/>
      <c r="H73" s="641"/>
      <c r="I73" s="323"/>
      <c r="J73" s="311"/>
      <c r="K73" s="311"/>
      <c r="L73" s="311"/>
      <c r="M73" s="311"/>
      <c r="N73" s="189"/>
      <c r="O73" s="297"/>
    </row>
    <row r="74" spans="1:15" ht="12.75" hidden="1" x14ac:dyDescent="0.2">
      <c r="A74" s="256" t="s">
        <v>321</v>
      </c>
      <c r="B74" s="834" t="s">
        <v>322</v>
      </c>
      <c r="C74" s="834"/>
      <c r="D74" s="834"/>
      <c r="E74" s="834"/>
      <c r="F74" s="834"/>
      <c r="G74" s="162"/>
      <c r="H74" s="641"/>
      <c r="I74" s="323"/>
      <c r="J74" s="311"/>
      <c r="K74" s="311"/>
      <c r="L74" s="311"/>
      <c r="M74" s="311"/>
      <c r="N74" s="333"/>
      <c r="O74" s="297"/>
    </row>
    <row r="75" spans="1:15" ht="12.75" hidden="1" x14ac:dyDescent="0.2">
      <c r="A75" s="256" t="s">
        <v>323</v>
      </c>
      <c r="B75" s="834" t="s">
        <v>324</v>
      </c>
      <c r="C75" s="834"/>
      <c r="D75" s="834"/>
      <c r="E75" s="834"/>
      <c r="F75" s="834"/>
      <c r="G75" s="139" t="s">
        <v>325</v>
      </c>
      <c r="H75" s="189">
        <v>0</v>
      </c>
      <c r="I75" s="323"/>
      <c r="J75" s="323">
        <f>VLOOKUP(A75,'[1]TAB OGU JUN18'!$A:$G,4,"falso")</f>
        <v>2.4500000000000002</v>
      </c>
      <c r="K75" s="308">
        <f>H75*J75</f>
        <v>0</v>
      </c>
      <c r="L75" s="323">
        <f>VLOOKUP(A75,'[1]TAB OGU JUN18'!$A:$G,5,"falso")</f>
        <v>2.56</v>
      </c>
      <c r="M75" s="308">
        <f>H75*L75</f>
        <v>0</v>
      </c>
      <c r="N75" s="315">
        <f>H75*I75</f>
        <v>0</v>
      </c>
      <c r="O75" s="297">
        <f>N75/N78</f>
        <v>0</v>
      </c>
    </row>
    <row r="76" spans="1:15" ht="12.75" hidden="1" x14ac:dyDescent="0.2">
      <c r="A76" s="256" t="s">
        <v>326</v>
      </c>
      <c r="B76" s="834" t="s">
        <v>327</v>
      </c>
      <c r="C76" s="834"/>
      <c r="D76" s="834"/>
      <c r="E76" s="834"/>
      <c r="F76" s="834"/>
      <c r="G76" s="139" t="s">
        <v>325</v>
      </c>
      <c r="H76" s="189">
        <v>0</v>
      </c>
      <c r="I76" s="323"/>
      <c r="J76" s="323">
        <f>VLOOKUP(A76,'[1]TAB OGU JUN18'!$A:$G,4,"falso")</f>
        <v>3.68</v>
      </c>
      <c r="K76" s="308">
        <f>H76*J76</f>
        <v>0</v>
      </c>
      <c r="L76" s="323">
        <f>VLOOKUP(A76,'[1]TAB OGU JUN18'!$A:$G,5,"falso")</f>
        <v>4.33</v>
      </c>
      <c r="M76" s="308">
        <f>H76*L76</f>
        <v>0</v>
      </c>
      <c r="N76" s="315">
        <f>H76*I76</f>
        <v>0</v>
      </c>
      <c r="O76" s="297">
        <f>N76/N78</f>
        <v>0</v>
      </c>
    </row>
    <row r="77" spans="1:15" ht="12.75" hidden="1" x14ac:dyDescent="0.2">
      <c r="A77" s="256"/>
      <c r="B77" s="138"/>
      <c r="C77" s="138"/>
      <c r="D77" s="138"/>
      <c r="E77" s="138"/>
      <c r="F77" s="138"/>
      <c r="G77" s="139"/>
      <c r="H77" s="189"/>
      <c r="I77" s="323"/>
      <c r="J77" s="311"/>
      <c r="K77" s="311"/>
      <c r="L77" s="311"/>
      <c r="M77" s="311"/>
      <c r="N77" s="189"/>
      <c r="O77" s="297"/>
    </row>
    <row r="78" spans="1:15" ht="12.75" hidden="1" x14ac:dyDescent="0.2">
      <c r="A78" s="291"/>
      <c r="B78" s="142" t="s">
        <v>18</v>
      </c>
      <c r="C78" s="143"/>
      <c r="D78" s="143"/>
      <c r="E78" s="143"/>
      <c r="F78" s="143"/>
      <c r="G78" s="173"/>
      <c r="H78" s="663"/>
      <c r="I78" s="323"/>
      <c r="J78" s="336"/>
      <c r="K78" s="336"/>
      <c r="L78" s="336"/>
      <c r="M78" s="336"/>
      <c r="N78" s="189">
        <v>1</v>
      </c>
      <c r="O78" s="297">
        <f>N78/$N$90</f>
        <v>10</v>
      </c>
    </row>
    <row r="79" spans="1:15" ht="12.75" hidden="1" x14ac:dyDescent="0.2">
      <c r="A79" s="291"/>
      <c r="B79" s="138"/>
      <c r="C79" s="138"/>
      <c r="D79" s="138"/>
      <c r="E79" s="138"/>
      <c r="F79" s="138"/>
      <c r="G79" s="162"/>
      <c r="H79" s="641"/>
      <c r="I79" s="323"/>
      <c r="J79" s="313"/>
      <c r="K79" s="313"/>
      <c r="L79" s="313"/>
      <c r="M79" s="313"/>
      <c r="N79" s="189"/>
      <c r="O79" s="297"/>
    </row>
    <row r="80" spans="1:15" ht="12.75" hidden="1" x14ac:dyDescent="0.2">
      <c r="A80" s="292" t="s">
        <v>332</v>
      </c>
      <c r="B80" s="837" t="s">
        <v>333</v>
      </c>
      <c r="C80" s="837"/>
      <c r="D80" s="837"/>
      <c r="E80" s="837"/>
      <c r="F80" s="837"/>
      <c r="G80" s="162"/>
      <c r="H80" s="641"/>
      <c r="I80" s="323"/>
      <c r="J80" s="313"/>
      <c r="K80" s="313"/>
      <c r="L80" s="313"/>
      <c r="M80" s="313"/>
      <c r="N80" s="333"/>
      <c r="O80" s="297"/>
    </row>
    <row r="81" spans="1:15" ht="12.75" hidden="1" x14ac:dyDescent="0.2">
      <c r="A81" s="256" t="s">
        <v>334</v>
      </c>
      <c r="B81" s="834" t="s">
        <v>664</v>
      </c>
      <c r="C81" s="834"/>
      <c r="D81" s="834"/>
      <c r="E81" s="834"/>
      <c r="F81" s="834"/>
      <c r="G81" s="97" t="s">
        <v>32</v>
      </c>
      <c r="H81" s="189">
        <v>0</v>
      </c>
      <c r="I81" s="323"/>
      <c r="J81" s="323">
        <f>VLOOKUP(A81,'[1]TAB OGU JUN18'!$A:$G,4,"falso")</f>
        <v>40.92</v>
      </c>
      <c r="K81" s="308">
        <f>H81*J81</f>
        <v>0</v>
      </c>
      <c r="L81" s="323">
        <f>VLOOKUP(A81,'[1]TAB OGU JUN18'!$A:$G,5,"falso")</f>
        <v>293.33999999999997</v>
      </c>
      <c r="M81" s="308">
        <f>H81*L81</f>
        <v>0</v>
      </c>
      <c r="N81" s="315">
        <f>H81*I81</f>
        <v>0</v>
      </c>
      <c r="O81" s="297">
        <f>N81/N83</f>
        <v>0</v>
      </c>
    </row>
    <row r="82" spans="1:15" ht="12.75" hidden="1" x14ac:dyDescent="0.2">
      <c r="A82" s="256"/>
      <c r="B82" s="138"/>
      <c r="C82" s="138"/>
      <c r="D82" s="138"/>
      <c r="E82" s="138"/>
      <c r="F82" s="138"/>
      <c r="G82" s="139"/>
      <c r="H82" s="189"/>
      <c r="I82" s="323"/>
      <c r="J82" s="311"/>
      <c r="K82" s="311"/>
      <c r="L82" s="311"/>
      <c r="M82" s="311"/>
      <c r="N82" s="189"/>
      <c r="O82" s="297"/>
    </row>
    <row r="83" spans="1:15" ht="12.75" hidden="1" x14ac:dyDescent="0.2">
      <c r="A83" s="291"/>
      <c r="B83" s="142" t="s">
        <v>18</v>
      </c>
      <c r="C83" s="143"/>
      <c r="D83" s="143"/>
      <c r="E83" s="143"/>
      <c r="F83" s="143"/>
      <c r="G83" s="173"/>
      <c r="H83" s="663"/>
      <c r="I83" s="323"/>
      <c r="J83" s="336"/>
      <c r="K83" s="336"/>
      <c r="L83" s="336"/>
      <c r="M83" s="336"/>
      <c r="N83" s="189">
        <v>1</v>
      </c>
      <c r="O83" s="297">
        <f>N83/$N$90</f>
        <v>10</v>
      </c>
    </row>
    <row r="84" spans="1:15" ht="12.75" hidden="1" x14ac:dyDescent="0.2">
      <c r="A84" s="291"/>
      <c r="B84" s="138"/>
      <c r="C84" s="138"/>
      <c r="D84" s="138"/>
      <c r="E84" s="138"/>
      <c r="F84" s="138"/>
      <c r="G84" s="162"/>
      <c r="H84" s="641"/>
      <c r="I84" s="323"/>
      <c r="J84" s="311"/>
      <c r="K84" s="311"/>
      <c r="L84" s="311"/>
      <c r="M84" s="311"/>
      <c r="N84" s="189"/>
      <c r="O84" s="297"/>
    </row>
    <row r="85" spans="1:15" ht="12.75" hidden="1" x14ac:dyDescent="0.2">
      <c r="A85" s="256" t="s">
        <v>339</v>
      </c>
      <c r="B85" s="834" t="s">
        <v>340</v>
      </c>
      <c r="C85" s="834"/>
      <c r="D85" s="834"/>
      <c r="E85" s="834"/>
      <c r="F85" s="834"/>
      <c r="G85" s="162"/>
      <c r="H85" s="641"/>
      <c r="I85" s="323"/>
      <c r="J85" s="313"/>
      <c r="K85" s="313"/>
      <c r="L85" s="313"/>
      <c r="M85" s="313"/>
      <c r="N85" s="333"/>
      <c r="O85" s="297"/>
    </row>
    <row r="86" spans="1:15" ht="12.75" hidden="1" x14ac:dyDescent="0.2">
      <c r="A86" s="256" t="s">
        <v>341</v>
      </c>
      <c r="B86" s="834" t="s">
        <v>342</v>
      </c>
      <c r="C86" s="834"/>
      <c r="D86" s="834"/>
      <c r="E86" s="834"/>
      <c r="F86" s="834"/>
      <c r="G86" s="97" t="s">
        <v>31</v>
      </c>
      <c r="H86" s="189">
        <v>0</v>
      </c>
      <c r="I86" s="323"/>
      <c r="J86" s="323">
        <f>VLOOKUP(A86,'[1]TAB OGU JUN18'!$A:$G,4,"falso")</f>
        <v>0.82</v>
      </c>
      <c r="K86" s="308">
        <f>H86*J86</f>
        <v>0</v>
      </c>
      <c r="L86" s="323">
        <f>VLOOKUP(A86,'[1]TAB OGU JUN18'!$A:$G,5,"falso")</f>
        <v>0</v>
      </c>
      <c r="M86" s="308"/>
      <c r="N86" s="315">
        <v>1</v>
      </c>
      <c r="O86" s="297">
        <f>N86/N88</f>
        <v>1</v>
      </c>
    </row>
    <row r="87" spans="1:15" ht="12.75" hidden="1" x14ac:dyDescent="0.2">
      <c r="A87" s="256"/>
      <c r="B87" s="138"/>
      <c r="C87" s="138"/>
      <c r="D87" s="138"/>
      <c r="E87" s="138"/>
      <c r="F87" s="138"/>
      <c r="G87" s="190"/>
      <c r="H87" s="296"/>
      <c r="I87" s="323"/>
      <c r="J87" s="311"/>
      <c r="K87" s="311"/>
      <c r="L87" s="311"/>
      <c r="M87" s="311"/>
      <c r="N87" s="189"/>
      <c r="O87" s="297"/>
    </row>
    <row r="88" spans="1:15" ht="12.75" hidden="1" x14ac:dyDescent="0.2">
      <c r="A88" s="291"/>
      <c r="B88" s="142" t="s">
        <v>18</v>
      </c>
      <c r="C88" s="143"/>
      <c r="D88" s="143"/>
      <c r="E88" s="143"/>
      <c r="F88" s="143"/>
      <c r="G88" s="188"/>
      <c r="H88" s="664"/>
      <c r="I88" s="323"/>
      <c r="J88" s="336"/>
      <c r="K88" s="336"/>
      <c r="L88" s="336"/>
      <c r="M88" s="336"/>
      <c r="N88" s="189">
        <f>SUM(N86:N87)</f>
        <v>1</v>
      </c>
      <c r="O88" s="297">
        <f>N88/$N$90</f>
        <v>10</v>
      </c>
    </row>
    <row r="89" spans="1:15" ht="12.75" hidden="1" x14ac:dyDescent="0.2">
      <c r="A89" s="291"/>
      <c r="B89" s="138"/>
      <c r="C89" s="138"/>
      <c r="D89" s="138"/>
      <c r="E89" s="138"/>
      <c r="F89" s="138"/>
      <c r="G89" s="137"/>
      <c r="H89" s="642"/>
      <c r="I89" s="323"/>
      <c r="J89" s="311"/>
      <c r="K89" s="311"/>
      <c r="L89" s="311"/>
      <c r="M89" s="311"/>
      <c r="N89" s="189"/>
      <c r="O89" s="297"/>
    </row>
    <row r="90" spans="1:15" s="132" customFormat="1" ht="12.75" hidden="1" x14ac:dyDescent="0.2">
      <c r="A90" s="294"/>
      <c r="B90" s="175" t="s">
        <v>20</v>
      </c>
      <c r="C90" s="176"/>
      <c r="D90" s="176"/>
      <c r="E90" s="176"/>
      <c r="F90" s="176"/>
      <c r="G90" s="191"/>
      <c r="H90" s="667"/>
      <c r="I90" s="323"/>
      <c r="J90" s="338"/>
      <c r="K90" s="338"/>
      <c r="L90" s="338"/>
      <c r="M90" s="338"/>
      <c r="N90" s="295">
        <v>0.1</v>
      </c>
      <c r="O90" s="186">
        <f>N90/$N$146</f>
        <v>4.2999565181516963E-6</v>
      </c>
    </row>
    <row r="91" spans="1:15" ht="12.75" hidden="1" x14ac:dyDescent="0.2">
      <c r="B91" s="130"/>
      <c r="G91" s="52"/>
      <c r="H91" s="324"/>
      <c r="I91" s="323"/>
      <c r="J91" s="313"/>
      <c r="K91" s="313"/>
      <c r="L91" s="313"/>
      <c r="M91" s="313"/>
      <c r="N91" s="308"/>
      <c r="O91" s="185"/>
    </row>
    <row r="92" spans="1:15" ht="12.75" hidden="1" x14ac:dyDescent="0.2">
      <c r="A92" s="256">
        <v>11</v>
      </c>
      <c r="B92" s="834" t="s">
        <v>649</v>
      </c>
      <c r="C92" s="834"/>
      <c r="D92" s="834"/>
      <c r="E92" s="834"/>
      <c r="F92" s="834"/>
      <c r="G92" s="137"/>
      <c r="H92" s="641"/>
      <c r="I92" s="323"/>
      <c r="J92" s="330"/>
      <c r="K92" s="331"/>
      <c r="L92" s="311"/>
      <c r="M92" s="311"/>
      <c r="N92" s="313"/>
      <c r="O92" s="219"/>
    </row>
    <row r="93" spans="1:15" ht="12.75" hidden="1" x14ac:dyDescent="0.2">
      <c r="A93" s="256">
        <v>1101</v>
      </c>
      <c r="B93" s="834" t="s">
        <v>650</v>
      </c>
      <c r="C93" s="834"/>
      <c r="D93" s="834"/>
      <c r="E93" s="834"/>
      <c r="F93" s="834"/>
      <c r="G93" s="137"/>
      <c r="H93" s="641"/>
      <c r="I93" s="323"/>
      <c r="J93" s="330"/>
      <c r="K93" s="331"/>
      <c r="L93" s="311"/>
      <c r="M93" s="311"/>
      <c r="N93" s="313"/>
      <c r="O93" s="219"/>
    </row>
    <row r="94" spans="1:15" ht="12.75" hidden="1" x14ac:dyDescent="0.2">
      <c r="A94" s="256" t="s">
        <v>359</v>
      </c>
      <c r="B94" s="834" t="s">
        <v>360</v>
      </c>
      <c r="C94" s="834"/>
      <c r="D94" s="834"/>
      <c r="E94" s="834"/>
      <c r="F94" s="834"/>
      <c r="G94" s="97" t="s">
        <v>31</v>
      </c>
      <c r="H94" s="189">
        <v>0</v>
      </c>
      <c r="I94" s="323"/>
      <c r="J94" s="323">
        <f>VLOOKUP(A94,'[1]TAB OGU JUN18'!$A:$G,4,"falso")</f>
        <v>60.04</v>
      </c>
      <c r="K94" s="308">
        <f>H94*J94</f>
        <v>0</v>
      </c>
      <c r="L94" s="323">
        <f>VLOOKUP(A94,'[1]TAB OGU JUN18'!$A:$G,5,"falso")</f>
        <v>20.61</v>
      </c>
      <c r="M94" s="308">
        <f>H94*L94</f>
        <v>0</v>
      </c>
      <c r="N94" s="315">
        <f>H94*I94</f>
        <v>0</v>
      </c>
      <c r="O94" s="297">
        <f>N94/N96</f>
        <v>0</v>
      </c>
    </row>
    <row r="95" spans="1:15" ht="12.75" hidden="1" x14ac:dyDescent="0.2">
      <c r="A95" s="256"/>
      <c r="B95" s="138"/>
      <c r="C95" s="138"/>
      <c r="D95" s="138"/>
      <c r="E95" s="138"/>
      <c r="F95" s="138"/>
      <c r="G95" s="139"/>
      <c r="H95" s="189"/>
      <c r="I95" s="323"/>
      <c r="J95" s="296"/>
      <c r="K95" s="296"/>
      <c r="L95" s="296"/>
      <c r="M95" s="296"/>
      <c r="N95" s="189"/>
      <c r="O95" s="297"/>
    </row>
    <row r="96" spans="1:15" ht="12.75" hidden="1" x14ac:dyDescent="0.2">
      <c r="A96" s="291"/>
      <c r="B96" s="142" t="s">
        <v>18</v>
      </c>
      <c r="C96" s="143"/>
      <c r="D96" s="143"/>
      <c r="E96" s="143"/>
      <c r="F96" s="143"/>
      <c r="G96" s="173"/>
      <c r="H96" s="663"/>
      <c r="I96" s="323"/>
      <c r="J96" s="336"/>
      <c r="K96" s="336"/>
      <c r="L96" s="336"/>
      <c r="M96" s="336"/>
      <c r="N96" s="189">
        <v>1</v>
      </c>
      <c r="O96" s="297">
        <f>N96/N103</f>
        <v>10</v>
      </c>
    </row>
    <row r="97" spans="1:16" ht="12.75" hidden="1" x14ac:dyDescent="0.2">
      <c r="A97" s="291"/>
      <c r="B97" s="138"/>
      <c r="C97" s="138"/>
      <c r="D97" s="138"/>
      <c r="E97" s="138"/>
      <c r="F97" s="138"/>
      <c r="G97" s="162"/>
      <c r="H97" s="641"/>
      <c r="I97" s="323"/>
      <c r="J97" s="311"/>
      <c r="K97" s="311"/>
      <c r="L97" s="311"/>
      <c r="M97" s="311"/>
      <c r="N97" s="189"/>
      <c r="O97" s="297"/>
    </row>
    <row r="98" spans="1:16" ht="12.75" hidden="1" x14ac:dyDescent="0.2">
      <c r="A98" s="256">
        <v>1102</v>
      </c>
      <c r="B98" s="834" t="s">
        <v>361</v>
      </c>
      <c r="C98" s="834"/>
      <c r="D98" s="834"/>
      <c r="E98" s="834"/>
      <c r="F98" s="834"/>
      <c r="G98" s="137"/>
      <c r="H98" s="641"/>
      <c r="I98" s="323"/>
      <c r="J98" s="330"/>
      <c r="K98" s="331"/>
      <c r="L98" s="311"/>
      <c r="M98" s="311"/>
      <c r="N98" s="313"/>
      <c r="O98" s="219"/>
    </row>
    <row r="99" spans="1:16" ht="12.75" hidden="1" x14ac:dyDescent="0.2">
      <c r="A99" s="256" t="s">
        <v>553</v>
      </c>
      <c r="B99" s="834" t="s">
        <v>554</v>
      </c>
      <c r="C99" s="834"/>
      <c r="D99" s="834"/>
      <c r="E99" s="834"/>
      <c r="F99" s="834"/>
      <c r="G99" s="97" t="s">
        <v>31</v>
      </c>
      <c r="H99" s="189">
        <v>0</v>
      </c>
      <c r="I99" s="323"/>
      <c r="J99" s="323">
        <v>44.66</v>
      </c>
      <c r="K99" s="308">
        <f>H99*J99</f>
        <v>0</v>
      </c>
      <c r="L99" s="323">
        <v>380.83</v>
      </c>
      <c r="M99" s="308">
        <f>H99*L99</f>
        <v>0</v>
      </c>
      <c r="N99" s="315">
        <f>H99*I99</f>
        <v>0</v>
      </c>
      <c r="O99" s="297">
        <f>N99/N101</f>
        <v>0</v>
      </c>
      <c r="P99" s="51" t="s">
        <v>633</v>
      </c>
    </row>
    <row r="100" spans="1:16" ht="12.75" hidden="1" x14ac:dyDescent="0.2">
      <c r="A100" s="256"/>
      <c r="B100" s="138"/>
      <c r="C100" s="138"/>
      <c r="D100" s="138"/>
      <c r="E100" s="138"/>
      <c r="F100" s="138"/>
      <c r="G100" s="139"/>
      <c r="H100" s="189"/>
      <c r="I100" s="323"/>
      <c r="J100" s="296"/>
      <c r="K100" s="296"/>
      <c r="L100" s="296"/>
      <c r="M100" s="296"/>
      <c r="N100" s="189"/>
      <c r="O100" s="297"/>
    </row>
    <row r="101" spans="1:16" ht="12.75" hidden="1" x14ac:dyDescent="0.2">
      <c r="A101" s="291"/>
      <c r="B101" s="142" t="s">
        <v>18</v>
      </c>
      <c r="C101" s="143"/>
      <c r="D101" s="143"/>
      <c r="E101" s="143"/>
      <c r="F101" s="143"/>
      <c r="G101" s="173"/>
      <c r="H101" s="663"/>
      <c r="I101" s="323"/>
      <c r="J101" s="336"/>
      <c r="K101" s="336"/>
      <c r="L101" s="336"/>
      <c r="M101" s="336"/>
      <c r="N101" s="189">
        <v>1</v>
      </c>
      <c r="O101" s="297">
        <f>N101/N103</f>
        <v>10</v>
      </c>
    </row>
    <row r="102" spans="1:16" ht="12.75" hidden="1" x14ac:dyDescent="0.2">
      <c r="A102" s="291"/>
      <c r="B102" s="138"/>
      <c r="C102" s="138"/>
      <c r="D102" s="138"/>
      <c r="E102" s="138"/>
      <c r="F102" s="138"/>
      <c r="G102" s="162"/>
      <c r="H102" s="641"/>
      <c r="I102" s="323"/>
      <c r="J102" s="311"/>
      <c r="K102" s="311"/>
      <c r="L102" s="311"/>
      <c r="M102" s="311"/>
      <c r="N102" s="189"/>
      <c r="O102" s="297"/>
    </row>
    <row r="103" spans="1:16" s="132" customFormat="1" ht="12.75" hidden="1" x14ac:dyDescent="0.2">
      <c r="A103" s="294"/>
      <c r="B103" s="175" t="s">
        <v>20</v>
      </c>
      <c r="C103" s="176"/>
      <c r="D103" s="176"/>
      <c r="E103" s="176"/>
      <c r="F103" s="176"/>
      <c r="G103" s="178"/>
      <c r="H103" s="666"/>
      <c r="I103" s="323"/>
      <c r="J103" s="338"/>
      <c r="K103" s="338"/>
      <c r="L103" s="338"/>
      <c r="M103" s="338"/>
      <c r="N103" s="295">
        <v>0.1</v>
      </c>
      <c r="O103" s="186">
        <f>N103/$N$146</f>
        <v>4.2999565181516963E-6</v>
      </c>
    </row>
    <row r="104" spans="1:16" ht="12.75" hidden="1" x14ac:dyDescent="0.2">
      <c r="A104" s="291"/>
      <c r="B104" s="138"/>
      <c r="C104" s="138"/>
      <c r="D104" s="138"/>
      <c r="E104" s="138"/>
      <c r="F104" s="138"/>
      <c r="G104" s="162"/>
      <c r="H104" s="641"/>
      <c r="I104" s="323"/>
      <c r="J104" s="311"/>
      <c r="K104" s="311"/>
      <c r="L104" s="311"/>
      <c r="M104" s="311"/>
      <c r="N104" s="189"/>
      <c r="O104" s="297"/>
    </row>
    <row r="105" spans="1:16" ht="12.75" hidden="1" x14ac:dyDescent="0.2">
      <c r="A105" s="256">
        <v>12</v>
      </c>
      <c r="B105" s="834" t="s">
        <v>377</v>
      </c>
      <c r="C105" s="834"/>
      <c r="D105" s="834"/>
      <c r="E105" s="834"/>
      <c r="F105" s="834"/>
      <c r="G105" s="162"/>
      <c r="H105" s="641"/>
      <c r="I105" s="323"/>
      <c r="J105" s="311"/>
      <c r="K105" s="311"/>
      <c r="L105" s="311"/>
      <c r="M105" s="311"/>
      <c r="N105" s="333"/>
      <c r="O105" s="297"/>
    </row>
    <row r="106" spans="1:16" ht="12.75" hidden="1" x14ac:dyDescent="0.2">
      <c r="A106" s="256">
        <v>1203</v>
      </c>
      <c r="B106" s="834" t="s">
        <v>386</v>
      </c>
      <c r="C106" s="834"/>
      <c r="D106" s="834"/>
      <c r="E106" s="834"/>
      <c r="F106" s="834"/>
      <c r="G106" s="162"/>
      <c r="H106" s="641"/>
      <c r="I106" s="323"/>
      <c r="J106" s="311"/>
      <c r="K106" s="311"/>
      <c r="L106" s="311"/>
      <c r="M106" s="311"/>
      <c r="N106" s="333"/>
      <c r="O106" s="297"/>
    </row>
    <row r="107" spans="1:16" ht="12.75" hidden="1" x14ac:dyDescent="0.2">
      <c r="A107" s="256" t="s">
        <v>387</v>
      </c>
      <c r="B107" s="834" t="s">
        <v>388</v>
      </c>
      <c r="C107" s="834"/>
      <c r="D107" s="834"/>
      <c r="E107" s="834"/>
      <c r="F107" s="834"/>
      <c r="G107" s="97" t="s">
        <v>31</v>
      </c>
      <c r="H107" s="189">
        <v>0</v>
      </c>
      <c r="I107" s="323"/>
      <c r="J107" s="323">
        <f>VLOOKUP(A107,'[1]TAB OGU JUN18'!$A:$G,4,"falso")</f>
        <v>2.74</v>
      </c>
      <c r="K107" s="308">
        <f>H107*J107</f>
        <v>0</v>
      </c>
      <c r="L107" s="323">
        <f>VLOOKUP(A107,'[1]TAB OGU JUN18'!$A:$G,5,"falso")</f>
        <v>0.64</v>
      </c>
      <c r="M107" s="308">
        <f>H107*L107</f>
        <v>0</v>
      </c>
      <c r="N107" s="315">
        <f>H107*I107</f>
        <v>0</v>
      </c>
      <c r="O107" s="297">
        <f>N107/N111</f>
        <v>0</v>
      </c>
    </row>
    <row r="108" spans="1:16" ht="12.75" hidden="1" x14ac:dyDescent="0.2">
      <c r="A108" s="256" t="s">
        <v>393</v>
      </c>
      <c r="B108" s="838" t="s">
        <v>394</v>
      </c>
      <c r="C108" s="838"/>
      <c r="D108" s="838"/>
      <c r="E108" s="838"/>
      <c r="F108" s="838"/>
      <c r="G108" s="97" t="s">
        <v>31</v>
      </c>
      <c r="H108" s="189">
        <v>0</v>
      </c>
      <c r="I108" s="323"/>
      <c r="J108" s="323">
        <f>VLOOKUP(A108,'[1]TAB OGU JUN18'!$A:$G,4,"falso")</f>
        <v>28.59</v>
      </c>
      <c r="K108" s="308">
        <f>H108*J108</f>
        <v>0</v>
      </c>
      <c r="L108" s="323">
        <f>VLOOKUP(A108,'[1]TAB OGU JUN18'!$A:$G,5,"falso")</f>
        <v>4.2699999999999996</v>
      </c>
      <c r="M108" s="308">
        <f>H108*L108</f>
        <v>0</v>
      </c>
      <c r="N108" s="315">
        <f>H108*I108</f>
        <v>0</v>
      </c>
      <c r="O108" s="297">
        <f>N108/N111</f>
        <v>0</v>
      </c>
    </row>
    <row r="109" spans="1:16" ht="12.75" hidden="1" x14ac:dyDescent="0.2">
      <c r="A109" s="256" t="s">
        <v>395</v>
      </c>
      <c r="B109" s="834" t="s">
        <v>396</v>
      </c>
      <c r="C109" s="834"/>
      <c r="D109" s="834"/>
      <c r="E109" s="834"/>
      <c r="F109" s="834"/>
      <c r="G109" s="97" t="s">
        <v>31</v>
      </c>
      <c r="H109" s="189">
        <v>0</v>
      </c>
      <c r="I109" s="323"/>
      <c r="J109" s="323">
        <f>VLOOKUP(A109,'[1]TAB OGU JUN18'!$A:$G,4,"falso")</f>
        <v>20.82</v>
      </c>
      <c r="K109" s="308">
        <f>H109*J109</f>
        <v>0</v>
      </c>
      <c r="L109" s="323">
        <f>VLOOKUP(A109,'[1]TAB OGU JUN18'!$A:$G,5,"falso")</f>
        <v>0.71</v>
      </c>
      <c r="M109" s="308">
        <f>H109*L109</f>
        <v>0</v>
      </c>
      <c r="N109" s="315">
        <f>H109*I109</f>
        <v>0</v>
      </c>
      <c r="O109" s="297">
        <f>N109/N111</f>
        <v>0</v>
      </c>
    </row>
    <row r="110" spans="1:16" ht="12.75" hidden="1" x14ac:dyDescent="0.2">
      <c r="A110" s="256"/>
      <c r="B110" s="138"/>
      <c r="C110" s="138"/>
      <c r="D110" s="138"/>
      <c r="E110" s="138"/>
      <c r="F110" s="138"/>
      <c r="G110" s="139"/>
      <c r="H110" s="189"/>
      <c r="I110" s="323"/>
      <c r="J110" s="311"/>
      <c r="K110" s="311"/>
      <c r="L110" s="311"/>
      <c r="M110" s="311"/>
      <c r="N110" s="189"/>
      <c r="O110" s="297"/>
    </row>
    <row r="111" spans="1:16" ht="12.75" hidden="1" x14ac:dyDescent="0.2">
      <c r="A111" s="291"/>
      <c r="B111" s="142" t="s">
        <v>18</v>
      </c>
      <c r="C111" s="143"/>
      <c r="D111" s="143"/>
      <c r="E111" s="143"/>
      <c r="F111" s="143"/>
      <c r="G111" s="173"/>
      <c r="H111" s="663"/>
      <c r="I111" s="323"/>
      <c r="J111" s="336"/>
      <c r="K111" s="336"/>
      <c r="L111" s="336"/>
      <c r="M111" s="336"/>
      <c r="N111" s="189">
        <v>0.1</v>
      </c>
      <c r="O111" s="297">
        <f>N111/$N$118</f>
        <v>3.4955098428313906E-4</v>
      </c>
    </row>
    <row r="112" spans="1:16" ht="12.75" x14ac:dyDescent="0.2">
      <c r="A112" s="291"/>
      <c r="B112" s="138"/>
      <c r="C112" s="138"/>
      <c r="D112" s="138"/>
      <c r="E112" s="138"/>
      <c r="F112" s="138"/>
      <c r="G112" s="162"/>
      <c r="H112" s="641"/>
      <c r="I112" s="323"/>
      <c r="J112" s="311"/>
      <c r="K112" s="311"/>
      <c r="L112" s="370"/>
      <c r="M112" s="311"/>
      <c r="N112" s="189"/>
      <c r="O112" s="297"/>
    </row>
    <row r="113" spans="1:15" ht="11.25" customHeight="1" x14ac:dyDescent="0.2">
      <c r="A113" s="256">
        <v>1206</v>
      </c>
      <c r="B113" s="834" t="s">
        <v>647</v>
      </c>
      <c r="C113" s="834"/>
      <c r="D113" s="834"/>
      <c r="E113" s="834"/>
      <c r="F113" s="834"/>
      <c r="G113" s="162"/>
      <c r="H113" s="641"/>
      <c r="I113" s="323"/>
      <c r="J113" s="311"/>
      <c r="K113" s="311"/>
      <c r="L113" s="370"/>
      <c r="M113" s="311"/>
      <c r="N113" s="333"/>
      <c r="O113" s="297"/>
    </row>
    <row r="114" spans="1:15" ht="11.25" customHeight="1" x14ac:dyDescent="0.2">
      <c r="A114" s="256" t="s">
        <v>464</v>
      </c>
      <c r="B114" s="834" t="s">
        <v>913</v>
      </c>
      <c r="C114" s="834"/>
      <c r="D114" s="834"/>
      <c r="E114" s="834"/>
      <c r="F114" s="834"/>
      <c r="G114" s="97" t="s">
        <v>31</v>
      </c>
      <c r="H114" s="189">
        <v>866.61</v>
      </c>
      <c r="I114" s="323">
        <f>VLOOKUP(A114,'[1]TAB OGU JUN18'!$A:$G,6,"falso")</f>
        <v>3.74</v>
      </c>
      <c r="J114" s="323">
        <f>VLOOKUP(A114,'[1]TAB OGU JUN18'!$A:$G,4,"falso")</f>
        <v>0.33</v>
      </c>
      <c r="K114" s="308">
        <f>H114*J114</f>
        <v>285.98130000000003</v>
      </c>
      <c r="L114" s="323">
        <v>0</v>
      </c>
      <c r="M114" s="308"/>
      <c r="N114" s="315">
        <f>H114*J114</f>
        <v>285.98130000000003</v>
      </c>
      <c r="O114" s="297">
        <f>N114/N116</f>
        <v>1</v>
      </c>
    </row>
    <row r="115" spans="1:15" ht="11.25" customHeight="1" x14ac:dyDescent="0.2">
      <c r="A115" s="256"/>
      <c r="B115" s="138"/>
      <c r="C115" s="138"/>
      <c r="D115" s="138"/>
      <c r="E115" s="138"/>
      <c r="F115" s="138"/>
      <c r="G115" s="139"/>
      <c r="H115" s="189"/>
      <c r="I115" s="296"/>
      <c r="J115" s="311"/>
      <c r="K115" s="311"/>
      <c r="L115" s="370"/>
      <c r="M115" s="311"/>
      <c r="N115" s="189"/>
      <c r="O115" s="297"/>
    </row>
    <row r="116" spans="1:15" ht="11.25" customHeight="1" x14ac:dyDescent="0.2">
      <c r="A116" s="291"/>
      <c r="B116" s="142" t="s">
        <v>18</v>
      </c>
      <c r="C116" s="143"/>
      <c r="D116" s="143"/>
      <c r="E116" s="143"/>
      <c r="F116" s="143"/>
      <c r="G116" s="173"/>
      <c r="H116" s="663"/>
      <c r="I116" s="336"/>
      <c r="J116" s="336"/>
      <c r="K116" s="336"/>
      <c r="L116" s="336"/>
      <c r="M116" s="336"/>
      <c r="N116" s="189">
        <f>SUM(N114:N115)</f>
        <v>285.98130000000003</v>
      </c>
      <c r="O116" s="297">
        <f>N116/$N$118</f>
        <v>0.99965044901571676</v>
      </c>
    </row>
    <row r="117" spans="1:15" ht="11.25" customHeight="1" x14ac:dyDescent="0.2">
      <c r="A117" s="291"/>
      <c r="B117" s="138"/>
      <c r="C117" s="138"/>
      <c r="D117" s="138"/>
      <c r="E117" s="138"/>
      <c r="F117" s="138"/>
      <c r="G117" s="162"/>
      <c r="H117" s="641"/>
      <c r="I117" s="330"/>
      <c r="J117" s="311"/>
      <c r="K117" s="311"/>
      <c r="L117" s="370"/>
      <c r="M117" s="311"/>
      <c r="N117" s="189"/>
      <c r="O117" s="297"/>
    </row>
    <row r="118" spans="1:15" s="132" customFormat="1" ht="11.25" customHeight="1" x14ac:dyDescent="0.2">
      <c r="A118" s="294"/>
      <c r="B118" s="175" t="s">
        <v>20</v>
      </c>
      <c r="C118" s="176"/>
      <c r="D118" s="176"/>
      <c r="E118" s="176"/>
      <c r="F118" s="176"/>
      <c r="G118" s="178"/>
      <c r="H118" s="666"/>
      <c r="I118" s="338"/>
      <c r="J118" s="338"/>
      <c r="K118" s="338"/>
      <c r="L118" s="338"/>
      <c r="M118" s="338"/>
      <c r="N118" s="295">
        <f>N116+N111</f>
        <v>286.08130000000006</v>
      </c>
      <c r="O118" s="186">
        <f>N118/$N$146</f>
        <v>1.2301371506563111E-2</v>
      </c>
    </row>
    <row r="119" spans="1:15" ht="11.25" hidden="1" customHeight="1" x14ac:dyDescent="0.2">
      <c r="A119" s="291"/>
      <c r="B119" s="138"/>
      <c r="C119" s="138"/>
      <c r="D119" s="138"/>
      <c r="E119" s="138"/>
      <c r="F119" s="138"/>
      <c r="G119" s="162"/>
      <c r="H119" s="641"/>
      <c r="I119" s="330"/>
      <c r="J119" s="311"/>
      <c r="K119" s="311"/>
      <c r="L119" s="311"/>
      <c r="M119" s="311"/>
      <c r="N119" s="189"/>
      <c r="O119" s="297"/>
    </row>
    <row r="120" spans="1:15" ht="11.25" hidden="1" customHeight="1" x14ac:dyDescent="0.2">
      <c r="A120" s="256">
        <v>14</v>
      </c>
      <c r="B120" s="834" t="s">
        <v>427</v>
      </c>
      <c r="C120" s="834"/>
      <c r="D120" s="834"/>
      <c r="E120" s="834"/>
      <c r="F120" s="834"/>
      <c r="G120" s="162"/>
      <c r="H120" s="641"/>
      <c r="I120" s="330"/>
      <c r="J120" s="311"/>
      <c r="K120" s="311"/>
      <c r="L120" s="311"/>
      <c r="M120" s="311"/>
      <c r="N120" s="333"/>
      <c r="O120" s="297"/>
    </row>
    <row r="121" spans="1:15" ht="11.25" hidden="1" customHeight="1" x14ac:dyDescent="0.2">
      <c r="A121" s="256">
        <v>1404</v>
      </c>
      <c r="B121" s="834" t="s">
        <v>428</v>
      </c>
      <c r="C121" s="834"/>
      <c r="D121" s="834"/>
      <c r="E121" s="834"/>
      <c r="F121" s="834"/>
      <c r="G121" s="162"/>
      <c r="H121" s="641"/>
      <c r="I121" s="330"/>
      <c r="J121" s="311"/>
      <c r="K121" s="311"/>
      <c r="L121" s="311"/>
      <c r="M121" s="311"/>
      <c r="N121" s="333"/>
      <c r="O121" s="297"/>
    </row>
    <row r="122" spans="1:15" ht="11.25" hidden="1" customHeight="1" x14ac:dyDescent="0.2">
      <c r="A122" s="256" t="s">
        <v>429</v>
      </c>
      <c r="B122" s="834" t="s">
        <v>430</v>
      </c>
      <c r="C122" s="834"/>
      <c r="D122" s="834"/>
      <c r="E122" s="834"/>
      <c r="F122" s="834"/>
      <c r="G122" s="139" t="s">
        <v>24</v>
      </c>
      <c r="H122" s="189">
        <v>0</v>
      </c>
      <c r="I122" s="323">
        <f>VLOOKUP(A122,'[1]TAB OGU JUN18'!$A:$G,6,"falso")</f>
        <v>38.42</v>
      </c>
      <c r="J122" s="323">
        <f>VLOOKUP(A122,'[1]TAB OGU JUN18'!$A:$G,4,"falso")</f>
        <v>37.270000000000003</v>
      </c>
      <c r="K122" s="308">
        <f>H122*J122</f>
        <v>0</v>
      </c>
      <c r="L122" s="323">
        <f>VLOOKUP(A122,'[1]TAB OGU JUN18'!$A:$G,5,"falso")</f>
        <v>1.1499999999999999</v>
      </c>
      <c r="M122" s="308">
        <f>H122*L122</f>
        <v>0</v>
      </c>
      <c r="N122" s="315">
        <f>H122*I122</f>
        <v>0</v>
      </c>
      <c r="O122" s="297" t="e">
        <f>N122/N124</f>
        <v>#DIV/0!</v>
      </c>
    </row>
    <row r="123" spans="1:15" ht="11.25" hidden="1" customHeight="1" x14ac:dyDescent="0.2">
      <c r="A123" s="256"/>
      <c r="B123" s="138"/>
      <c r="C123" s="138"/>
      <c r="D123" s="138"/>
      <c r="E123" s="138"/>
      <c r="F123" s="138"/>
      <c r="G123" s="139"/>
      <c r="H123" s="189"/>
      <c r="I123" s="296"/>
      <c r="J123" s="311"/>
      <c r="K123" s="311"/>
      <c r="L123" s="311"/>
      <c r="M123" s="311"/>
      <c r="N123" s="189"/>
      <c r="O123" s="297"/>
    </row>
    <row r="124" spans="1:15" s="150" customFormat="1" ht="11.25" hidden="1" customHeight="1" x14ac:dyDescent="0.2">
      <c r="A124" s="291"/>
      <c r="B124" s="142" t="s">
        <v>18</v>
      </c>
      <c r="C124" s="143"/>
      <c r="D124" s="143"/>
      <c r="E124" s="143"/>
      <c r="F124" s="143"/>
      <c r="G124" s="173"/>
      <c r="H124" s="663"/>
      <c r="I124" s="336"/>
      <c r="J124" s="336"/>
      <c r="K124" s="336"/>
      <c r="L124" s="336"/>
      <c r="M124" s="336"/>
      <c r="N124" s="189">
        <f>SUM(N122:N123)</f>
        <v>0</v>
      </c>
      <c r="O124" s="297" t="e">
        <f>N124/$N$136</f>
        <v>#DIV/0!</v>
      </c>
    </row>
    <row r="125" spans="1:15" s="150" customFormat="1" ht="11.25" hidden="1" customHeight="1" x14ac:dyDescent="0.2">
      <c r="A125" s="291"/>
      <c r="B125" s="138"/>
      <c r="C125" s="138"/>
      <c r="D125" s="138"/>
      <c r="E125" s="138"/>
      <c r="F125" s="138"/>
      <c r="G125" s="162"/>
      <c r="H125" s="641"/>
      <c r="I125" s="330"/>
      <c r="J125" s="370"/>
      <c r="K125" s="370"/>
      <c r="L125" s="370"/>
      <c r="M125" s="370"/>
      <c r="N125" s="189"/>
      <c r="O125" s="297"/>
    </row>
    <row r="126" spans="1:15" ht="11.25" hidden="1" customHeight="1" x14ac:dyDescent="0.2">
      <c r="A126" s="256">
        <v>1410</v>
      </c>
      <c r="B126" s="834" t="s">
        <v>435</v>
      </c>
      <c r="C126" s="834"/>
      <c r="D126" s="834"/>
      <c r="E126" s="834"/>
      <c r="F126" s="834"/>
      <c r="G126" s="162"/>
      <c r="H126" s="641"/>
      <c r="I126" s="333"/>
      <c r="J126" s="313"/>
      <c r="K126" s="313"/>
      <c r="L126" s="313"/>
      <c r="M126" s="313"/>
      <c r="N126" s="333"/>
      <c r="O126" s="299"/>
    </row>
    <row r="127" spans="1:15" ht="11.25" hidden="1" customHeight="1" x14ac:dyDescent="0.2">
      <c r="A127" s="256" t="s">
        <v>438</v>
      </c>
      <c r="B127" s="834" t="s">
        <v>439</v>
      </c>
      <c r="C127" s="834"/>
      <c r="D127" s="834"/>
      <c r="E127" s="834"/>
      <c r="F127" s="834"/>
      <c r="G127" s="139" t="s">
        <v>24</v>
      </c>
      <c r="H127" s="189">
        <v>0</v>
      </c>
      <c r="I127" s="323">
        <f>VLOOKUP(A127,'[1]TAB OGU JUN18'!$A:$G,6,"falso")</f>
        <v>215.36</v>
      </c>
      <c r="J127" s="323">
        <f>VLOOKUP(A127,'[1]TAB OGU JUN18'!$A:$G,4,"falso")</f>
        <v>215.36</v>
      </c>
      <c r="K127" s="308">
        <f>H127*J127</f>
        <v>0</v>
      </c>
      <c r="L127" s="323">
        <f>VLOOKUP(A127,'[1]TAB OGU JUN18'!$A:$G,5,"falso")</f>
        <v>0</v>
      </c>
      <c r="M127" s="308"/>
      <c r="N127" s="315">
        <f>H127*I127</f>
        <v>0</v>
      </c>
      <c r="O127" s="192" t="e">
        <f>N127/N129</f>
        <v>#DIV/0!</v>
      </c>
    </row>
    <row r="128" spans="1:15" ht="11.25" hidden="1" customHeight="1" x14ac:dyDescent="0.2">
      <c r="A128" s="256"/>
      <c r="B128" s="138"/>
      <c r="C128" s="138"/>
      <c r="D128" s="138"/>
      <c r="E128" s="138"/>
      <c r="F128" s="138"/>
      <c r="G128" s="139"/>
      <c r="H128" s="189"/>
      <c r="I128" s="189"/>
      <c r="J128" s="313"/>
      <c r="K128" s="313"/>
      <c r="L128" s="313"/>
      <c r="M128" s="313"/>
      <c r="N128" s="189"/>
      <c r="O128" s="302"/>
    </row>
    <row r="129" spans="1:15" ht="11.25" hidden="1" customHeight="1" x14ac:dyDescent="0.2">
      <c r="A129" s="291"/>
      <c r="B129" s="155" t="s">
        <v>18</v>
      </c>
      <c r="C129" s="160"/>
      <c r="D129" s="160"/>
      <c r="E129" s="160"/>
      <c r="F129" s="144"/>
      <c r="G129" s="161"/>
      <c r="H129" s="656"/>
      <c r="I129" s="334"/>
      <c r="J129" s="334"/>
      <c r="K129" s="334"/>
      <c r="L129" s="334"/>
      <c r="M129" s="334"/>
      <c r="N129" s="315">
        <f>SUM(N126:N127)</f>
        <v>0</v>
      </c>
      <c r="O129" s="301" t="e">
        <f>N129/N136</f>
        <v>#DIV/0!</v>
      </c>
    </row>
    <row r="130" spans="1:15" ht="11.25" hidden="1" customHeight="1" x14ac:dyDescent="0.2">
      <c r="B130" s="130"/>
      <c r="G130" s="52"/>
      <c r="H130" s="324"/>
      <c r="I130" s="324"/>
      <c r="J130" s="313"/>
      <c r="K130" s="313"/>
      <c r="L130" s="313"/>
      <c r="M130" s="313"/>
      <c r="N130" s="313"/>
      <c r="O130" s="185"/>
    </row>
    <row r="131" spans="1:15" ht="11.25" hidden="1" customHeight="1" x14ac:dyDescent="0.2">
      <c r="A131" s="256">
        <v>1436</v>
      </c>
      <c r="B131" s="834" t="s">
        <v>447</v>
      </c>
      <c r="C131" s="834"/>
      <c r="D131" s="834"/>
      <c r="E131" s="834"/>
      <c r="F131" s="834"/>
      <c r="G131" s="162"/>
      <c r="H131" s="641"/>
      <c r="I131" s="330"/>
      <c r="J131" s="311"/>
      <c r="K131" s="311"/>
      <c r="L131" s="311"/>
      <c r="M131" s="311"/>
      <c r="N131" s="333"/>
      <c r="O131" s="297"/>
    </row>
    <row r="132" spans="1:15" ht="11.25" hidden="1" customHeight="1" x14ac:dyDescent="0.2">
      <c r="A132" s="292" t="s">
        <v>662</v>
      </c>
      <c r="B132" s="200" t="s">
        <v>663</v>
      </c>
      <c r="C132" s="193"/>
      <c r="D132" s="193"/>
      <c r="E132" s="193"/>
      <c r="F132" s="193"/>
      <c r="G132" s="163" t="s">
        <v>24</v>
      </c>
      <c r="H132" s="293">
        <v>0</v>
      </c>
      <c r="I132" s="323">
        <f>VLOOKUP(A132,'[1]TAB OGU JUN18'!$A:$G,6,"falso")</f>
        <v>56.62</v>
      </c>
      <c r="J132" s="323">
        <f>VLOOKUP(A132,'[1]TAB OGU JUN18'!$A:$G,4,"falso")</f>
        <v>56.62</v>
      </c>
      <c r="K132" s="308">
        <f>H132*J132</f>
        <v>0</v>
      </c>
      <c r="L132" s="323">
        <f>VLOOKUP(A132,'[1]TAB OGU JUN18'!$A:$G,5,"falso")</f>
        <v>0</v>
      </c>
      <c r="M132" s="308">
        <f>H132*L132</f>
        <v>0</v>
      </c>
      <c r="N132" s="315">
        <f>H132*I132</f>
        <v>0</v>
      </c>
      <c r="O132" s="213" t="e">
        <f>N132/$N$134</f>
        <v>#DIV/0!</v>
      </c>
    </row>
    <row r="133" spans="1:15" ht="11.25" hidden="1" customHeight="1" x14ac:dyDescent="0.2">
      <c r="A133" s="256"/>
      <c r="B133" s="138"/>
      <c r="C133" s="138"/>
      <c r="D133" s="138"/>
      <c r="E133" s="138"/>
      <c r="F133" s="138"/>
      <c r="G133" s="141"/>
      <c r="H133" s="189"/>
      <c r="I133" s="296"/>
      <c r="J133" s="311"/>
      <c r="K133" s="311"/>
      <c r="L133" s="311"/>
      <c r="M133" s="311"/>
      <c r="N133" s="189"/>
      <c r="O133" s="297"/>
    </row>
    <row r="134" spans="1:15" ht="11.25" hidden="1" customHeight="1" x14ac:dyDescent="0.2">
      <c r="A134" s="291"/>
      <c r="B134" s="142" t="s">
        <v>18</v>
      </c>
      <c r="C134" s="143"/>
      <c r="D134" s="143"/>
      <c r="E134" s="143"/>
      <c r="F134" s="143"/>
      <c r="G134" s="188"/>
      <c r="H134" s="663"/>
      <c r="I134" s="336"/>
      <c r="J134" s="336"/>
      <c r="K134" s="336"/>
      <c r="L134" s="336"/>
      <c r="M134" s="336"/>
      <c r="N134" s="189">
        <f>SUM(N132:N133)</f>
        <v>0</v>
      </c>
      <c r="O134" s="297" t="e">
        <f>N134/$N$136</f>
        <v>#DIV/0!</v>
      </c>
    </row>
    <row r="135" spans="1:15" ht="11.25" hidden="1" customHeight="1" x14ac:dyDescent="0.2">
      <c r="A135" s="291"/>
      <c r="B135" s="138"/>
      <c r="C135" s="138"/>
      <c r="D135" s="138"/>
      <c r="E135" s="138"/>
      <c r="F135" s="138"/>
      <c r="G135" s="137"/>
      <c r="H135" s="641"/>
      <c r="I135" s="330"/>
      <c r="J135" s="330"/>
      <c r="K135" s="330"/>
      <c r="L135" s="330"/>
      <c r="M135" s="330"/>
      <c r="N135" s="189"/>
      <c r="O135" s="297"/>
    </row>
    <row r="136" spans="1:15" s="132" customFormat="1" ht="11.25" hidden="1" customHeight="1" x14ac:dyDescent="0.2">
      <c r="A136" s="294"/>
      <c r="B136" s="175" t="s">
        <v>20</v>
      </c>
      <c r="C136" s="176"/>
      <c r="D136" s="176"/>
      <c r="E136" s="176"/>
      <c r="F136" s="176"/>
      <c r="G136" s="191"/>
      <c r="H136" s="666"/>
      <c r="I136" s="338"/>
      <c r="J136" s="338"/>
      <c r="K136" s="338"/>
      <c r="L136" s="338"/>
      <c r="M136" s="338"/>
      <c r="N136" s="295">
        <f>N134+N124+N129</f>
        <v>0</v>
      </c>
      <c r="O136" s="186">
        <f>N136/$N$146</f>
        <v>0</v>
      </c>
    </row>
    <row r="137" spans="1:15" ht="11.25" customHeight="1" x14ac:dyDescent="0.2">
      <c r="A137" s="291"/>
      <c r="B137" s="138"/>
      <c r="C137" s="138"/>
      <c r="D137" s="138"/>
      <c r="E137" s="138"/>
      <c r="F137" s="138"/>
      <c r="G137" s="137"/>
      <c r="H137" s="641"/>
      <c r="I137" s="330"/>
      <c r="J137" s="296"/>
      <c r="K137" s="339"/>
      <c r="L137" s="311"/>
      <c r="M137" s="311"/>
      <c r="N137" s="313"/>
      <c r="O137" s="219"/>
    </row>
    <row r="138" spans="1:15" ht="11.25" customHeight="1" x14ac:dyDescent="0.2">
      <c r="A138" s="98" t="s">
        <v>169</v>
      </c>
      <c r="B138" s="88" t="s">
        <v>172</v>
      </c>
      <c r="G138" s="97"/>
      <c r="H138" s="308"/>
      <c r="I138" s="308"/>
      <c r="J138" s="308"/>
      <c r="K138" s="308"/>
      <c r="L138" s="308"/>
      <c r="M138" s="308"/>
      <c r="N138" s="308"/>
      <c r="O138" s="185"/>
    </row>
    <row r="139" spans="1:15" ht="11.25" customHeight="1" x14ac:dyDescent="0.2">
      <c r="A139" s="98" t="s">
        <v>170</v>
      </c>
      <c r="B139" s="88" t="s">
        <v>173</v>
      </c>
      <c r="G139" s="97"/>
      <c r="H139" s="308"/>
      <c r="I139" s="308"/>
      <c r="J139" s="308"/>
      <c r="K139" s="308"/>
      <c r="L139" s="308"/>
      <c r="M139" s="308"/>
      <c r="N139" s="308"/>
      <c r="O139" s="185"/>
    </row>
    <row r="140" spans="1:15" ht="11.25" customHeight="1" x14ac:dyDescent="0.2">
      <c r="A140" s="98" t="s">
        <v>480</v>
      </c>
      <c r="B140" s="834" t="s">
        <v>481</v>
      </c>
      <c r="C140" s="834"/>
      <c r="D140" s="834"/>
      <c r="E140" s="834"/>
      <c r="F140" s="834"/>
      <c r="G140" s="97" t="s">
        <v>31</v>
      </c>
      <c r="H140" s="308">
        <f>H14</f>
        <v>866.61</v>
      </c>
      <c r="I140" s="323">
        <f>VLOOKUP(A140,'[1]TAB OGU JUN18'!$A:$G,6,"falso")</f>
        <v>2.46</v>
      </c>
      <c r="J140" s="323">
        <f>VLOOKUP(A140,'[1]TAB OGU JUN18'!$A:$G,4,"falso")</f>
        <v>2.34</v>
      </c>
      <c r="K140" s="308">
        <f>H140*J140</f>
        <v>2027.8673999999999</v>
      </c>
      <c r="L140" s="323">
        <f>VLOOKUP(A140,'[1]TAB OGU JUN18'!$A:$G,5,"falso")</f>
        <v>0.12</v>
      </c>
      <c r="M140" s="308">
        <f>H140*L140</f>
        <v>103.9932</v>
      </c>
      <c r="N140" s="315">
        <f>H140*I140</f>
        <v>2131.8606</v>
      </c>
      <c r="O140" s="185">
        <f>N140/N142</f>
        <v>1</v>
      </c>
    </row>
    <row r="141" spans="1:15" ht="11.25" customHeight="1" x14ac:dyDescent="0.2">
      <c r="B141" s="130"/>
      <c r="G141" s="52"/>
      <c r="H141" s="324"/>
      <c r="I141" s="313"/>
      <c r="J141" s="313"/>
      <c r="K141" s="313"/>
      <c r="L141" s="313"/>
      <c r="M141" s="313"/>
      <c r="N141" s="308"/>
      <c r="O141" s="185"/>
    </row>
    <row r="142" spans="1:15" ht="11.25" customHeight="1" x14ac:dyDescent="0.2">
      <c r="B142" s="130" t="s">
        <v>18</v>
      </c>
      <c r="C142" s="131"/>
      <c r="D142" s="131"/>
      <c r="E142" s="131"/>
      <c r="F142" s="131"/>
      <c r="G142" s="53"/>
      <c r="H142" s="325"/>
      <c r="I142" s="326"/>
      <c r="J142" s="326"/>
      <c r="K142" s="326"/>
      <c r="L142" s="326"/>
      <c r="M142" s="326"/>
      <c r="N142" s="308">
        <f>N140</f>
        <v>2131.8606</v>
      </c>
      <c r="O142" s="185">
        <f>N142/N144</f>
        <v>1</v>
      </c>
    </row>
    <row r="143" spans="1:15" ht="11.25" customHeight="1" x14ac:dyDescent="0.2">
      <c r="A143" s="98"/>
      <c r="B143" s="88"/>
      <c r="G143" s="97"/>
      <c r="H143" s="308"/>
      <c r="I143" s="308"/>
      <c r="J143" s="308"/>
      <c r="K143" s="308"/>
      <c r="L143" s="308"/>
      <c r="M143" s="308"/>
      <c r="N143" s="308"/>
      <c r="O143" s="185"/>
    </row>
    <row r="144" spans="1:15" s="132" customFormat="1" ht="11.25" customHeight="1" x14ac:dyDescent="0.2">
      <c r="A144" s="145"/>
      <c r="B144" s="133" t="s">
        <v>20</v>
      </c>
      <c r="C144" s="134"/>
      <c r="D144" s="134"/>
      <c r="E144" s="134"/>
      <c r="F144" s="134"/>
      <c r="G144" s="78"/>
      <c r="H144" s="327"/>
      <c r="I144" s="328"/>
      <c r="J144" s="328"/>
      <c r="K144" s="328"/>
      <c r="L144" s="328"/>
      <c r="M144" s="328"/>
      <c r="N144" s="310">
        <f>N142</f>
        <v>2131.8606</v>
      </c>
      <c r="O144" s="186">
        <f>N144/N146</f>
        <v>9.1669078827607858E-2</v>
      </c>
    </row>
    <row r="145" spans="1:16" ht="6.75" customHeight="1" x14ac:dyDescent="0.2">
      <c r="A145" s="98"/>
      <c r="B145" s="88"/>
      <c r="G145" s="97"/>
      <c r="H145" s="308"/>
      <c r="I145" s="308"/>
      <c r="J145" s="308"/>
      <c r="K145" s="308"/>
      <c r="L145" s="308"/>
      <c r="M145" s="308"/>
      <c r="N145" s="308"/>
      <c r="O145" s="185"/>
    </row>
    <row r="146" spans="1:16" ht="11.25" customHeight="1" x14ac:dyDescent="0.2">
      <c r="A146" s="206"/>
      <c r="B146" s="147" t="s">
        <v>30</v>
      </c>
      <c r="C146" s="146"/>
      <c r="D146" s="146"/>
      <c r="E146" s="146"/>
      <c r="F146" s="146"/>
      <c r="G146" s="146"/>
      <c r="H146" s="342"/>
      <c r="I146" s="345"/>
      <c r="J146" s="345"/>
      <c r="K146" s="275">
        <f>SUM(K11:L145)</f>
        <v>18095.298919999997</v>
      </c>
      <c r="L146" s="275"/>
      <c r="M146" s="275">
        <f>SUM(M14:M145)</f>
        <v>5910.2802000000001</v>
      </c>
      <c r="N146" s="316">
        <f>N144+N56+N23+N90+N103+N118+N136</f>
        <v>23256.049119999996</v>
      </c>
      <c r="O146" s="29"/>
      <c r="P146" s="149"/>
    </row>
    <row r="147" spans="1:16" ht="6.75" customHeight="1" x14ac:dyDescent="0.2">
      <c r="H147" s="311"/>
      <c r="I147" s="311"/>
      <c r="J147" s="311"/>
      <c r="K147" s="311"/>
      <c r="L147" s="311"/>
      <c r="M147" s="311"/>
      <c r="N147" s="311"/>
      <c r="O147" s="219"/>
      <c r="P147" s="149"/>
    </row>
    <row r="148" spans="1:16" ht="11.25" customHeight="1" x14ac:dyDescent="0.2">
      <c r="A148" s="206"/>
      <c r="B148" s="147" t="s">
        <v>265</v>
      </c>
      <c r="C148" s="146"/>
      <c r="D148" s="146"/>
      <c r="E148" s="146"/>
      <c r="F148" s="146"/>
      <c r="G148" s="146"/>
      <c r="H148" s="342"/>
      <c r="I148" s="345"/>
      <c r="J148" s="345"/>
      <c r="K148" s="275">
        <f>K146+(K146*O5)</f>
        <v>23085.982362135997</v>
      </c>
      <c r="L148" s="275"/>
      <c r="M148" s="275">
        <f>M146+(M146*O7)</f>
        <v>6957.5818514399998</v>
      </c>
      <c r="N148" s="316">
        <f>K148+M148</f>
        <v>30043.564213575999</v>
      </c>
      <c r="O148" s="29">
        <f>N148/RESUMO!H95</f>
        <v>4.1488129824882626E-3</v>
      </c>
      <c r="P148" s="149"/>
    </row>
    <row r="153" spans="1:16" s="150" customFormat="1" ht="11.25" customHeight="1" x14ac:dyDescent="0.2">
      <c r="A153" s="156"/>
      <c r="B153" s="51"/>
      <c r="C153" s="51"/>
      <c r="D153" s="51"/>
      <c r="E153" s="51"/>
      <c r="F153" s="51"/>
      <c r="G153" s="51"/>
      <c r="H153" s="51"/>
      <c r="I153" s="51"/>
      <c r="J153" s="51"/>
      <c r="K153" s="51"/>
      <c r="L153" s="51"/>
      <c r="M153" s="51"/>
      <c r="N153" s="51"/>
      <c r="O153" s="52"/>
    </row>
    <row r="154" spans="1:16" s="150" customFormat="1" ht="11.25" customHeight="1" x14ac:dyDescent="0.2">
      <c r="A154" s="156"/>
      <c r="B154" s="51"/>
      <c r="C154" s="51"/>
      <c r="D154" s="51"/>
      <c r="E154" s="51"/>
      <c r="F154" s="51"/>
      <c r="G154" s="51"/>
      <c r="H154" s="51"/>
      <c r="I154" s="51"/>
      <c r="J154" s="51"/>
      <c r="K154" s="51"/>
      <c r="L154" s="51"/>
      <c r="M154" s="51"/>
      <c r="N154" s="51"/>
      <c r="O154" s="52"/>
    </row>
  </sheetData>
  <mergeCells count="37">
    <mergeCell ref="B131:F131"/>
    <mergeCell ref="B140:F140"/>
    <mergeCell ref="B114:F114"/>
    <mergeCell ref="B120:F120"/>
    <mergeCell ref="B121:F121"/>
    <mergeCell ref="B122:F122"/>
    <mergeCell ref="B126:F126"/>
    <mergeCell ref="B127:F127"/>
    <mergeCell ref="B113:F113"/>
    <mergeCell ref="B86:F86"/>
    <mergeCell ref="B92:F92"/>
    <mergeCell ref="B93:F93"/>
    <mergeCell ref="B94:F94"/>
    <mergeCell ref="B98:F98"/>
    <mergeCell ref="B99:F99"/>
    <mergeCell ref="B105:F105"/>
    <mergeCell ref="B106:F106"/>
    <mergeCell ref="B107:F107"/>
    <mergeCell ref="B108:F108"/>
    <mergeCell ref="B109:F109"/>
    <mergeCell ref="B85:F85"/>
    <mergeCell ref="B58:F58"/>
    <mergeCell ref="B59:F59"/>
    <mergeCell ref="B69:F69"/>
    <mergeCell ref="B70:F70"/>
    <mergeCell ref="B74:F74"/>
    <mergeCell ref="B75:F75"/>
    <mergeCell ref="B80:F80"/>
    <mergeCell ref="B81:F81"/>
    <mergeCell ref="B76:F76"/>
    <mergeCell ref="B60:F60"/>
    <mergeCell ref="B31:F31"/>
    <mergeCell ref="A2:O2"/>
    <mergeCell ref="N4:O4"/>
    <mergeCell ref="A5:B6"/>
    <mergeCell ref="B14:F14"/>
    <mergeCell ref="B26:F26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rowBreaks count="1" manualBreakCount="1">
    <brk id="24" max="14" man="1"/>
  </rowBreaks>
  <legacyDrawingHF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Planilha15">
    <tabColor theme="6" tint="0.39997558519241921"/>
    <pageSetUpPr fitToPage="1"/>
  </sheetPr>
  <dimension ref="A1:P76"/>
  <sheetViews>
    <sheetView view="pageBreakPreview" zoomScale="90" zoomScaleNormal="90" zoomScaleSheetLayoutView="90" workbookViewId="0">
      <selection activeCell="R75" sqref="R75"/>
    </sheetView>
  </sheetViews>
  <sheetFormatPr defaultColWidth="11.42578125" defaultRowHeight="12.75" customHeight="1" x14ac:dyDescent="0.2"/>
  <cols>
    <col min="1" max="1" width="11.28515625" style="156" customWidth="1"/>
    <col min="2" max="5" width="11.28515625" style="51" customWidth="1"/>
    <col min="6" max="6" width="28.5703125" style="51" customWidth="1"/>
    <col min="7" max="7" width="11.28515625" style="51" customWidth="1"/>
    <col min="8" max="8" width="11.28515625" style="52" customWidth="1"/>
    <col min="9" max="9" width="11.28515625" style="51" customWidth="1"/>
    <col min="10" max="10" width="11.28515625" style="51" hidden="1" customWidth="1"/>
    <col min="11" max="11" width="14.140625" style="51" customWidth="1"/>
    <col min="12" max="12" width="11.5703125" style="51" hidden="1" customWidth="1"/>
    <col min="13" max="13" width="14.140625" style="51" customWidth="1"/>
    <col min="14" max="14" width="17.140625" style="52" customWidth="1"/>
    <col min="15" max="15" width="11.28515625" style="52" customWidth="1"/>
    <col min="16" max="16384" width="11.42578125" style="51"/>
  </cols>
  <sheetData>
    <row r="1" spans="1:15" ht="8.25" customHeight="1" x14ac:dyDescent="0.2"/>
    <row r="2" spans="1:15" ht="12.75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5" ht="8.25" customHeight="1" thickBot="1" x14ac:dyDescent="0.25">
      <c r="A3" s="194"/>
      <c r="B3" s="123"/>
      <c r="C3" s="123"/>
      <c r="D3" s="123"/>
      <c r="E3" s="123"/>
      <c r="F3" s="123"/>
      <c r="G3" s="123"/>
      <c r="H3" s="195"/>
      <c r="I3" s="123"/>
      <c r="J3" s="123"/>
      <c r="K3" s="123"/>
      <c r="L3" s="123"/>
      <c r="M3" s="123"/>
      <c r="N3" s="195"/>
      <c r="O3" s="195"/>
    </row>
    <row r="4" spans="1:15" ht="12.75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H4" s="51"/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5" ht="12.75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H5" s="51"/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5" ht="12.75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H6" s="51"/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5" ht="12.75" customHeight="1" x14ac:dyDescent="0.2">
      <c r="A7" s="196"/>
      <c r="B7" s="253"/>
      <c r="C7" s="260" t="s">
        <v>6</v>
      </c>
      <c r="D7" s="263" t="str">
        <f>RESUMO!A47</f>
        <v>U.C. : 13</v>
      </c>
      <c r="E7" s="258"/>
      <c r="F7" s="258"/>
      <c r="G7" s="260" t="s">
        <v>9</v>
      </c>
      <c r="H7" s="51"/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5" ht="12.75" customHeight="1" x14ac:dyDescent="0.2">
      <c r="A8" s="196"/>
      <c r="B8" s="253"/>
      <c r="C8" s="260" t="s">
        <v>8</v>
      </c>
      <c r="D8" s="200" t="str">
        <f>RESUMO!B47</f>
        <v>ESTAÇÃO DE TRATAMENTO DE ESGOTO - ETE</v>
      </c>
      <c r="E8" s="258"/>
      <c r="F8" s="258"/>
      <c r="G8" s="260"/>
      <c r="H8" s="51"/>
      <c r="J8" s="277"/>
      <c r="K8" s="277"/>
      <c r="L8" s="277"/>
      <c r="M8" s="277" t="s">
        <v>774</v>
      </c>
      <c r="N8" s="261"/>
      <c r="O8" s="234"/>
    </row>
    <row r="9" spans="1:15" ht="12.75" customHeight="1" thickBot="1" x14ac:dyDescent="0.25">
      <c r="A9" s="197"/>
      <c r="B9" s="125"/>
      <c r="C9" s="268"/>
      <c r="D9" s="268"/>
      <c r="E9" s="268"/>
      <c r="F9" s="268"/>
      <c r="G9" s="266"/>
      <c r="H9" s="123"/>
      <c r="I9" s="278"/>
      <c r="J9" s="278"/>
      <c r="K9" s="278"/>
      <c r="L9" s="278"/>
      <c r="M9" s="278" t="s">
        <v>775</v>
      </c>
      <c r="N9" s="271"/>
      <c r="O9" s="427"/>
    </row>
    <row r="10" spans="1:15" ht="12.75" customHeight="1" thickTop="1" x14ac:dyDescent="0.2">
      <c r="A10" s="198"/>
      <c r="B10" s="126" t="s">
        <v>10</v>
      </c>
      <c r="C10" s="127"/>
      <c r="D10" s="127"/>
      <c r="E10" s="127"/>
      <c r="F10" s="127"/>
      <c r="G10" s="128" t="s">
        <v>11</v>
      </c>
      <c r="H10" s="128" t="s">
        <v>12</v>
      </c>
      <c r="I10" s="128" t="s">
        <v>13</v>
      </c>
      <c r="J10" s="128"/>
      <c r="K10" s="128" t="s">
        <v>212</v>
      </c>
      <c r="L10" s="128"/>
      <c r="M10" s="128" t="s">
        <v>213</v>
      </c>
      <c r="N10" s="128" t="s">
        <v>14</v>
      </c>
      <c r="O10" s="128" t="s">
        <v>15</v>
      </c>
    </row>
    <row r="11" spans="1:15" ht="8.25" customHeight="1" x14ac:dyDescent="0.2">
      <c r="O11" s="19"/>
    </row>
    <row r="12" spans="1:15" ht="12.75" customHeight="1" x14ac:dyDescent="0.2">
      <c r="A12" s="93">
        <f>RESUMO!A58</f>
        <v>11</v>
      </c>
      <c r="B12" s="93" t="str">
        <f>RESUMO!B58</f>
        <v>BAGS - MATERIAIS</v>
      </c>
      <c r="H12" s="324"/>
      <c r="I12" s="311"/>
      <c r="J12" s="311"/>
      <c r="K12" s="311"/>
      <c r="L12" s="311"/>
      <c r="M12" s="311"/>
      <c r="N12" s="313"/>
      <c r="O12" s="19"/>
    </row>
    <row r="13" spans="1:15" ht="12.75" customHeight="1" x14ac:dyDescent="0.2">
      <c r="A13" s="140" t="s">
        <v>458</v>
      </c>
      <c r="B13" s="142" t="s">
        <v>459</v>
      </c>
      <c r="C13" s="142"/>
      <c r="D13" s="142"/>
      <c r="E13" s="142"/>
      <c r="F13" s="142"/>
      <c r="G13" s="162"/>
      <c r="H13" s="641"/>
      <c r="I13" s="330"/>
      <c r="J13" s="311"/>
      <c r="K13" s="311"/>
      <c r="L13" s="311"/>
      <c r="M13" s="311"/>
      <c r="N13" s="333"/>
      <c r="O13" s="68"/>
    </row>
    <row r="14" spans="1:15" ht="12.75" customHeight="1" x14ac:dyDescent="0.2">
      <c r="A14" s="140" t="s">
        <v>797</v>
      </c>
      <c r="B14" s="142" t="s">
        <v>798</v>
      </c>
      <c r="C14" s="142"/>
      <c r="D14" s="142"/>
      <c r="E14" s="142"/>
      <c r="F14" s="142"/>
      <c r="G14" s="139" t="s">
        <v>17</v>
      </c>
      <c r="H14" s="189">
        <v>62.5</v>
      </c>
      <c r="I14" s="323">
        <f>VLOOKUP(A14,'[1]TAB OGU JUN18'!$A:$G,6,"falso")</f>
        <v>31.06</v>
      </c>
      <c r="J14" s="311"/>
      <c r="K14" s="311"/>
      <c r="L14" s="323">
        <f>VLOOKUP(A14,'[1]TAB OGU JUN18'!$A:$G,5,"falso")</f>
        <v>12.04</v>
      </c>
      <c r="M14" s="308">
        <f>H14*L14</f>
        <v>752.5</v>
      </c>
      <c r="N14" s="189">
        <f>H14*I14</f>
        <v>1941.25</v>
      </c>
      <c r="O14" s="68">
        <f>N14/N17</f>
        <v>0.3964655512231347</v>
      </c>
    </row>
    <row r="15" spans="1:15" ht="12.75" customHeight="1" x14ac:dyDescent="0.2">
      <c r="A15" s="140" t="s">
        <v>464</v>
      </c>
      <c r="B15" s="200" t="s">
        <v>1375</v>
      </c>
      <c r="C15" s="153"/>
      <c r="D15" s="153"/>
      <c r="E15" s="153"/>
      <c r="F15" s="153"/>
      <c r="G15" s="139" t="s">
        <v>31</v>
      </c>
      <c r="H15" s="189">
        <f>'21'!H114</f>
        <v>866.61</v>
      </c>
      <c r="I15" s="323">
        <f>VLOOKUP(A15,'[1]TAB OGU JUN18'!$A:$G,6,"falso")</f>
        <v>3.74</v>
      </c>
      <c r="J15" s="314"/>
      <c r="K15" s="314"/>
      <c r="L15" s="323">
        <f>VLOOKUP(A15,'[1]TAB OGU JUN18'!$A:$G,5,"falso")</f>
        <v>3.41</v>
      </c>
      <c r="M15" s="308">
        <f>H15*L15</f>
        <v>2955.1401000000001</v>
      </c>
      <c r="N15" s="189">
        <f>H15*L15</f>
        <v>2955.1401000000001</v>
      </c>
      <c r="O15" s="68">
        <f>N15/N17</f>
        <v>0.60353444877686513</v>
      </c>
    </row>
    <row r="16" spans="1:15" ht="12.75" customHeight="1" x14ac:dyDescent="0.2">
      <c r="A16" s="140"/>
      <c r="B16" s="138"/>
      <c r="C16" s="138"/>
      <c r="D16" s="138"/>
      <c r="E16" s="138"/>
      <c r="F16" s="138"/>
      <c r="G16" s="139"/>
      <c r="H16" s="189"/>
      <c r="I16" s="296"/>
      <c r="J16" s="311"/>
      <c r="K16" s="311"/>
      <c r="L16" s="323"/>
      <c r="M16" s="311"/>
      <c r="N16" s="189"/>
      <c r="O16" s="446"/>
    </row>
    <row r="17" spans="1:15" ht="12.75" customHeight="1" x14ac:dyDescent="0.2">
      <c r="A17" s="202"/>
      <c r="B17" s="142" t="s">
        <v>18</v>
      </c>
      <c r="C17" s="143"/>
      <c r="D17" s="143"/>
      <c r="E17" s="143"/>
      <c r="F17" s="143"/>
      <c r="G17" s="173"/>
      <c r="H17" s="663"/>
      <c r="I17" s="336"/>
      <c r="J17" s="336"/>
      <c r="K17" s="336"/>
      <c r="L17" s="582"/>
      <c r="M17" s="336"/>
      <c r="N17" s="189">
        <f>SUM(N14:N15)</f>
        <v>4896.3901000000005</v>
      </c>
      <c r="O17" s="446">
        <f>N17/$N$34</f>
        <v>1</v>
      </c>
    </row>
    <row r="18" spans="1:15" ht="12.75" hidden="1" customHeight="1" x14ac:dyDescent="0.2">
      <c r="A18" s="202"/>
      <c r="B18" s="138"/>
      <c r="C18" s="138"/>
      <c r="D18" s="138"/>
      <c r="E18" s="138"/>
      <c r="F18" s="138"/>
      <c r="G18" s="162"/>
      <c r="H18" s="641"/>
      <c r="I18" s="330"/>
      <c r="J18" s="311"/>
      <c r="K18" s="311"/>
      <c r="L18" s="323"/>
      <c r="M18" s="311"/>
      <c r="N18" s="189"/>
      <c r="O18" s="446"/>
    </row>
    <row r="19" spans="1:15" ht="12.75" hidden="1" customHeight="1" x14ac:dyDescent="0.2">
      <c r="A19" s="140" t="s">
        <v>716</v>
      </c>
      <c r="B19" s="142" t="s">
        <v>715</v>
      </c>
      <c r="C19" s="142"/>
      <c r="D19" s="142"/>
      <c r="E19" s="142"/>
      <c r="F19" s="142"/>
      <c r="G19" s="162"/>
      <c r="H19" s="641"/>
      <c r="I19" s="330"/>
      <c r="J19" s="311"/>
      <c r="K19" s="311"/>
      <c r="L19" s="323"/>
      <c r="M19" s="311"/>
      <c r="N19" s="333"/>
      <c r="O19" s="68"/>
    </row>
    <row r="20" spans="1:15" ht="12.75" hidden="1" customHeight="1" x14ac:dyDescent="0.2">
      <c r="A20" s="140" t="s">
        <v>718</v>
      </c>
      <c r="B20" s="200" t="s">
        <v>717</v>
      </c>
      <c r="C20" s="153"/>
      <c r="D20" s="153"/>
      <c r="E20" s="153"/>
      <c r="F20" s="153"/>
      <c r="G20" s="139" t="s">
        <v>24</v>
      </c>
      <c r="H20" s="189">
        <v>0</v>
      </c>
      <c r="I20" s="323">
        <f>VLOOKUP(A20,'[1]TAB OGU JUN18'!$A:$G,6,"falso")</f>
        <v>393.9</v>
      </c>
      <c r="J20" s="314"/>
      <c r="K20" s="314"/>
      <c r="L20" s="323"/>
      <c r="M20" s="308">
        <f>H20*L20</f>
        <v>0</v>
      </c>
      <c r="N20" s="189">
        <f>H20*I20</f>
        <v>0</v>
      </c>
      <c r="O20" s="68" t="e">
        <f>N20/N22</f>
        <v>#DIV/0!</v>
      </c>
    </row>
    <row r="21" spans="1:15" ht="12.75" hidden="1" customHeight="1" x14ac:dyDescent="0.2">
      <c r="A21" s="140"/>
      <c r="B21" s="138"/>
      <c r="C21" s="138"/>
      <c r="D21" s="138"/>
      <c r="E21" s="138"/>
      <c r="F21" s="138"/>
      <c r="G21" s="139"/>
      <c r="H21" s="189"/>
      <c r="I21" s="296"/>
      <c r="J21" s="311"/>
      <c r="K21" s="311"/>
      <c r="L21" s="323"/>
      <c r="M21" s="311"/>
      <c r="N21" s="189"/>
      <c r="O21" s="446"/>
    </row>
    <row r="22" spans="1:15" ht="12.75" hidden="1" customHeight="1" x14ac:dyDescent="0.2">
      <c r="A22" s="202"/>
      <c r="B22" s="142" t="s">
        <v>18</v>
      </c>
      <c r="C22" s="143"/>
      <c r="D22" s="143"/>
      <c r="E22" s="143"/>
      <c r="F22" s="143"/>
      <c r="G22" s="173"/>
      <c r="H22" s="663"/>
      <c r="I22" s="336"/>
      <c r="J22" s="336"/>
      <c r="K22" s="336"/>
      <c r="L22" s="323"/>
      <c r="M22" s="336"/>
      <c r="N22" s="189">
        <f>SUM(N20:N21)</f>
        <v>0</v>
      </c>
      <c r="O22" s="446">
        <f>N22/$N$34</f>
        <v>0</v>
      </c>
    </row>
    <row r="23" spans="1:15" ht="12.75" hidden="1" customHeight="1" x14ac:dyDescent="0.2">
      <c r="A23" s="202"/>
      <c r="B23" s="138"/>
      <c r="C23" s="138"/>
      <c r="D23" s="138"/>
      <c r="E23" s="138"/>
      <c r="F23" s="138"/>
      <c r="G23" s="162"/>
      <c r="H23" s="641"/>
      <c r="I23" s="330"/>
      <c r="J23" s="311"/>
      <c r="K23" s="311"/>
      <c r="L23" s="323"/>
      <c r="M23" s="311"/>
      <c r="N23" s="189"/>
      <c r="O23" s="446"/>
    </row>
    <row r="24" spans="1:15" ht="12.75" hidden="1" customHeight="1" x14ac:dyDescent="0.2">
      <c r="A24" s="140" t="s">
        <v>719</v>
      </c>
      <c r="B24" s="142" t="s">
        <v>720</v>
      </c>
      <c r="C24" s="142"/>
      <c r="D24" s="142"/>
      <c r="E24" s="142"/>
      <c r="F24" s="142"/>
      <c r="G24" s="162"/>
      <c r="H24" s="641"/>
      <c r="I24" s="330"/>
      <c r="J24" s="311"/>
      <c r="K24" s="311"/>
      <c r="L24" s="323"/>
      <c r="M24" s="311"/>
      <c r="N24" s="333"/>
      <c r="O24" s="446"/>
    </row>
    <row r="25" spans="1:15" ht="12.75" hidden="1" customHeight="1" x14ac:dyDescent="0.2">
      <c r="A25" s="140" t="s">
        <v>722</v>
      </c>
      <c r="B25" s="142" t="s">
        <v>721</v>
      </c>
      <c r="C25" s="142"/>
      <c r="D25" s="142"/>
      <c r="E25" s="142"/>
      <c r="F25" s="142"/>
      <c r="G25" s="139" t="s">
        <v>24</v>
      </c>
      <c r="H25" s="189">
        <v>0</v>
      </c>
      <c r="I25" s="323">
        <f>VLOOKUP(A25,'[1]TAB OGU JUN18'!$A:$G,6,"falso")</f>
        <v>207.29</v>
      </c>
      <c r="J25" s="314"/>
      <c r="K25" s="314"/>
      <c r="L25" s="323"/>
      <c r="M25" s="308">
        <f>H25*L25</f>
        <v>0</v>
      </c>
      <c r="N25" s="189">
        <f>H25*I25</f>
        <v>0</v>
      </c>
      <c r="O25" s="68" t="e">
        <f>N25/N27</f>
        <v>#DIV/0!</v>
      </c>
    </row>
    <row r="26" spans="1:15" s="150" customFormat="1" ht="12.75" hidden="1" customHeight="1" x14ac:dyDescent="0.2">
      <c r="A26" s="140"/>
      <c r="B26" s="138"/>
      <c r="C26" s="138"/>
      <c r="D26" s="138"/>
      <c r="E26" s="138"/>
      <c r="F26" s="138"/>
      <c r="G26" s="139"/>
      <c r="H26" s="189"/>
      <c r="I26" s="296"/>
      <c r="J26" s="370"/>
      <c r="K26" s="370"/>
      <c r="L26" s="323"/>
      <c r="M26" s="370"/>
      <c r="N26" s="189"/>
      <c r="O26" s="446"/>
    </row>
    <row r="27" spans="1:15" s="150" customFormat="1" ht="12.75" hidden="1" customHeight="1" x14ac:dyDescent="0.2">
      <c r="A27" s="202"/>
      <c r="B27" s="142" t="s">
        <v>18</v>
      </c>
      <c r="C27" s="143"/>
      <c r="D27" s="143"/>
      <c r="E27" s="143"/>
      <c r="F27" s="143"/>
      <c r="G27" s="173"/>
      <c r="H27" s="663"/>
      <c r="I27" s="336"/>
      <c r="J27" s="336"/>
      <c r="K27" s="336"/>
      <c r="L27" s="323"/>
      <c r="M27" s="336"/>
      <c r="N27" s="189">
        <f>SUM(N25:N26)</f>
        <v>0</v>
      </c>
      <c r="O27" s="446">
        <f>N27/$N$34</f>
        <v>0</v>
      </c>
    </row>
    <row r="28" spans="1:15" s="150" customFormat="1" ht="12.75" hidden="1" customHeight="1" x14ac:dyDescent="0.2">
      <c r="A28" s="202"/>
      <c r="B28" s="138"/>
      <c r="C28" s="138"/>
      <c r="D28" s="138"/>
      <c r="E28" s="138"/>
      <c r="F28" s="138"/>
      <c r="G28" s="162"/>
      <c r="H28" s="641"/>
      <c r="I28" s="330"/>
      <c r="J28" s="370"/>
      <c r="K28" s="370"/>
      <c r="L28" s="323"/>
      <c r="M28" s="370"/>
      <c r="N28" s="189"/>
      <c r="O28" s="446"/>
    </row>
    <row r="29" spans="1:15" ht="12.75" hidden="1" customHeight="1" x14ac:dyDescent="0.2">
      <c r="A29" s="140" t="s">
        <v>723</v>
      </c>
      <c r="B29" s="142" t="s">
        <v>487</v>
      </c>
      <c r="C29" s="142"/>
      <c r="D29" s="142"/>
      <c r="E29" s="142"/>
      <c r="F29" s="142"/>
      <c r="G29" s="162"/>
      <c r="H29" s="641"/>
      <c r="I29" s="330"/>
      <c r="J29" s="311"/>
      <c r="K29" s="311"/>
      <c r="L29" s="323"/>
      <c r="M29" s="311"/>
      <c r="N29" s="333"/>
      <c r="O29" s="446"/>
    </row>
    <row r="30" spans="1:15" ht="12.75" hidden="1" customHeight="1" x14ac:dyDescent="0.2">
      <c r="A30" s="140" t="s">
        <v>725</v>
      </c>
      <c r="B30" s="142" t="s">
        <v>724</v>
      </c>
      <c r="C30" s="142"/>
      <c r="D30" s="142"/>
      <c r="E30" s="142"/>
      <c r="F30" s="142"/>
      <c r="G30" s="139" t="s">
        <v>24</v>
      </c>
      <c r="H30" s="189">
        <v>0</v>
      </c>
      <c r="I30" s="323">
        <f>VLOOKUP(A30,'[1]TAB OGU JUN18'!$A:$G,6,"falso")</f>
        <v>940.04</v>
      </c>
      <c r="J30" s="314"/>
      <c r="K30" s="314"/>
      <c r="L30" s="323"/>
      <c r="M30" s="308">
        <f>H30*L30</f>
        <v>0</v>
      </c>
      <c r="N30" s="189">
        <f>H30*I30</f>
        <v>0</v>
      </c>
      <c r="O30" s="68" t="e">
        <f>N30/N32</f>
        <v>#DIV/0!</v>
      </c>
    </row>
    <row r="31" spans="1:15" s="150" customFormat="1" ht="12.75" hidden="1" customHeight="1" x14ac:dyDescent="0.2">
      <c r="A31" s="140"/>
      <c r="B31" s="138"/>
      <c r="C31" s="138"/>
      <c r="D31" s="138"/>
      <c r="E31" s="138"/>
      <c r="F31" s="138"/>
      <c r="G31" s="139"/>
      <c r="H31" s="189"/>
      <c r="I31" s="296"/>
      <c r="J31" s="370"/>
      <c r="K31" s="370"/>
      <c r="L31" s="323"/>
      <c r="M31" s="370"/>
      <c r="N31" s="189"/>
      <c r="O31" s="446"/>
    </row>
    <row r="32" spans="1:15" s="150" customFormat="1" ht="12.75" hidden="1" customHeight="1" x14ac:dyDescent="0.2">
      <c r="A32" s="202"/>
      <c r="B32" s="142" t="s">
        <v>18</v>
      </c>
      <c r="C32" s="143"/>
      <c r="D32" s="143"/>
      <c r="E32" s="143"/>
      <c r="F32" s="143"/>
      <c r="G32" s="173"/>
      <c r="H32" s="663"/>
      <c r="I32" s="336"/>
      <c r="J32" s="336"/>
      <c r="K32" s="336"/>
      <c r="L32" s="323"/>
      <c r="M32" s="336"/>
      <c r="N32" s="189">
        <f>SUM(N30:N31)</f>
        <v>0</v>
      </c>
      <c r="O32" s="446">
        <f>N32/$N$34</f>
        <v>0</v>
      </c>
    </row>
    <row r="33" spans="1:15" s="150" customFormat="1" ht="12.75" customHeight="1" x14ac:dyDescent="0.2">
      <c r="A33" s="202"/>
      <c r="B33" s="138"/>
      <c r="C33" s="138"/>
      <c r="D33" s="138"/>
      <c r="E33" s="138"/>
      <c r="F33" s="138"/>
      <c r="G33" s="162"/>
      <c r="H33" s="641"/>
      <c r="I33" s="330"/>
      <c r="J33" s="370"/>
      <c r="K33" s="370"/>
      <c r="L33" s="323"/>
      <c r="M33" s="370"/>
      <c r="N33" s="189"/>
      <c r="O33" s="446"/>
    </row>
    <row r="34" spans="1:15" s="132" customFormat="1" ht="12.75" customHeight="1" x14ac:dyDescent="0.2">
      <c r="A34" s="203"/>
      <c r="B34" s="175" t="s">
        <v>20</v>
      </c>
      <c r="C34" s="176"/>
      <c r="D34" s="176"/>
      <c r="E34" s="176"/>
      <c r="F34" s="176"/>
      <c r="G34" s="178"/>
      <c r="H34" s="666"/>
      <c r="I34" s="338"/>
      <c r="J34" s="338"/>
      <c r="K34" s="338"/>
      <c r="L34" s="582"/>
      <c r="M34" s="338"/>
      <c r="N34" s="295">
        <f>N27+N17+N22+N32</f>
        <v>4896.3901000000005</v>
      </c>
      <c r="O34" s="447">
        <f>N34/$N$61</f>
        <v>2.6628377148246864E-2</v>
      </c>
    </row>
    <row r="35" spans="1:15" ht="12.75" hidden="1" customHeight="1" x14ac:dyDescent="0.2">
      <c r="A35" s="202"/>
      <c r="B35" s="138"/>
      <c r="C35" s="138"/>
      <c r="D35" s="138"/>
      <c r="E35" s="138"/>
      <c r="F35" s="138"/>
      <c r="G35" s="162"/>
      <c r="H35" s="641"/>
      <c r="I35" s="330"/>
      <c r="J35" s="311"/>
      <c r="K35" s="311"/>
      <c r="L35" s="323"/>
      <c r="M35" s="311"/>
      <c r="N35" s="189"/>
      <c r="O35" s="446"/>
    </row>
    <row r="36" spans="1:15" ht="12.75" hidden="1" customHeight="1" x14ac:dyDescent="0.2">
      <c r="A36" s="204">
        <v>29</v>
      </c>
      <c r="B36" s="837" t="s">
        <v>507</v>
      </c>
      <c r="C36" s="837"/>
      <c r="D36" s="837"/>
      <c r="E36" s="837"/>
      <c r="F36" s="837"/>
      <c r="G36" s="162"/>
      <c r="H36" s="641"/>
      <c r="I36" s="330"/>
      <c r="J36" s="311"/>
      <c r="K36" s="311"/>
      <c r="L36" s="323"/>
      <c r="M36" s="311"/>
      <c r="N36" s="333"/>
      <c r="O36" s="446"/>
    </row>
    <row r="37" spans="1:15" ht="12.75" hidden="1" customHeight="1" x14ac:dyDescent="0.2">
      <c r="A37" s="140">
        <v>2906</v>
      </c>
      <c r="B37" s="200" t="s">
        <v>509</v>
      </c>
      <c r="C37" s="153"/>
      <c r="D37" s="153"/>
      <c r="E37" s="153"/>
      <c r="F37" s="153"/>
      <c r="G37" s="162"/>
      <c r="H37" s="641"/>
      <c r="I37" s="330"/>
      <c r="J37" s="311"/>
      <c r="K37" s="311"/>
      <c r="L37" s="323"/>
      <c r="M37" s="311"/>
      <c r="N37" s="333"/>
      <c r="O37" s="446"/>
    </row>
    <row r="38" spans="1:15" ht="12.75" hidden="1" customHeight="1" x14ac:dyDescent="0.2">
      <c r="A38" s="140">
        <v>290603</v>
      </c>
      <c r="B38" s="837" t="s">
        <v>726</v>
      </c>
      <c r="C38" s="837"/>
      <c r="D38" s="837"/>
      <c r="E38" s="837"/>
      <c r="F38" s="837"/>
      <c r="G38" s="139" t="s">
        <v>24</v>
      </c>
      <c r="H38" s="293">
        <v>0</v>
      </c>
      <c r="I38" s="308">
        <v>0</v>
      </c>
      <c r="J38" s="308"/>
      <c r="K38" s="308"/>
      <c r="L38" s="323"/>
      <c r="M38" s="308">
        <v>0</v>
      </c>
      <c r="N38" s="293">
        <f>H38*I38</f>
        <v>0</v>
      </c>
      <c r="O38" s="68" t="e">
        <f>N38/N40</f>
        <v>#DIV/0!</v>
      </c>
    </row>
    <row r="39" spans="1:15" ht="12.75" hidden="1" customHeight="1" x14ac:dyDescent="0.2">
      <c r="A39" s="140"/>
      <c r="B39" s="138"/>
      <c r="C39" s="138"/>
      <c r="D39" s="138"/>
      <c r="E39" s="138"/>
      <c r="F39" s="138"/>
      <c r="G39" s="139"/>
      <c r="H39" s="189"/>
      <c r="I39" s="296"/>
      <c r="J39" s="311"/>
      <c r="K39" s="311"/>
      <c r="L39" s="323"/>
      <c r="M39" s="311"/>
      <c r="N39" s="189"/>
      <c r="O39" s="446"/>
    </row>
    <row r="40" spans="1:15" ht="12.75" hidden="1" customHeight="1" x14ac:dyDescent="0.2">
      <c r="A40" s="202"/>
      <c r="B40" s="142" t="s">
        <v>18</v>
      </c>
      <c r="C40" s="143"/>
      <c r="D40" s="143"/>
      <c r="E40" s="143"/>
      <c r="F40" s="143"/>
      <c r="G40" s="173"/>
      <c r="H40" s="663"/>
      <c r="I40" s="336"/>
      <c r="J40" s="336"/>
      <c r="K40" s="336"/>
      <c r="L40" s="323"/>
      <c r="M40" s="336"/>
      <c r="N40" s="189">
        <f>SUM(N38:N39)</f>
        <v>0</v>
      </c>
      <c r="O40" s="68" t="e">
        <f>N40/N42</f>
        <v>#DIV/0!</v>
      </c>
    </row>
    <row r="41" spans="1:15" ht="12.75" hidden="1" customHeight="1" x14ac:dyDescent="0.2">
      <c r="A41" s="202"/>
      <c r="B41" s="138"/>
      <c r="C41" s="138"/>
      <c r="D41" s="138"/>
      <c r="E41" s="138"/>
      <c r="F41" s="138"/>
      <c r="G41" s="162"/>
      <c r="H41" s="641"/>
      <c r="I41" s="330"/>
      <c r="J41" s="311"/>
      <c r="K41" s="311"/>
      <c r="L41" s="323"/>
      <c r="M41" s="311"/>
      <c r="N41" s="189"/>
      <c r="O41" s="446"/>
    </row>
    <row r="42" spans="1:15" s="132" customFormat="1" ht="12.75" hidden="1" customHeight="1" x14ac:dyDescent="0.2">
      <c r="A42" s="203"/>
      <c r="B42" s="175" t="s">
        <v>20</v>
      </c>
      <c r="C42" s="176"/>
      <c r="D42" s="176"/>
      <c r="E42" s="176"/>
      <c r="F42" s="176"/>
      <c r="G42" s="178"/>
      <c r="H42" s="666"/>
      <c r="I42" s="338"/>
      <c r="J42" s="338"/>
      <c r="K42" s="338"/>
      <c r="L42" s="323"/>
      <c r="M42" s="338"/>
      <c r="N42" s="295">
        <f>SUM(N40)</f>
        <v>0</v>
      </c>
      <c r="O42" s="447">
        <f>N42/$N$61</f>
        <v>0</v>
      </c>
    </row>
    <row r="43" spans="1:15" s="132" customFormat="1" ht="12.75" customHeight="1" x14ac:dyDescent="0.2">
      <c r="A43" s="203"/>
      <c r="B43" s="175"/>
      <c r="C43" s="630"/>
      <c r="D43" s="630"/>
      <c r="E43" s="630"/>
      <c r="F43" s="630"/>
      <c r="G43" s="631"/>
      <c r="H43" s="710"/>
      <c r="I43" s="632"/>
      <c r="J43" s="632"/>
      <c r="K43" s="632"/>
      <c r="L43" s="323"/>
      <c r="M43" s="632"/>
      <c r="N43" s="295"/>
      <c r="O43" s="447"/>
    </row>
    <row r="44" spans="1:15" s="132" customFormat="1" ht="12.75" customHeight="1" x14ac:dyDescent="0.2">
      <c r="A44" s="636" t="s">
        <v>469</v>
      </c>
      <c r="B44" s="635" t="s">
        <v>470</v>
      </c>
      <c r="C44" s="630"/>
      <c r="D44" s="630"/>
      <c r="E44" s="630"/>
      <c r="F44" s="630"/>
      <c r="G44" s="631"/>
      <c r="H44" s="710"/>
      <c r="I44" s="632"/>
      <c r="J44" s="632"/>
      <c r="K44" s="632"/>
      <c r="L44" s="323"/>
      <c r="M44" s="632"/>
      <c r="N44" s="295"/>
      <c r="O44" s="447"/>
    </row>
    <row r="45" spans="1:15" s="132" customFormat="1" ht="12.75" customHeight="1" x14ac:dyDescent="0.2">
      <c r="A45" s="634" t="s">
        <v>471</v>
      </c>
      <c r="B45" s="142" t="s">
        <v>472</v>
      </c>
      <c r="C45" s="630"/>
      <c r="D45" s="630"/>
      <c r="E45" s="630"/>
      <c r="F45" s="630"/>
      <c r="G45" s="637" t="s">
        <v>31</v>
      </c>
      <c r="H45" s="638">
        <f>H14*0.3</f>
        <v>18.75</v>
      </c>
      <c r="I45" s="643">
        <f>VLOOKUP(A45,'[1]TAB OGU JUN18'!$A:$G,6,"falso")</f>
        <v>697.39</v>
      </c>
      <c r="J45" s="643">
        <f>VLOOKUP(A45,'[1]TAB OGU JUN18'!$A:$G,4,"falso")</f>
        <v>67.39</v>
      </c>
      <c r="K45" s="643">
        <f>J45*H45</f>
        <v>1263.5625</v>
      </c>
      <c r="L45" s="323">
        <f>VLOOKUP(A45,'[1]TAB OGU JUN18'!$A:$G,5,"falso")</f>
        <v>630</v>
      </c>
      <c r="M45" s="643">
        <f>L45*H45</f>
        <v>11812.5</v>
      </c>
      <c r="N45" s="286">
        <f>I45*H45</f>
        <v>13076.0625</v>
      </c>
      <c r="O45" s="446"/>
    </row>
    <row r="46" spans="1:15" s="132" customFormat="1" ht="12.75" customHeight="1" x14ac:dyDescent="0.2">
      <c r="A46" s="634"/>
      <c r="B46" s="175"/>
      <c r="C46" s="630"/>
      <c r="D46" s="630"/>
      <c r="E46" s="630"/>
      <c r="F46" s="630"/>
      <c r="G46" s="637"/>
      <c r="H46" s="638"/>
      <c r="I46" s="639"/>
      <c r="J46" s="639"/>
      <c r="K46" s="639"/>
      <c r="L46" s="639"/>
      <c r="M46" s="639"/>
      <c r="N46" s="286"/>
      <c r="O46" s="446"/>
    </row>
    <row r="47" spans="1:15" s="132" customFormat="1" ht="12.75" customHeight="1" x14ac:dyDescent="0.2">
      <c r="A47" s="634"/>
      <c r="B47" s="142" t="s">
        <v>18</v>
      </c>
      <c r="C47" s="143"/>
      <c r="D47" s="143"/>
      <c r="E47" s="143"/>
      <c r="F47" s="143"/>
      <c r="G47" s="173"/>
      <c r="H47" s="663"/>
      <c r="I47" s="336"/>
      <c r="J47" s="336"/>
      <c r="K47" s="336"/>
      <c r="L47" s="582"/>
      <c r="M47" s="336"/>
      <c r="N47" s="189">
        <f>SUM(N45)</f>
        <v>13076.0625</v>
      </c>
      <c r="O47" s="446">
        <f>N47/$N$49</f>
        <v>1</v>
      </c>
    </row>
    <row r="48" spans="1:15" s="132" customFormat="1" ht="12.75" customHeight="1" x14ac:dyDescent="0.2">
      <c r="A48" s="634"/>
      <c r="B48" s="175"/>
      <c r="C48" s="630"/>
      <c r="D48" s="630"/>
      <c r="E48" s="630"/>
      <c r="F48" s="630"/>
      <c r="G48" s="637"/>
      <c r="H48" s="638"/>
      <c r="I48" s="639"/>
      <c r="J48" s="639"/>
      <c r="K48" s="639"/>
      <c r="L48" s="639"/>
      <c r="M48" s="639"/>
      <c r="N48" s="286"/>
      <c r="O48" s="446"/>
    </row>
    <row r="49" spans="1:16" s="132" customFormat="1" ht="12.75" customHeight="1" x14ac:dyDescent="0.2">
      <c r="A49" s="634"/>
      <c r="B49" s="175" t="s">
        <v>20</v>
      </c>
      <c r="C49" s="176"/>
      <c r="D49" s="176"/>
      <c r="E49" s="176"/>
      <c r="F49" s="176"/>
      <c r="G49" s="178"/>
      <c r="H49" s="666"/>
      <c r="I49" s="338"/>
      <c r="J49" s="338"/>
      <c r="K49" s="338"/>
      <c r="L49" s="582"/>
      <c r="M49" s="338"/>
      <c r="N49" s="295">
        <f>N47</f>
        <v>13076.0625</v>
      </c>
      <c r="O49" s="447">
        <f>N49/$N$61</f>
        <v>7.111245565667812E-2</v>
      </c>
    </row>
    <row r="50" spans="1:16" ht="12.75" customHeight="1" x14ac:dyDescent="0.2">
      <c r="A50" s="634"/>
      <c r="B50" s="138"/>
      <c r="C50" s="138"/>
      <c r="D50" s="138"/>
      <c r="E50" s="138"/>
      <c r="F50" s="138"/>
      <c r="G50" s="139"/>
      <c r="H50" s="286"/>
      <c r="I50" s="349"/>
      <c r="J50" s="346"/>
      <c r="K50" s="346"/>
      <c r="L50" s="346"/>
      <c r="M50" s="346"/>
      <c r="N50" s="286"/>
      <c r="O50" s="446"/>
    </row>
    <row r="51" spans="1:16" ht="12.75" customHeight="1" x14ac:dyDescent="0.2">
      <c r="A51" s="140">
        <v>30</v>
      </c>
      <c r="B51" s="834" t="s">
        <v>556</v>
      </c>
      <c r="C51" s="834"/>
      <c r="D51" s="834"/>
      <c r="E51" s="834"/>
      <c r="F51" s="834"/>
      <c r="G51" s="139"/>
      <c r="H51" s="286"/>
      <c r="I51" s="349"/>
      <c r="J51" s="346"/>
      <c r="K51" s="346"/>
      <c r="L51" s="346"/>
      <c r="M51" s="346"/>
      <c r="N51" s="286"/>
      <c r="O51" s="448"/>
    </row>
    <row r="52" spans="1:16" ht="12.75" customHeight="1" x14ac:dyDescent="0.2">
      <c r="A52" s="140"/>
      <c r="B52" s="200" t="s">
        <v>557</v>
      </c>
      <c r="C52" s="153"/>
      <c r="D52" s="153"/>
      <c r="E52" s="153"/>
      <c r="F52" s="153"/>
      <c r="G52" s="162"/>
      <c r="H52" s="641"/>
      <c r="I52" s="330"/>
      <c r="J52" s="311"/>
      <c r="K52" s="311"/>
      <c r="L52" s="311"/>
      <c r="M52" s="311"/>
      <c r="N52" s="333"/>
      <c r="O52" s="446"/>
    </row>
    <row r="53" spans="1:16" ht="12.75" customHeight="1" x14ac:dyDescent="0.2">
      <c r="A53" s="140" t="s">
        <v>545</v>
      </c>
      <c r="B53" s="200" t="s">
        <v>1437</v>
      </c>
      <c r="C53" s="200"/>
      <c r="D53" s="200"/>
      <c r="E53" s="200"/>
      <c r="F53" s="200"/>
      <c r="G53" s="139" t="s">
        <v>888</v>
      </c>
      <c r="H53" s="293">
        <v>4</v>
      </c>
      <c r="I53" s="323">
        <v>33650</v>
      </c>
      <c r="J53" s="314"/>
      <c r="K53" s="314"/>
      <c r="L53" s="323">
        <f>I53</f>
        <v>33650</v>
      </c>
      <c r="M53" s="308">
        <f>L53*H53</f>
        <v>134600</v>
      </c>
      <c r="N53" s="293">
        <f>H53*I53</f>
        <v>134600</v>
      </c>
      <c r="O53" s="446">
        <f>N53/N57</f>
        <v>0.8113018098988769</v>
      </c>
    </row>
    <row r="54" spans="1:16" ht="12.75" customHeight="1" x14ac:dyDescent="0.2">
      <c r="A54" s="140" t="s">
        <v>545</v>
      </c>
      <c r="B54" s="142" t="s">
        <v>889</v>
      </c>
      <c r="C54" s="153"/>
      <c r="D54" s="153"/>
      <c r="E54" s="153"/>
      <c r="F54" s="153"/>
      <c r="G54" s="139" t="s">
        <v>31</v>
      </c>
      <c r="H54" s="189">
        <f>H15</f>
        <v>866.61</v>
      </c>
      <c r="I54" s="308">
        <v>15.4237</v>
      </c>
      <c r="J54" s="308">
        <v>3</v>
      </c>
      <c r="K54" s="308">
        <f>J54*H54</f>
        <v>2599.83</v>
      </c>
      <c r="L54" s="308">
        <v>12.4237</v>
      </c>
      <c r="M54" s="308">
        <f>L54*H54</f>
        <v>10766.502657000001</v>
      </c>
      <c r="N54" s="189">
        <f>H54*I54</f>
        <v>13366.332657000001</v>
      </c>
      <c r="O54" s="446">
        <f>N54/N57</f>
        <v>8.0565600864298398E-2</v>
      </c>
    </row>
    <row r="55" spans="1:16" ht="12.75" customHeight="1" x14ac:dyDescent="0.2">
      <c r="A55" s="205" t="s">
        <v>352</v>
      </c>
      <c r="B55" s="142" t="s">
        <v>890</v>
      </c>
      <c r="C55" s="153"/>
      <c r="D55" s="153"/>
      <c r="E55" s="153"/>
      <c r="F55" s="153"/>
      <c r="G55" s="139" t="s">
        <v>32</v>
      </c>
      <c r="H55" s="189">
        <f>H54*0.12</f>
        <v>103.9932</v>
      </c>
      <c r="I55" s="308">
        <f>VLOOKUP(A55,'[1]TAB OGU JUN18'!$A:$G,6,"falso")</f>
        <v>172.51</v>
      </c>
      <c r="J55" s="308">
        <v>74.180000000000007</v>
      </c>
      <c r="K55" s="308">
        <f>J55:J56*H55</f>
        <v>7714.2155760000005</v>
      </c>
      <c r="L55" s="308">
        <f>98.33</f>
        <v>98.33</v>
      </c>
      <c r="M55" s="308">
        <f>L55*H55</f>
        <v>10225.651356</v>
      </c>
      <c r="N55" s="189">
        <f>H55*I55</f>
        <v>17939.866932000001</v>
      </c>
      <c r="O55" s="446">
        <f>N55/N57</f>
        <v>0.10813258923682476</v>
      </c>
    </row>
    <row r="56" spans="1:16" ht="12.75" customHeight="1" x14ac:dyDescent="0.2">
      <c r="A56" s="140"/>
      <c r="B56" s="138"/>
      <c r="C56" s="138"/>
      <c r="D56" s="138"/>
      <c r="E56" s="138"/>
      <c r="F56" s="138"/>
      <c r="G56" s="139"/>
      <c r="H56" s="189"/>
      <c r="I56" s="296"/>
      <c r="J56" s="311"/>
      <c r="K56" s="311"/>
      <c r="L56" s="311"/>
      <c r="M56" s="311"/>
      <c r="N56" s="189"/>
      <c r="O56" s="446"/>
    </row>
    <row r="57" spans="1:16" ht="12.75" customHeight="1" x14ac:dyDescent="0.2">
      <c r="A57" s="202"/>
      <c r="B57" s="142" t="s">
        <v>18</v>
      </c>
      <c r="C57" s="143"/>
      <c r="D57" s="143"/>
      <c r="E57" s="143"/>
      <c r="F57" s="143"/>
      <c r="G57" s="188"/>
      <c r="H57" s="663"/>
      <c r="I57" s="336"/>
      <c r="J57" s="336"/>
      <c r="K57" s="336"/>
      <c r="L57" s="336"/>
      <c r="M57" s="336"/>
      <c r="N57" s="189">
        <f>SUM(N53:N56)</f>
        <v>165906.199589</v>
      </c>
      <c r="O57" s="68">
        <f>N57/N59</f>
        <v>1</v>
      </c>
    </row>
    <row r="58" spans="1:16" ht="12.75" customHeight="1" x14ac:dyDescent="0.2">
      <c r="A58" s="202"/>
      <c r="B58" s="138"/>
      <c r="C58" s="138"/>
      <c r="D58" s="138"/>
      <c r="E58" s="138"/>
      <c r="F58" s="138"/>
      <c r="G58" s="137"/>
      <c r="H58" s="333"/>
      <c r="I58" s="330"/>
      <c r="J58" s="311"/>
      <c r="K58" s="311"/>
      <c r="L58" s="311"/>
      <c r="M58" s="311"/>
      <c r="N58" s="189"/>
      <c r="O58" s="446"/>
    </row>
    <row r="59" spans="1:16" s="132" customFormat="1" ht="12.75" customHeight="1" x14ac:dyDescent="0.2">
      <c r="A59" s="203"/>
      <c r="B59" s="175" t="s">
        <v>20</v>
      </c>
      <c r="C59" s="176"/>
      <c r="D59" s="176"/>
      <c r="E59" s="176"/>
      <c r="F59" s="176"/>
      <c r="G59" s="191"/>
      <c r="H59" s="337"/>
      <c r="I59" s="338"/>
      <c r="J59" s="338"/>
      <c r="K59" s="338"/>
      <c r="L59" s="338"/>
      <c r="M59" s="338"/>
      <c r="N59" s="295">
        <f>N57</f>
        <v>165906.199589</v>
      </c>
      <c r="O59" s="447">
        <f>N59/$N$61</f>
        <v>0.90225916719507504</v>
      </c>
    </row>
    <row r="60" spans="1:16" ht="7.5" customHeight="1" x14ac:dyDescent="0.2">
      <c r="G60" s="52"/>
      <c r="H60" s="313"/>
      <c r="I60" s="313"/>
      <c r="J60" s="313"/>
      <c r="K60" s="313"/>
      <c r="L60" s="313"/>
      <c r="M60" s="313"/>
      <c r="N60" s="313"/>
      <c r="O60" s="19"/>
    </row>
    <row r="61" spans="1:16" ht="12.75" customHeight="1" x14ac:dyDescent="0.2">
      <c r="A61" s="206"/>
      <c r="B61" s="147" t="s">
        <v>30</v>
      </c>
      <c r="C61" s="146"/>
      <c r="D61" s="146"/>
      <c r="E61" s="146"/>
      <c r="F61" s="146"/>
      <c r="G61" s="146"/>
      <c r="H61" s="350"/>
      <c r="I61" s="345"/>
      <c r="J61" s="345"/>
      <c r="K61" s="275">
        <f>SUM(K14:K60)</f>
        <v>11577.608076</v>
      </c>
      <c r="L61" s="275"/>
      <c r="M61" s="275">
        <f>SUM(M14:M60)</f>
        <v>171112.29411299998</v>
      </c>
      <c r="N61" s="316">
        <f>N34+N49+N59</f>
        <v>183878.65218899999</v>
      </c>
      <c r="O61" s="29"/>
      <c r="P61" s="149"/>
    </row>
    <row r="62" spans="1:16" ht="6.75" customHeight="1" x14ac:dyDescent="0.2">
      <c r="H62" s="313"/>
      <c r="I62" s="311"/>
      <c r="J62" s="311"/>
      <c r="K62" s="311"/>
      <c r="L62" s="311"/>
      <c r="M62" s="311"/>
      <c r="N62" s="313"/>
      <c r="P62" s="149"/>
    </row>
    <row r="63" spans="1:16" ht="12.75" customHeight="1" x14ac:dyDescent="0.2">
      <c r="A63" s="206"/>
      <c r="B63" s="147" t="s">
        <v>265</v>
      </c>
      <c r="C63" s="146"/>
      <c r="D63" s="146"/>
      <c r="E63" s="146"/>
      <c r="F63" s="146"/>
      <c r="G63" s="146"/>
      <c r="H63" s="350"/>
      <c r="I63" s="345"/>
      <c r="J63" s="345"/>
      <c r="K63" s="275">
        <f>K61+(K61*O7)</f>
        <v>13629.160227067201</v>
      </c>
      <c r="L63" s="345"/>
      <c r="M63" s="275">
        <f>M61+(M61*O7)</f>
        <v>201433.39262982359</v>
      </c>
      <c r="N63" s="316">
        <f>M63+K63</f>
        <v>215062.55285689078</v>
      </c>
      <c r="O63" s="29">
        <f>N63/RESUMO!H95</f>
        <v>2.9698683717977351E-2</v>
      </c>
      <c r="P63" s="149"/>
    </row>
    <row r="75" spans="1:15" ht="12.75" customHeight="1" x14ac:dyDescent="0.2">
      <c r="A75" s="208"/>
      <c r="B75" s="150"/>
      <c r="C75" s="150"/>
      <c r="D75" s="150"/>
      <c r="E75" s="150"/>
      <c r="F75" s="150"/>
      <c r="G75" s="150"/>
      <c r="H75" s="209"/>
      <c r="I75" s="150"/>
      <c r="J75" s="150"/>
      <c r="K75" s="150"/>
      <c r="L75" s="150"/>
      <c r="M75" s="150"/>
      <c r="N75" s="210"/>
      <c r="O75" s="210"/>
    </row>
    <row r="76" spans="1:15" ht="12.75" customHeight="1" x14ac:dyDescent="0.2">
      <c r="A76" s="98"/>
      <c r="C76" s="184"/>
      <c r="D76" s="184"/>
      <c r="E76" s="184"/>
      <c r="F76" s="184"/>
      <c r="G76" s="184"/>
      <c r="H76" s="212"/>
      <c r="I76" s="184"/>
      <c r="J76" s="184"/>
      <c r="K76" s="184"/>
      <c r="L76" s="184"/>
      <c r="M76" s="184"/>
      <c r="N76" s="212"/>
      <c r="O76" s="437"/>
    </row>
  </sheetData>
  <mergeCells count="6">
    <mergeCell ref="B51:F51"/>
    <mergeCell ref="A2:O2"/>
    <mergeCell ref="N4:O4"/>
    <mergeCell ref="A5:B6"/>
    <mergeCell ref="B36:F36"/>
    <mergeCell ref="B38:F38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legacyDrawingHF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Planilha16">
    <tabColor theme="6" tint="0.39997558519241921"/>
    <pageSetUpPr fitToPage="1"/>
  </sheetPr>
  <dimension ref="A1:AF168"/>
  <sheetViews>
    <sheetView view="pageBreakPreview" topLeftCell="A60" zoomScale="85" zoomScaleNormal="90" zoomScaleSheetLayoutView="85" workbookViewId="0">
      <selection activeCell="I94" sqref="I93:I94"/>
    </sheetView>
  </sheetViews>
  <sheetFormatPr defaultColWidth="11.42578125" defaultRowHeight="12" customHeight="1" x14ac:dyDescent="0.2"/>
  <cols>
    <col min="1" max="1" width="11.42578125" style="156"/>
    <col min="2" max="5" width="11.42578125" style="51"/>
    <col min="6" max="6" width="28.5703125" style="51" customWidth="1"/>
    <col min="7" max="7" width="11.42578125" style="51"/>
    <col min="8" max="9" width="11.42578125" style="51" customWidth="1"/>
    <col min="10" max="10" width="7.42578125" style="51" hidden="1" customWidth="1"/>
    <col min="11" max="11" width="14.28515625" style="51" customWidth="1"/>
    <col min="12" max="12" width="7.140625" style="51" hidden="1" customWidth="1"/>
    <col min="13" max="13" width="14.28515625" style="51" customWidth="1"/>
    <col min="14" max="14" width="17.140625" style="51" customWidth="1"/>
    <col min="15" max="15" width="11.42578125" style="52" customWidth="1"/>
    <col min="16" max="16384" width="11.42578125" style="51"/>
  </cols>
  <sheetData>
    <row r="1" spans="1:15" ht="7.5" customHeight="1" x14ac:dyDescent="0.2"/>
    <row r="2" spans="1:15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5" ht="7.5" customHeight="1" thickBot="1" x14ac:dyDescent="0.25">
      <c r="A3" s="194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95"/>
    </row>
    <row r="4" spans="1:15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5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5" ht="12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5" ht="12" customHeight="1" x14ac:dyDescent="0.2">
      <c r="A7" s="196"/>
      <c r="B7" s="253"/>
      <c r="C7" s="260" t="s">
        <v>6</v>
      </c>
      <c r="D7" s="263" t="str">
        <f>RESUMO!A47</f>
        <v>U.C. : 13</v>
      </c>
      <c r="E7" s="258"/>
      <c r="F7" s="258"/>
      <c r="G7" s="260" t="s">
        <v>9</v>
      </c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5" ht="12" customHeight="1" thickBot="1" x14ac:dyDescent="0.25">
      <c r="A8" s="197"/>
      <c r="B8" s="125"/>
      <c r="C8" s="266" t="s">
        <v>8</v>
      </c>
      <c r="D8" s="267" t="str">
        <f>RESUMO!B47</f>
        <v>ESTAÇÃO DE TRATAMENTO DE ESGOTO - ETE</v>
      </c>
      <c r="E8" s="268"/>
      <c r="F8" s="268"/>
      <c r="G8" s="266"/>
      <c r="H8" s="123"/>
      <c r="I8" s="278"/>
      <c r="J8" s="278"/>
      <c r="K8" s="278"/>
      <c r="L8" s="278"/>
      <c r="M8" s="278" t="s">
        <v>774</v>
      </c>
      <c r="N8" s="271"/>
      <c r="O8" s="427"/>
    </row>
    <row r="9" spans="1:15" ht="12" customHeight="1" thickTop="1" x14ac:dyDescent="0.2">
      <c r="A9" s="198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5" ht="7.5" customHeight="1" x14ac:dyDescent="0.2">
      <c r="O10" s="19"/>
    </row>
    <row r="11" spans="1:15" ht="12" customHeight="1" x14ac:dyDescent="0.2">
      <c r="A11" s="93">
        <f>RESUMO!A59</f>
        <v>12</v>
      </c>
      <c r="B11" s="93" t="str">
        <f>RESUMO!B59</f>
        <v>LAGOAS ANAERÓBIAS 1 E 2  - SERVIÇOS</v>
      </c>
      <c r="H11" s="19"/>
      <c r="O11" s="19"/>
    </row>
    <row r="12" spans="1:15" ht="12" customHeight="1" x14ac:dyDescent="0.2">
      <c r="A12" s="130" t="s">
        <v>48</v>
      </c>
      <c r="B12" s="88" t="s">
        <v>16</v>
      </c>
      <c r="H12" s="704"/>
      <c r="O12" s="19"/>
    </row>
    <row r="13" spans="1:15" ht="12" customHeight="1" x14ac:dyDescent="0.2">
      <c r="A13" s="130" t="s">
        <v>79</v>
      </c>
      <c r="B13" s="88" t="s">
        <v>80</v>
      </c>
      <c r="H13" s="704"/>
      <c r="O13" s="187"/>
    </row>
    <row r="14" spans="1:15" ht="12" customHeight="1" x14ac:dyDescent="0.2">
      <c r="A14" s="140" t="s">
        <v>286</v>
      </c>
      <c r="B14" s="834" t="s">
        <v>636</v>
      </c>
      <c r="C14" s="834"/>
      <c r="D14" s="834"/>
      <c r="E14" s="834"/>
      <c r="F14" s="834"/>
      <c r="G14" s="97" t="s">
        <v>31</v>
      </c>
      <c r="H14" s="308">
        <v>1248</v>
      </c>
      <c r="I14" s="323">
        <f>VLOOKUP(A14,'[1]TAB OGU JUN18'!$A:$G,6,"falso")</f>
        <v>16.329999999999998</v>
      </c>
      <c r="J14" s="323">
        <f>VLOOKUP(A14,'[1]TAB OGU JUN18'!$A:$G,4,"falso")</f>
        <v>9.6300000000000008</v>
      </c>
      <c r="K14" s="308">
        <f>H14*J14</f>
        <v>12018.240000000002</v>
      </c>
      <c r="L14" s="323">
        <f>VLOOKUP(A14,'[1]TAB OGU JUN18'!$A:$G,5,"falso")</f>
        <v>6.7</v>
      </c>
      <c r="M14" s="308">
        <f>H14*L14</f>
        <v>8361.6</v>
      </c>
      <c r="N14" s="308">
        <f>H14*I14</f>
        <v>20379.839999999997</v>
      </c>
      <c r="O14" s="185">
        <f>(N14*1)/$N$16</f>
        <v>1</v>
      </c>
    </row>
    <row r="15" spans="1:15" ht="12" customHeight="1" x14ac:dyDescent="0.2">
      <c r="A15" s="51"/>
      <c r="G15" s="52"/>
      <c r="H15" s="324"/>
      <c r="I15" s="313"/>
      <c r="J15" s="323"/>
      <c r="K15" s="313"/>
      <c r="L15" s="313"/>
      <c r="M15" s="313"/>
      <c r="N15" s="309"/>
      <c r="O15" s="185"/>
    </row>
    <row r="16" spans="1:15" ht="12" customHeight="1" x14ac:dyDescent="0.2">
      <c r="A16" s="51"/>
      <c r="B16" s="130" t="s">
        <v>18</v>
      </c>
      <c r="C16" s="131"/>
      <c r="D16" s="131"/>
      <c r="E16" s="131"/>
      <c r="F16" s="131"/>
      <c r="G16" s="53"/>
      <c r="H16" s="325"/>
      <c r="I16" s="326"/>
      <c r="J16" s="323"/>
      <c r="K16" s="326"/>
      <c r="L16" s="326"/>
      <c r="M16" s="326"/>
      <c r="N16" s="308">
        <f>SUM(N14:N14)</f>
        <v>20379.839999999997</v>
      </c>
      <c r="O16" s="185">
        <f>N16/N23</f>
        <v>0.97202380952380951</v>
      </c>
    </row>
    <row r="17" spans="1:15" ht="12" customHeight="1" x14ac:dyDescent="0.2">
      <c r="B17" s="130"/>
      <c r="G17" s="52"/>
      <c r="H17" s="324"/>
      <c r="I17" s="313"/>
      <c r="J17" s="323"/>
      <c r="K17" s="313"/>
      <c r="L17" s="313"/>
      <c r="M17" s="313"/>
      <c r="N17" s="308"/>
      <c r="O17" s="185"/>
    </row>
    <row r="18" spans="1:15" ht="12" customHeight="1" x14ac:dyDescent="0.2">
      <c r="A18" s="129" t="s">
        <v>779</v>
      </c>
      <c r="B18" s="88" t="s">
        <v>780</v>
      </c>
      <c r="H18" s="704"/>
      <c r="J18" s="323"/>
      <c r="N18" s="303"/>
      <c r="O18" s="187"/>
    </row>
    <row r="19" spans="1:15" ht="12" customHeight="1" x14ac:dyDescent="0.2">
      <c r="A19" s="140" t="s">
        <v>789</v>
      </c>
      <c r="B19" s="142" t="s">
        <v>636</v>
      </c>
      <c r="C19" s="153"/>
      <c r="D19" s="153"/>
      <c r="E19" s="153"/>
      <c r="F19" s="153"/>
      <c r="G19" s="97" t="s">
        <v>31</v>
      </c>
      <c r="H19" s="308">
        <f>H14</f>
        <v>1248</v>
      </c>
      <c r="I19" s="323">
        <f>VLOOKUP(A19,'[1]TAB OGU JUN18'!$A:$G,6,"falso")</f>
        <v>0.47</v>
      </c>
      <c r="J19" s="323">
        <f>VLOOKUP(A19,'[1]TAB OGU JUN18'!$A:$G,4,"falso")</f>
        <v>0.47</v>
      </c>
      <c r="K19" s="308">
        <f>H19*J19</f>
        <v>586.55999999999995</v>
      </c>
      <c r="L19" s="323">
        <f>VLOOKUP(A19,'[1]TAB OGU JUN18'!$A:$G,5,"falso")</f>
        <v>0</v>
      </c>
      <c r="M19" s="308"/>
      <c r="N19" s="308">
        <f>H19*I19</f>
        <v>586.55999999999995</v>
      </c>
      <c r="O19" s="185">
        <f>N19/N21</f>
        <v>1</v>
      </c>
    </row>
    <row r="20" spans="1:15" ht="12" customHeight="1" x14ac:dyDescent="0.2">
      <c r="G20" s="52"/>
      <c r="H20" s="324"/>
      <c r="I20" s="313"/>
      <c r="J20" s="323"/>
      <c r="K20" s="313"/>
      <c r="L20" s="313"/>
      <c r="M20" s="313"/>
      <c r="N20" s="309"/>
      <c r="O20" s="185"/>
    </row>
    <row r="21" spans="1:15" ht="12" customHeight="1" x14ac:dyDescent="0.2">
      <c r="B21" s="130" t="s">
        <v>18</v>
      </c>
      <c r="C21" s="131"/>
      <c r="D21" s="131"/>
      <c r="E21" s="131"/>
      <c r="F21" s="131"/>
      <c r="G21" s="53"/>
      <c r="H21" s="325"/>
      <c r="I21" s="326"/>
      <c r="J21" s="323"/>
      <c r="K21" s="326"/>
      <c r="L21" s="326"/>
      <c r="M21" s="326"/>
      <c r="N21" s="308">
        <f>SUM(N19:N19)</f>
        <v>586.55999999999995</v>
      </c>
      <c r="O21" s="185">
        <f>N21/N23</f>
        <v>2.7976190476190477E-2</v>
      </c>
    </row>
    <row r="22" spans="1:15" ht="12" customHeight="1" x14ac:dyDescent="0.2">
      <c r="B22" s="130"/>
      <c r="G22" s="52"/>
      <c r="H22" s="324"/>
      <c r="I22" s="313"/>
      <c r="J22" s="323"/>
      <c r="K22" s="313"/>
      <c r="L22" s="313"/>
      <c r="M22" s="313"/>
      <c r="N22" s="308"/>
      <c r="O22" s="185"/>
    </row>
    <row r="23" spans="1:15" s="132" customFormat="1" ht="12" customHeight="1" x14ac:dyDescent="0.2">
      <c r="A23" s="157"/>
      <c r="B23" s="133" t="s">
        <v>20</v>
      </c>
      <c r="C23" s="134"/>
      <c r="D23" s="134"/>
      <c r="E23" s="134"/>
      <c r="F23" s="134"/>
      <c r="G23" s="78"/>
      <c r="H23" s="327"/>
      <c r="I23" s="328"/>
      <c r="J23" s="323"/>
      <c r="K23" s="328"/>
      <c r="L23" s="328"/>
      <c r="M23" s="328"/>
      <c r="N23" s="310">
        <f>N16+N21</f>
        <v>20966.399999999998</v>
      </c>
      <c r="O23" s="186">
        <f>N23/N160</f>
        <v>0.16944653225426781</v>
      </c>
    </row>
    <row r="24" spans="1:15" ht="12" customHeight="1" x14ac:dyDescent="0.2">
      <c r="B24" s="130"/>
      <c r="G24" s="52"/>
      <c r="H24" s="324"/>
      <c r="I24" s="313"/>
      <c r="J24" s="323"/>
      <c r="K24" s="313"/>
      <c r="L24" s="313"/>
      <c r="M24" s="313"/>
      <c r="N24" s="308"/>
      <c r="O24" s="185"/>
    </row>
    <row r="25" spans="1:15" ht="12" customHeight="1" x14ac:dyDescent="0.2">
      <c r="A25" s="129" t="s">
        <v>93</v>
      </c>
      <c r="B25" s="88" t="s">
        <v>96</v>
      </c>
      <c r="H25" s="324"/>
      <c r="I25" s="311"/>
      <c r="J25" s="323"/>
      <c r="K25" s="311"/>
      <c r="L25" s="311"/>
      <c r="M25" s="311"/>
      <c r="N25" s="313"/>
      <c r="O25" s="187"/>
    </row>
    <row r="26" spans="1:15" ht="12" customHeight="1" x14ac:dyDescent="0.2">
      <c r="A26" s="252" t="s">
        <v>543</v>
      </c>
      <c r="B26" s="835" t="s">
        <v>645</v>
      </c>
      <c r="C26" s="835"/>
      <c r="D26" s="835"/>
      <c r="E26" s="835"/>
      <c r="F26" s="835"/>
      <c r="G26" s="52"/>
      <c r="H26" s="324"/>
      <c r="I26" s="313"/>
      <c r="J26" s="323"/>
      <c r="K26" s="313"/>
      <c r="L26" s="313"/>
      <c r="M26" s="313"/>
      <c r="N26" s="313"/>
      <c r="O26" s="187"/>
    </row>
    <row r="27" spans="1:15" ht="12" customHeight="1" x14ac:dyDescent="0.2">
      <c r="A27" s="98" t="s">
        <v>295</v>
      </c>
      <c r="B27" s="88" t="s">
        <v>229</v>
      </c>
      <c r="G27" s="97" t="s">
        <v>32</v>
      </c>
      <c r="H27" s="308">
        <v>1794.22</v>
      </c>
      <c r="I27" s="323">
        <f>VLOOKUP(A27,'[1]TAB OGU JUN18'!$A:$G,6,"falso")</f>
        <v>7.1</v>
      </c>
      <c r="J27" s="323">
        <f>VLOOKUP(A27,'[1]TAB OGU JUN18'!$A:$G,4,"falso")</f>
        <v>7.1</v>
      </c>
      <c r="K27" s="308">
        <f>H27*J27</f>
        <v>12738.962</v>
      </c>
      <c r="L27" s="323">
        <f>VLOOKUP(A27,'[1]TAB OGU JUN18'!$A:$G,5,"falso")</f>
        <v>0</v>
      </c>
      <c r="M27" s="308"/>
      <c r="N27" s="308">
        <f>H27*I27</f>
        <v>12738.962</v>
      </c>
      <c r="O27" s="185">
        <f>N27/N30</f>
        <v>1</v>
      </c>
    </row>
    <row r="28" spans="1:15" ht="12" hidden="1" customHeight="1" x14ac:dyDescent="0.2">
      <c r="A28" s="98" t="s">
        <v>296</v>
      </c>
      <c r="B28" s="88" t="s">
        <v>558</v>
      </c>
      <c r="G28" s="97" t="s">
        <v>32</v>
      </c>
      <c r="H28" s="308">
        <v>0</v>
      </c>
      <c r="I28" s="323">
        <f>VLOOKUP(A28,'[1]TAB OGU JUN18'!$A:$G,6,"falso")</f>
        <v>2.2400000000000002</v>
      </c>
      <c r="J28" s="323">
        <f>VLOOKUP(A28,'[1]TAB OGU JUN18'!$A:$G,4,"falso")</f>
        <v>2.2400000000000002</v>
      </c>
      <c r="K28" s="308">
        <f>H28*J28</f>
        <v>0</v>
      </c>
      <c r="L28" s="323">
        <f>VLOOKUP(A28,'[1]TAB OGU JUN18'!$A:$G,5,"falso")</f>
        <v>0</v>
      </c>
      <c r="M28" s="308"/>
      <c r="N28" s="308">
        <f>H28*I28</f>
        <v>0</v>
      </c>
      <c r="O28" s="185">
        <f>N28/N30</f>
        <v>0</v>
      </c>
    </row>
    <row r="29" spans="1:15" ht="12" customHeight="1" x14ac:dyDescent="0.2">
      <c r="G29" s="52"/>
      <c r="H29" s="324"/>
      <c r="I29" s="313"/>
      <c r="J29" s="323"/>
      <c r="K29" s="313"/>
      <c r="L29" s="313"/>
      <c r="M29" s="313"/>
      <c r="N29" s="313"/>
      <c r="O29" s="187"/>
    </row>
    <row r="30" spans="1:15" ht="12" customHeight="1" x14ac:dyDescent="0.2">
      <c r="B30" s="130" t="s">
        <v>18</v>
      </c>
      <c r="C30" s="131"/>
      <c r="D30" s="131"/>
      <c r="E30" s="131"/>
      <c r="F30" s="131"/>
      <c r="G30" s="53"/>
      <c r="H30" s="325"/>
      <c r="I30" s="326"/>
      <c r="J30" s="323"/>
      <c r="K30" s="326"/>
      <c r="L30" s="326"/>
      <c r="M30" s="326"/>
      <c r="N30" s="308">
        <f>SUM(N27:N29)</f>
        <v>12738.962</v>
      </c>
      <c r="O30" s="185">
        <f>N30/$N$57</f>
        <v>0.39895553074118589</v>
      </c>
    </row>
    <row r="31" spans="1:15" ht="12" customHeight="1" x14ac:dyDescent="0.2">
      <c r="B31" s="130"/>
      <c r="G31" s="52"/>
      <c r="H31" s="324"/>
      <c r="I31" s="313"/>
      <c r="J31" s="323"/>
      <c r="K31" s="313"/>
      <c r="L31" s="313"/>
      <c r="M31" s="313"/>
      <c r="N31" s="308"/>
      <c r="O31" s="185"/>
    </row>
    <row r="32" spans="1:15" ht="12" customHeight="1" x14ac:dyDescent="0.2">
      <c r="A32" s="256" t="s">
        <v>297</v>
      </c>
      <c r="B32" s="142" t="s">
        <v>298</v>
      </c>
      <c r="C32" s="142"/>
      <c r="D32" s="142"/>
      <c r="E32" s="142"/>
      <c r="F32" s="142"/>
      <c r="G32" s="97"/>
      <c r="H32" s="308"/>
      <c r="I32" s="308"/>
      <c r="J32" s="323"/>
      <c r="K32" s="308"/>
      <c r="L32" s="308"/>
      <c r="M32" s="308"/>
      <c r="N32" s="308"/>
      <c r="O32" s="185"/>
    </row>
    <row r="33" spans="1:15" ht="12" customHeight="1" x14ac:dyDescent="0.2">
      <c r="A33" s="256" t="s">
        <v>299</v>
      </c>
      <c r="B33" s="142" t="s">
        <v>300</v>
      </c>
      <c r="C33" s="142"/>
      <c r="D33" s="142"/>
      <c r="E33" s="142"/>
      <c r="F33" s="142"/>
      <c r="G33" s="97" t="s">
        <v>31</v>
      </c>
      <c r="H33" s="308">
        <v>970.2</v>
      </c>
      <c r="I33" s="323">
        <f>VLOOKUP(A33,'[1]TAB OGU JUN18'!$A:$G,6,"falso")</f>
        <v>9.8699999999999992</v>
      </c>
      <c r="J33" s="323">
        <f>VLOOKUP(A33,'[1]TAB OGU JUN18'!$A:$G,4,"falso")</f>
        <v>9.8699999999999992</v>
      </c>
      <c r="K33" s="308">
        <f>H33*J33</f>
        <v>9575.8739999999998</v>
      </c>
      <c r="L33" s="323">
        <f>VLOOKUP(A33,'[1]TAB OGU JUN18'!$A:$G,5,"falso")</f>
        <v>0</v>
      </c>
      <c r="M33" s="308"/>
      <c r="N33" s="308">
        <f>H33*I33</f>
        <v>9575.8739999999998</v>
      </c>
      <c r="O33" s="185">
        <f>N33/N35</f>
        <v>1</v>
      </c>
    </row>
    <row r="34" spans="1:15" ht="12" customHeight="1" x14ac:dyDescent="0.2">
      <c r="B34" s="130"/>
      <c r="G34" s="52"/>
      <c r="H34" s="324"/>
      <c r="I34" s="313"/>
      <c r="J34" s="323"/>
      <c r="K34" s="313"/>
      <c r="L34" s="313"/>
      <c r="M34" s="313"/>
      <c r="N34" s="308"/>
      <c r="O34" s="185"/>
    </row>
    <row r="35" spans="1:15" ht="12" customHeight="1" x14ac:dyDescent="0.2">
      <c r="B35" s="130" t="s">
        <v>18</v>
      </c>
      <c r="C35" s="131"/>
      <c r="D35" s="131"/>
      <c r="E35" s="131"/>
      <c r="F35" s="131"/>
      <c r="G35" s="53"/>
      <c r="H35" s="325"/>
      <c r="I35" s="325"/>
      <c r="J35" s="323"/>
      <c r="K35" s="325"/>
      <c r="L35" s="326"/>
      <c r="M35" s="326"/>
      <c r="N35" s="308">
        <f>N33</f>
        <v>9575.8739999999998</v>
      </c>
      <c r="O35" s="185">
        <f>N35/$N$57</f>
        <v>0.29989475547385436</v>
      </c>
    </row>
    <row r="36" spans="1:15" ht="12" customHeight="1" x14ac:dyDescent="0.2">
      <c r="B36" s="130"/>
      <c r="G36" s="52"/>
      <c r="H36" s="324"/>
      <c r="I36" s="313"/>
      <c r="J36" s="323"/>
      <c r="K36" s="313"/>
      <c r="L36" s="313"/>
      <c r="M36" s="313"/>
      <c r="N36" s="308"/>
      <c r="O36" s="185"/>
    </row>
    <row r="37" spans="1:15" ht="12" customHeight="1" x14ac:dyDescent="0.2">
      <c r="A37" s="98" t="s">
        <v>101</v>
      </c>
      <c r="B37" s="88" t="s">
        <v>21</v>
      </c>
      <c r="G37" s="97"/>
      <c r="H37" s="308"/>
      <c r="I37" s="308"/>
      <c r="J37" s="323"/>
      <c r="K37" s="308"/>
      <c r="L37" s="308"/>
      <c r="M37" s="308"/>
      <c r="N37" s="308"/>
      <c r="O37" s="185"/>
    </row>
    <row r="38" spans="1:15" ht="12" customHeight="1" x14ac:dyDescent="0.2">
      <c r="A38" s="98" t="s">
        <v>103</v>
      </c>
      <c r="B38" s="88" t="s">
        <v>105</v>
      </c>
      <c r="G38" s="97" t="s">
        <v>32</v>
      </c>
      <c r="H38" s="308">
        <v>1450.76</v>
      </c>
      <c r="I38" s="323">
        <f>VLOOKUP(A38,'[1]TAB OGU JUN18'!$A:$G,6,"falso")</f>
        <v>1.32</v>
      </c>
      <c r="J38" s="323">
        <f>VLOOKUP(A38,'[1]TAB OGU JUN18'!$A:$G,4,"falso")</f>
        <v>1.32</v>
      </c>
      <c r="K38" s="308">
        <f>H38*J38</f>
        <v>1915.0032000000001</v>
      </c>
      <c r="L38" s="323">
        <f>VLOOKUP(A38,'[1]TAB OGU JUN18'!$A:$G,5,"falso")</f>
        <v>0</v>
      </c>
      <c r="M38" s="308"/>
      <c r="N38" s="308">
        <f>H38*I38</f>
        <v>1915.0032000000001</v>
      </c>
      <c r="O38" s="185">
        <f>N38/N40</f>
        <v>1</v>
      </c>
    </row>
    <row r="39" spans="1:15" ht="12" customHeight="1" x14ac:dyDescent="0.2">
      <c r="B39" s="130"/>
      <c r="G39" s="52"/>
      <c r="H39" s="324"/>
      <c r="I39" s="313"/>
      <c r="J39" s="323"/>
      <c r="K39" s="313"/>
      <c r="L39" s="313"/>
      <c r="M39" s="313"/>
      <c r="N39" s="308"/>
      <c r="O39" s="185"/>
    </row>
    <row r="40" spans="1:15" ht="12" customHeight="1" x14ac:dyDescent="0.2">
      <c r="B40" s="130" t="s">
        <v>18</v>
      </c>
      <c r="C40" s="131"/>
      <c r="D40" s="131"/>
      <c r="E40" s="131"/>
      <c r="F40" s="131"/>
      <c r="G40" s="53"/>
      <c r="H40" s="325"/>
      <c r="I40" s="326"/>
      <c r="J40" s="323"/>
      <c r="K40" s="326"/>
      <c r="L40" s="326"/>
      <c r="M40" s="326"/>
      <c r="N40" s="308">
        <f>SUM(N38:N39)</f>
        <v>1915.0032000000001</v>
      </c>
      <c r="O40" s="185">
        <f>N40/$N$57</f>
        <v>5.9973576970169896E-2</v>
      </c>
    </row>
    <row r="41" spans="1:15" ht="12" customHeight="1" x14ac:dyDescent="0.2">
      <c r="B41" s="130"/>
      <c r="G41" s="52"/>
      <c r="H41" s="324"/>
      <c r="I41" s="313"/>
      <c r="J41" s="323"/>
      <c r="K41" s="313"/>
      <c r="L41" s="313"/>
      <c r="M41" s="313"/>
      <c r="N41" s="308"/>
      <c r="O41" s="185"/>
    </row>
    <row r="42" spans="1:15" ht="12" customHeight="1" x14ac:dyDescent="0.2">
      <c r="A42" s="256" t="s">
        <v>301</v>
      </c>
      <c r="B42" s="834" t="s">
        <v>669</v>
      </c>
      <c r="C42" s="834"/>
      <c r="D42" s="834"/>
      <c r="E42" s="834"/>
      <c r="F42" s="834"/>
      <c r="G42" s="97"/>
      <c r="H42" s="308"/>
      <c r="I42" s="308"/>
      <c r="J42" s="323"/>
      <c r="K42" s="308"/>
      <c r="L42" s="308"/>
      <c r="M42" s="308"/>
      <c r="N42" s="308"/>
      <c r="O42" s="185"/>
    </row>
    <row r="43" spans="1:15" ht="12" customHeight="1" x14ac:dyDescent="0.2">
      <c r="A43" s="256" t="s">
        <v>302</v>
      </c>
      <c r="B43" s="834" t="s">
        <v>303</v>
      </c>
      <c r="C43" s="834"/>
      <c r="D43" s="834"/>
      <c r="E43" s="834"/>
      <c r="F43" s="834"/>
      <c r="G43" s="97" t="s">
        <v>32</v>
      </c>
      <c r="H43" s="308">
        <f>H38</f>
        <v>1450.76</v>
      </c>
      <c r="I43" s="323">
        <f>VLOOKUP(A43,'[1]TAB OGU JUN18'!$A:$G,6,"falso")</f>
        <v>4.16</v>
      </c>
      <c r="J43" s="323">
        <f>VLOOKUP(A43,'[1]TAB OGU JUN18'!$A:$G,4,"falso")</f>
        <v>4.16</v>
      </c>
      <c r="K43" s="308">
        <f>H43*J43</f>
        <v>6035.1616000000004</v>
      </c>
      <c r="L43" s="323">
        <f>VLOOKUP(A43,'[1]TAB OGU JUN18'!$A:$G,5,"falso")</f>
        <v>0</v>
      </c>
      <c r="M43" s="308"/>
      <c r="N43" s="308">
        <f>H43*I43</f>
        <v>6035.1616000000004</v>
      </c>
      <c r="O43" s="185">
        <f>N43/N45</f>
        <v>1</v>
      </c>
    </row>
    <row r="44" spans="1:15" ht="12" customHeight="1" x14ac:dyDescent="0.2">
      <c r="B44" s="130"/>
      <c r="G44" s="52"/>
      <c r="H44" s="324"/>
      <c r="I44" s="313"/>
      <c r="J44" s="323"/>
      <c r="K44" s="313"/>
      <c r="L44" s="313"/>
      <c r="M44" s="313"/>
      <c r="N44" s="308"/>
      <c r="O44" s="185"/>
    </row>
    <row r="45" spans="1:15" ht="12" customHeight="1" x14ac:dyDescent="0.2">
      <c r="B45" s="130" t="s">
        <v>18</v>
      </c>
      <c r="C45" s="131"/>
      <c r="D45" s="131"/>
      <c r="E45" s="131"/>
      <c r="F45" s="131"/>
      <c r="G45" s="53"/>
      <c r="H45" s="325"/>
      <c r="I45" s="325"/>
      <c r="J45" s="323"/>
      <c r="K45" s="325"/>
      <c r="L45" s="326"/>
      <c r="M45" s="326"/>
      <c r="N45" s="308">
        <f>N43</f>
        <v>6035.1616000000004</v>
      </c>
      <c r="O45" s="185">
        <f>N45/$N$57</f>
        <v>0.18900763651205058</v>
      </c>
    </row>
    <row r="46" spans="1:15" ht="12" customHeight="1" x14ac:dyDescent="0.2">
      <c r="B46" s="130"/>
      <c r="G46" s="52"/>
      <c r="H46" s="324"/>
      <c r="I46" s="313"/>
      <c r="J46" s="323"/>
      <c r="K46" s="313"/>
      <c r="L46" s="313"/>
      <c r="M46" s="313"/>
      <c r="N46" s="308"/>
      <c r="O46" s="185"/>
    </row>
    <row r="47" spans="1:15" ht="12" customHeight="1" x14ac:dyDescent="0.2">
      <c r="A47" s="98" t="s">
        <v>110</v>
      </c>
      <c r="B47" s="88" t="s">
        <v>112</v>
      </c>
      <c r="G47" s="52"/>
      <c r="H47" s="324"/>
      <c r="I47" s="313"/>
      <c r="J47" s="323"/>
      <c r="K47" s="313"/>
      <c r="L47" s="313"/>
      <c r="M47" s="313"/>
      <c r="N47" s="313"/>
      <c r="O47" s="187"/>
    </row>
    <row r="48" spans="1:15" ht="12" customHeight="1" x14ac:dyDescent="0.2">
      <c r="A48" s="98" t="s">
        <v>111</v>
      </c>
      <c r="B48" s="88" t="s">
        <v>113</v>
      </c>
      <c r="G48" s="97" t="s">
        <v>32</v>
      </c>
      <c r="H48" s="308">
        <f>ABS(H38-H27)</f>
        <v>343.46000000000004</v>
      </c>
      <c r="I48" s="323">
        <f>VLOOKUP(A48,'[1]TAB OGU JUN18'!$A:$G,6,"falso")</f>
        <v>1.85</v>
      </c>
      <c r="J48" s="323">
        <f>VLOOKUP(A48,'[1]TAB OGU JUN18'!$A:$G,4,"falso")</f>
        <v>1.85</v>
      </c>
      <c r="K48" s="308">
        <f>H48*J48</f>
        <v>635.40100000000007</v>
      </c>
      <c r="L48" s="323">
        <f>VLOOKUP(A48,'[1]TAB OGU JUN18'!$A:$G,5,"falso")</f>
        <v>0</v>
      </c>
      <c r="M48" s="308"/>
      <c r="N48" s="308">
        <f>H48*I48</f>
        <v>635.40100000000007</v>
      </c>
      <c r="O48" s="185">
        <f>N48/N50</f>
        <v>1</v>
      </c>
    </row>
    <row r="49" spans="1:15" ht="12" customHeight="1" x14ac:dyDescent="0.2">
      <c r="G49" s="52"/>
      <c r="H49" s="324"/>
      <c r="I49" s="313"/>
      <c r="J49" s="323"/>
      <c r="K49" s="313"/>
      <c r="L49" s="313"/>
      <c r="M49" s="313"/>
      <c r="N49" s="313"/>
      <c r="O49" s="187"/>
    </row>
    <row r="50" spans="1:15" ht="12" customHeight="1" x14ac:dyDescent="0.2">
      <c r="B50" s="130" t="s">
        <v>18</v>
      </c>
      <c r="C50" s="131"/>
      <c r="D50" s="131"/>
      <c r="E50" s="131"/>
      <c r="F50" s="131"/>
      <c r="G50" s="53"/>
      <c r="H50" s="325"/>
      <c r="I50" s="326"/>
      <c r="J50" s="323"/>
      <c r="K50" s="326"/>
      <c r="L50" s="326"/>
      <c r="M50" s="326"/>
      <c r="N50" s="308">
        <f>N48</f>
        <v>635.40100000000007</v>
      </c>
      <c r="O50" s="185">
        <f>N50/N57</f>
        <v>1.9899324857745891E-2</v>
      </c>
    </row>
    <row r="51" spans="1:15" ht="12" customHeight="1" x14ac:dyDescent="0.2">
      <c r="B51" s="130"/>
      <c r="G51" s="52"/>
      <c r="H51" s="324"/>
      <c r="I51" s="313"/>
      <c r="J51" s="323"/>
      <c r="K51" s="313"/>
      <c r="L51" s="313"/>
      <c r="M51" s="313"/>
      <c r="N51" s="308"/>
      <c r="O51" s="185"/>
    </row>
    <row r="52" spans="1:15" ht="12" customHeight="1" x14ac:dyDescent="0.2">
      <c r="A52" s="98" t="s">
        <v>114</v>
      </c>
      <c r="B52" s="88" t="s">
        <v>737</v>
      </c>
      <c r="G52" s="52"/>
      <c r="H52" s="324"/>
      <c r="I52" s="313"/>
      <c r="J52" s="323"/>
      <c r="K52" s="313"/>
      <c r="L52" s="313"/>
      <c r="M52" s="313"/>
      <c r="N52" s="313"/>
      <c r="O52" s="187"/>
    </row>
    <row r="53" spans="1:15" ht="12" customHeight="1" x14ac:dyDescent="0.2">
      <c r="A53" s="98" t="s">
        <v>115</v>
      </c>
      <c r="B53" s="88" t="s">
        <v>116</v>
      </c>
      <c r="G53" s="97" t="s">
        <v>180</v>
      </c>
      <c r="H53" s="308">
        <f>H48*3</f>
        <v>1030.3800000000001</v>
      </c>
      <c r="I53" s="323">
        <f>VLOOKUP(A53,'[1]TAB OGU JUN18'!$A:$G,6,"falso")</f>
        <v>1</v>
      </c>
      <c r="J53" s="323">
        <f>VLOOKUP(A53,'[1]TAB OGU JUN18'!$A:$G,4,"falso")</f>
        <v>1</v>
      </c>
      <c r="K53" s="308">
        <f>H53*J53</f>
        <v>1030.3800000000001</v>
      </c>
      <c r="L53" s="323">
        <f>VLOOKUP(A53,'[1]TAB OGU JUN18'!$A:$G,5,"falso")</f>
        <v>0</v>
      </c>
      <c r="M53" s="308"/>
      <c r="N53" s="308">
        <f>H53*I53</f>
        <v>1030.3800000000001</v>
      </c>
      <c r="O53" s="185">
        <f>N53/N55</f>
        <v>1</v>
      </c>
    </row>
    <row r="54" spans="1:15" ht="12" customHeight="1" x14ac:dyDescent="0.2">
      <c r="G54" s="52"/>
      <c r="H54" s="324"/>
      <c r="I54" s="313"/>
      <c r="J54" s="323"/>
      <c r="K54" s="313"/>
      <c r="L54" s="313"/>
      <c r="M54" s="313"/>
      <c r="N54" s="313"/>
      <c r="O54" s="187"/>
    </row>
    <row r="55" spans="1:15" ht="12" customHeight="1" x14ac:dyDescent="0.2">
      <c r="B55" s="130" t="s">
        <v>18</v>
      </c>
      <c r="C55" s="131"/>
      <c r="D55" s="131"/>
      <c r="E55" s="131"/>
      <c r="F55" s="131"/>
      <c r="G55" s="53"/>
      <c r="H55" s="325"/>
      <c r="I55" s="326"/>
      <c r="J55" s="323"/>
      <c r="K55" s="326"/>
      <c r="L55" s="326"/>
      <c r="M55" s="326"/>
      <c r="N55" s="308">
        <f>N53</f>
        <v>1030.3800000000001</v>
      </c>
      <c r="O55" s="185">
        <f>N55/N57</f>
        <v>3.2269175444993338E-2</v>
      </c>
    </row>
    <row r="56" spans="1:15" ht="12" customHeight="1" x14ac:dyDescent="0.2">
      <c r="B56" s="130"/>
      <c r="G56" s="52"/>
      <c r="H56" s="324"/>
      <c r="I56" s="313"/>
      <c r="J56" s="323"/>
      <c r="K56" s="313"/>
      <c r="L56" s="313"/>
      <c r="M56" s="313"/>
      <c r="N56" s="308"/>
      <c r="O56" s="185"/>
    </row>
    <row r="57" spans="1:15" s="132" customFormat="1" ht="12" customHeight="1" x14ac:dyDescent="0.2">
      <c r="A57" s="157"/>
      <c r="B57" s="133" t="s">
        <v>20</v>
      </c>
      <c r="C57" s="134"/>
      <c r="D57" s="134"/>
      <c r="E57" s="134"/>
      <c r="F57" s="134"/>
      <c r="G57" s="78"/>
      <c r="H57" s="327"/>
      <c r="I57" s="328"/>
      <c r="J57" s="323"/>
      <c r="K57" s="328"/>
      <c r="L57" s="328"/>
      <c r="M57" s="328"/>
      <c r="N57" s="310">
        <f>N55+N50+N45+N30+N40+N35</f>
        <v>31930.781800000001</v>
      </c>
      <c r="O57" s="186">
        <f>N57/N160</f>
        <v>0.2580586198955323</v>
      </c>
    </row>
    <row r="58" spans="1:15" ht="12" customHeight="1" x14ac:dyDescent="0.2">
      <c r="B58" s="130"/>
      <c r="G58" s="52"/>
      <c r="H58" s="324"/>
      <c r="I58" s="313"/>
      <c r="J58" s="323"/>
      <c r="K58" s="313"/>
      <c r="L58" s="313"/>
      <c r="M58" s="313"/>
      <c r="N58" s="308"/>
      <c r="O58" s="185"/>
    </row>
    <row r="59" spans="1:15" ht="12" customHeight="1" x14ac:dyDescent="0.2">
      <c r="A59" s="129" t="s">
        <v>124</v>
      </c>
      <c r="B59" s="88" t="s">
        <v>121</v>
      </c>
      <c r="H59" s="324"/>
      <c r="I59" s="311"/>
      <c r="J59" s="323"/>
      <c r="K59" s="311"/>
      <c r="L59" s="311"/>
      <c r="M59" s="311"/>
      <c r="N59" s="313"/>
      <c r="O59" s="187"/>
    </row>
    <row r="60" spans="1:15" ht="12" customHeight="1" x14ac:dyDescent="0.2">
      <c r="A60" s="129" t="s">
        <v>125</v>
      </c>
      <c r="B60" s="88" t="s">
        <v>122</v>
      </c>
      <c r="H60" s="324"/>
      <c r="I60" s="311"/>
      <c r="J60" s="323"/>
      <c r="K60" s="311"/>
      <c r="L60" s="311"/>
      <c r="M60" s="311"/>
      <c r="N60" s="313"/>
      <c r="O60" s="187"/>
    </row>
    <row r="61" spans="1:15" ht="12" customHeight="1" x14ac:dyDescent="0.2">
      <c r="A61" s="129" t="s">
        <v>126</v>
      </c>
      <c r="B61" s="88" t="s">
        <v>189</v>
      </c>
      <c r="G61" s="97" t="s">
        <v>123</v>
      </c>
      <c r="H61" s="308">
        <f>(H27+H28)*100/20000</f>
        <v>8.9710999999999999</v>
      </c>
      <c r="I61" s="323">
        <f>VLOOKUP(A61,'[1]TAB OGU JUN18'!$A:$G,6,"falso")</f>
        <v>5.52</v>
      </c>
      <c r="J61" s="323">
        <f>VLOOKUP(A61,'[1]TAB OGU JUN18'!$A:$G,4,"falso")</f>
        <v>5.52</v>
      </c>
      <c r="K61" s="308">
        <f>H61*J61</f>
        <v>49.520471999999998</v>
      </c>
      <c r="L61" s="323">
        <f>VLOOKUP(A61,'[1]TAB OGU JUN18'!$A:$G,5,"falso")</f>
        <v>0</v>
      </c>
      <c r="M61" s="308"/>
      <c r="N61" s="308">
        <f>H61*I61</f>
        <v>49.520471999999998</v>
      </c>
      <c r="O61" s="185">
        <f>N61/N63</f>
        <v>1</v>
      </c>
    </row>
    <row r="62" spans="1:15" ht="12" customHeight="1" x14ac:dyDescent="0.2">
      <c r="B62" s="130"/>
      <c r="G62" s="52"/>
      <c r="H62" s="324"/>
      <c r="I62" s="313"/>
      <c r="J62" s="323"/>
      <c r="K62" s="313"/>
      <c r="L62" s="313"/>
      <c r="M62" s="313"/>
      <c r="N62" s="308"/>
      <c r="O62" s="185"/>
    </row>
    <row r="63" spans="1:15" ht="12" customHeight="1" x14ac:dyDescent="0.2">
      <c r="B63" s="130" t="s">
        <v>18</v>
      </c>
      <c r="C63" s="131"/>
      <c r="D63" s="131"/>
      <c r="E63" s="131"/>
      <c r="F63" s="131"/>
      <c r="G63" s="53"/>
      <c r="H63" s="325"/>
      <c r="I63" s="326"/>
      <c r="J63" s="323"/>
      <c r="K63" s="326"/>
      <c r="L63" s="326"/>
      <c r="M63" s="326"/>
      <c r="N63" s="308">
        <f>N61</f>
        <v>49.520471999999998</v>
      </c>
      <c r="O63" s="185">
        <f>N63/N65</f>
        <v>1</v>
      </c>
    </row>
    <row r="64" spans="1:15" ht="12" customHeight="1" x14ac:dyDescent="0.2">
      <c r="B64" s="130"/>
      <c r="G64" s="52"/>
      <c r="H64" s="324"/>
      <c r="I64" s="313"/>
      <c r="J64" s="323"/>
      <c r="K64" s="313"/>
      <c r="L64" s="313"/>
      <c r="M64" s="313"/>
      <c r="N64" s="308"/>
      <c r="O64" s="185"/>
    </row>
    <row r="65" spans="1:15" s="132" customFormat="1" ht="12" customHeight="1" x14ac:dyDescent="0.2">
      <c r="A65" s="157"/>
      <c r="B65" s="133" t="s">
        <v>20</v>
      </c>
      <c r="C65" s="134"/>
      <c r="D65" s="134"/>
      <c r="E65" s="134"/>
      <c r="F65" s="134"/>
      <c r="G65" s="78"/>
      <c r="H65" s="327"/>
      <c r="I65" s="328"/>
      <c r="J65" s="323"/>
      <c r="K65" s="328"/>
      <c r="L65" s="328"/>
      <c r="M65" s="328"/>
      <c r="N65" s="310">
        <f>N63</f>
        <v>49.520471999999998</v>
      </c>
      <c r="O65" s="186">
        <f>N65/N160</f>
        <v>4.0021521367495451E-4</v>
      </c>
    </row>
    <row r="66" spans="1:15" ht="12" customHeight="1" x14ac:dyDescent="0.2">
      <c r="A66" s="291"/>
      <c r="B66" s="138"/>
      <c r="C66" s="138"/>
      <c r="D66" s="138"/>
      <c r="E66" s="138"/>
      <c r="F66" s="138"/>
      <c r="G66" s="137"/>
      <c r="H66" s="641"/>
      <c r="I66" s="330"/>
      <c r="J66" s="323"/>
      <c r="K66" s="311"/>
      <c r="L66" s="311"/>
      <c r="M66" s="311"/>
      <c r="N66" s="189"/>
      <c r="O66" s="297"/>
    </row>
    <row r="67" spans="1:15" ht="12" customHeight="1" x14ac:dyDescent="0.2">
      <c r="A67" s="256" t="s">
        <v>308</v>
      </c>
      <c r="B67" s="834" t="s">
        <v>309</v>
      </c>
      <c r="C67" s="834"/>
      <c r="D67" s="834"/>
      <c r="E67" s="834"/>
      <c r="F67" s="834"/>
      <c r="G67" s="137"/>
      <c r="H67" s="652"/>
      <c r="I67" s="367"/>
      <c r="J67" s="323"/>
      <c r="K67" s="367"/>
      <c r="L67" s="311"/>
      <c r="M67" s="311"/>
      <c r="N67" s="313"/>
      <c r="O67" s="219"/>
    </row>
    <row r="68" spans="1:15" ht="11.25" customHeight="1" x14ac:dyDescent="0.2">
      <c r="A68" s="256" t="s">
        <v>310</v>
      </c>
      <c r="B68" s="834" t="s">
        <v>311</v>
      </c>
      <c r="C68" s="834"/>
      <c r="D68" s="834"/>
      <c r="E68" s="834"/>
      <c r="F68" s="834"/>
      <c r="G68" s="137"/>
      <c r="H68" s="652"/>
      <c r="I68" s="333"/>
      <c r="J68" s="323"/>
      <c r="K68" s="313"/>
      <c r="L68" s="313"/>
      <c r="M68" s="313"/>
      <c r="N68" s="333"/>
      <c r="O68" s="299"/>
    </row>
    <row r="69" spans="1:15" ht="12.75" x14ac:dyDescent="0.2">
      <c r="A69" s="140" t="s">
        <v>312</v>
      </c>
      <c r="B69" s="200" t="s">
        <v>313</v>
      </c>
      <c r="C69" s="200"/>
      <c r="D69" s="200"/>
      <c r="E69" s="200"/>
      <c r="F69" s="200"/>
      <c r="G69" s="163" t="s">
        <v>17</v>
      </c>
      <c r="H69" s="293">
        <f>0.8*H74</f>
        <v>3.2</v>
      </c>
      <c r="I69" s="323">
        <f>VLOOKUP(A69,'[1]TAB OGU JUN18'!$A:$G,6,"falso")</f>
        <v>51.95</v>
      </c>
      <c r="J69" s="323">
        <f>VLOOKUP(A69,'[1]TAB OGU JUN18'!$A:$G,4,"falso")</f>
        <v>51.95</v>
      </c>
      <c r="K69" s="308">
        <f>H69*J69</f>
        <v>166.24</v>
      </c>
      <c r="L69" s="323">
        <f>VLOOKUP(A69,'[1]TAB OGU JUN18'!$A:$G,5,"falso")</f>
        <v>0</v>
      </c>
      <c r="M69" s="374"/>
      <c r="N69" s="308">
        <f>H69*I69</f>
        <v>166.24</v>
      </c>
      <c r="O69" s="424">
        <f>N69/N71</f>
        <v>1</v>
      </c>
    </row>
    <row r="70" spans="1:15" ht="11.25" customHeight="1" x14ac:dyDescent="0.2">
      <c r="A70" s="256"/>
      <c r="B70" s="138"/>
      <c r="C70" s="138"/>
      <c r="D70" s="138"/>
      <c r="E70" s="138"/>
      <c r="F70" s="138"/>
      <c r="G70" s="139"/>
      <c r="H70" s="293"/>
      <c r="I70" s="189"/>
      <c r="J70" s="323"/>
      <c r="K70" s="308"/>
      <c r="L70" s="308"/>
      <c r="M70" s="308"/>
      <c r="N70" s="189"/>
      <c r="O70" s="300"/>
    </row>
    <row r="71" spans="1:15" ht="11.25" customHeight="1" x14ac:dyDescent="0.2">
      <c r="A71" s="291"/>
      <c r="B71" s="155" t="s">
        <v>18</v>
      </c>
      <c r="C71" s="160"/>
      <c r="D71" s="160"/>
      <c r="E71" s="160"/>
      <c r="F71" s="144"/>
      <c r="G71" s="161"/>
      <c r="H71" s="656"/>
      <c r="I71" s="334"/>
      <c r="J71" s="323"/>
      <c r="K71" s="334"/>
      <c r="L71" s="334"/>
      <c r="M71" s="334"/>
      <c r="N71" s="315">
        <f>SUM(N69:N70)</f>
        <v>166.24</v>
      </c>
      <c r="O71" s="301">
        <f>N71/N99</f>
        <v>2.9970339885126256E-3</v>
      </c>
    </row>
    <row r="72" spans="1:15" ht="11.25" customHeight="1" x14ac:dyDescent="0.2">
      <c r="A72" s="291"/>
      <c r="B72" s="138"/>
      <c r="C72" s="138"/>
      <c r="D72" s="138"/>
      <c r="E72" s="138"/>
      <c r="F72" s="138"/>
      <c r="G72" s="137"/>
      <c r="H72" s="652"/>
      <c r="I72" s="333"/>
      <c r="J72" s="323"/>
      <c r="K72" s="313"/>
      <c r="L72" s="313"/>
      <c r="M72" s="313"/>
      <c r="N72" s="189"/>
      <c r="O72" s="300"/>
    </row>
    <row r="73" spans="1:15" ht="11.25" customHeight="1" x14ac:dyDescent="0.2">
      <c r="A73" s="256" t="s">
        <v>626</v>
      </c>
      <c r="B73" s="142" t="s">
        <v>627</v>
      </c>
      <c r="C73" s="142"/>
      <c r="D73" s="142"/>
      <c r="E73" s="142"/>
      <c r="F73" s="142"/>
      <c r="G73" s="137"/>
      <c r="H73" s="652"/>
      <c r="I73" s="333"/>
      <c r="J73" s="323"/>
      <c r="K73" s="313"/>
      <c r="L73" s="313"/>
      <c r="M73" s="313"/>
      <c r="N73" s="333"/>
      <c r="O73" s="299"/>
    </row>
    <row r="74" spans="1:15" ht="11.25" customHeight="1" x14ac:dyDescent="0.2">
      <c r="A74" s="256" t="s">
        <v>628</v>
      </c>
      <c r="B74" s="200" t="s">
        <v>629</v>
      </c>
      <c r="C74" s="142"/>
      <c r="D74" s="142"/>
      <c r="E74" s="142"/>
      <c r="F74" s="142"/>
      <c r="G74" s="139" t="s">
        <v>24</v>
      </c>
      <c r="H74" s="293">
        <v>4</v>
      </c>
      <c r="I74" s="323">
        <f>VLOOKUP(A74,'[1]TAB OGU JUN18'!$A:$G,6,"falso")</f>
        <v>59.33</v>
      </c>
      <c r="J74" s="323">
        <f>VLOOKUP(A74,'[1]TAB OGU JUN18'!$A:$G,4,"falso")</f>
        <v>59.33</v>
      </c>
      <c r="K74" s="308">
        <f>H74*J74</f>
        <v>237.32</v>
      </c>
      <c r="L74" s="323">
        <f>VLOOKUP(A74,'[1]TAB OGU JUN18'!$A:$G,5,"falso")</f>
        <v>0</v>
      </c>
      <c r="M74" s="308"/>
      <c r="N74" s="315">
        <f>H74*I74</f>
        <v>237.32</v>
      </c>
      <c r="O74" s="192">
        <f>N74/N76</f>
        <v>1</v>
      </c>
    </row>
    <row r="75" spans="1:15" ht="11.25" customHeight="1" x14ac:dyDescent="0.2">
      <c r="A75" s="256"/>
      <c r="B75" s="138"/>
      <c r="C75" s="138"/>
      <c r="D75" s="138"/>
      <c r="E75" s="138"/>
      <c r="F75" s="138"/>
      <c r="G75" s="139"/>
      <c r="H75" s="293"/>
      <c r="I75" s="189"/>
      <c r="J75" s="323"/>
      <c r="K75" s="308"/>
      <c r="L75" s="308"/>
      <c r="M75" s="308"/>
      <c r="N75" s="189"/>
      <c r="O75" s="300"/>
    </row>
    <row r="76" spans="1:15" ht="11.25" customHeight="1" x14ac:dyDescent="0.2">
      <c r="A76" s="291"/>
      <c r="B76" s="155" t="s">
        <v>18</v>
      </c>
      <c r="C76" s="160"/>
      <c r="D76" s="160"/>
      <c r="E76" s="160"/>
      <c r="F76" s="144"/>
      <c r="G76" s="161"/>
      <c r="H76" s="656"/>
      <c r="I76" s="334"/>
      <c r="J76" s="323"/>
      <c r="K76" s="334"/>
      <c r="L76" s="334"/>
      <c r="M76" s="334"/>
      <c r="N76" s="315">
        <f>SUM(N74:N75)</f>
        <v>237.32</v>
      </c>
      <c r="O76" s="301">
        <f>N76/N99</f>
        <v>4.2784895702226676E-3</v>
      </c>
    </row>
    <row r="77" spans="1:15" ht="11.25" customHeight="1" x14ac:dyDescent="0.2">
      <c r="A77" s="291"/>
      <c r="B77" s="138"/>
      <c r="C77" s="138"/>
      <c r="D77" s="138"/>
      <c r="E77" s="138"/>
      <c r="F77" s="138"/>
      <c r="G77" s="137"/>
      <c r="H77" s="652"/>
      <c r="I77" s="333"/>
      <c r="J77" s="323"/>
      <c r="K77" s="313"/>
      <c r="L77" s="313"/>
      <c r="M77" s="313"/>
      <c r="N77" s="189"/>
      <c r="O77" s="300"/>
    </row>
    <row r="78" spans="1:15" ht="12" customHeight="1" x14ac:dyDescent="0.2">
      <c r="A78" s="256" t="s">
        <v>679</v>
      </c>
      <c r="B78" s="142" t="s">
        <v>681</v>
      </c>
      <c r="C78" s="142"/>
      <c r="D78" s="142"/>
      <c r="E78" s="142"/>
      <c r="F78" s="142"/>
      <c r="G78" s="137"/>
      <c r="H78" s="652"/>
      <c r="I78" s="333"/>
      <c r="J78" s="323"/>
      <c r="K78" s="313"/>
      <c r="L78" s="313"/>
      <c r="M78" s="313"/>
      <c r="N78" s="333"/>
      <c r="O78" s="299"/>
    </row>
    <row r="79" spans="1:15" ht="12" customHeight="1" x14ac:dyDescent="0.2">
      <c r="A79" s="256" t="s">
        <v>680</v>
      </c>
      <c r="B79" s="142" t="s">
        <v>682</v>
      </c>
      <c r="C79" s="142"/>
      <c r="D79" s="142"/>
      <c r="E79" s="142"/>
      <c r="F79" s="142"/>
      <c r="G79" s="139" t="s">
        <v>31</v>
      </c>
      <c r="H79" s="293">
        <f>1.75*13.14</f>
        <v>22.995000000000001</v>
      </c>
      <c r="I79" s="323">
        <f>VLOOKUP(A79,'[1]TAB OGU JUN18'!$A:$G,6,"falso")</f>
        <v>50.16</v>
      </c>
      <c r="J79" s="323">
        <f>VLOOKUP(A79,'[1]TAB OGU JUN18'!$A:$G,4,"falso")</f>
        <v>41.18</v>
      </c>
      <c r="K79" s="308">
        <f>H79*J79</f>
        <v>946.93410000000006</v>
      </c>
      <c r="L79" s="323">
        <f>VLOOKUP(A79,'[1]TAB OGU JUN18'!$A:$G,5,"falso")</f>
        <v>8.98</v>
      </c>
      <c r="M79" s="308">
        <f>H79*L79</f>
        <v>206.49510000000001</v>
      </c>
      <c r="N79" s="308">
        <f>H79*I79</f>
        <v>1153.4292</v>
      </c>
      <c r="O79" s="192">
        <f>N79/N81</f>
        <v>1</v>
      </c>
    </row>
    <row r="80" spans="1:15" ht="12" customHeight="1" x14ac:dyDescent="0.2">
      <c r="A80" s="256"/>
      <c r="B80" s="138"/>
      <c r="C80" s="138"/>
      <c r="D80" s="138"/>
      <c r="E80" s="138"/>
      <c r="F80" s="138"/>
      <c r="G80" s="139"/>
      <c r="H80" s="293"/>
      <c r="I80" s="189"/>
      <c r="J80" s="323"/>
      <c r="K80" s="308"/>
      <c r="L80" s="308"/>
      <c r="M80" s="308"/>
      <c r="N80" s="189"/>
      <c r="O80" s="300"/>
    </row>
    <row r="81" spans="1:15" ht="12" customHeight="1" x14ac:dyDescent="0.2">
      <c r="A81" s="291"/>
      <c r="B81" s="155" t="s">
        <v>18</v>
      </c>
      <c r="C81" s="160"/>
      <c r="D81" s="160"/>
      <c r="E81" s="160"/>
      <c r="F81" s="144"/>
      <c r="G81" s="161"/>
      <c r="H81" s="656"/>
      <c r="I81" s="334"/>
      <c r="J81" s="323"/>
      <c r="K81" s="334"/>
      <c r="L81" s="334"/>
      <c r="M81" s="334"/>
      <c r="N81" s="315">
        <f>SUM(N79:N80)</f>
        <v>1153.4292</v>
      </c>
      <c r="O81" s="301">
        <f>N81/N99</f>
        <v>2.079443284253445E-2</v>
      </c>
    </row>
    <row r="82" spans="1:15" ht="12" customHeight="1" x14ac:dyDescent="0.2">
      <c r="A82" s="291"/>
      <c r="B82" s="138"/>
      <c r="C82" s="138"/>
      <c r="D82" s="138"/>
      <c r="E82" s="138"/>
      <c r="F82" s="138"/>
      <c r="G82" s="137"/>
      <c r="H82" s="652"/>
      <c r="I82" s="333"/>
      <c r="J82" s="323"/>
      <c r="K82" s="313"/>
      <c r="L82" s="313"/>
      <c r="M82" s="313"/>
      <c r="N82" s="189"/>
      <c r="O82" s="300"/>
    </row>
    <row r="83" spans="1:15" ht="11.25" customHeight="1" x14ac:dyDescent="0.2">
      <c r="A83" s="256" t="s">
        <v>314</v>
      </c>
      <c r="B83" s="142" t="s">
        <v>315</v>
      </c>
      <c r="C83" s="142"/>
      <c r="D83" s="142"/>
      <c r="E83" s="142"/>
      <c r="F83" s="142"/>
      <c r="G83" s="137"/>
      <c r="H83" s="652"/>
      <c r="I83" s="333"/>
      <c r="J83" s="323"/>
      <c r="K83" s="313"/>
      <c r="L83" s="313"/>
      <c r="M83" s="313"/>
      <c r="N83" s="333"/>
      <c r="O83" s="299"/>
    </row>
    <row r="84" spans="1:15" ht="11.25" customHeight="1" x14ac:dyDescent="0.2">
      <c r="A84" s="256" t="s">
        <v>685</v>
      </c>
      <c r="B84" s="200" t="s">
        <v>640</v>
      </c>
      <c r="C84" s="142"/>
      <c r="D84" s="142"/>
      <c r="E84" s="142"/>
      <c r="F84" s="142"/>
      <c r="G84" s="139" t="s">
        <v>31</v>
      </c>
      <c r="H84" s="293">
        <f>1.75*92.5</f>
        <v>161.875</v>
      </c>
      <c r="I84" s="323">
        <f>VLOOKUP(A84,'[1]TAB OGU JUN18'!$A:$G,6,"falso")</f>
        <v>67.22</v>
      </c>
      <c r="J84" s="323">
        <f>VLOOKUP(A84,'[1]TAB OGU JUN18'!$A:$G,4,"falso")</f>
        <v>41.18</v>
      </c>
      <c r="K84" s="308">
        <f>H84*J84</f>
        <v>6666.0124999999998</v>
      </c>
      <c r="L84" s="323">
        <f>VLOOKUP(A84,'[1]TAB OGU JUN18'!$A:$G,5,"falso")</f>
        <v>26.04</v>
      </c>
      <c r="M84" s="374">
        <f>H84*L84</f>
        <v>4215.2249999999995</v>
      </c>
      <c r="N84" s="315">
        <f>H84*I84</f>
        <v>10881.237499999999</v>
      </c>
      <c r="O84" s="192">
        <f>N84/N86</f>
        <v>1</v>
      </c>
    </row>
    <row r="85" spans="1:15" ht="11.25" customHeight="1" x14ac:dyDescent="0.2">
      <c r="A85" s="256"/>
      <c r="B85" s="138"/>
      <c r="C85" s="138"/>
      <c r="D85" s="138"/>
      <c r="E85" s="138"/>
      <c r="F85" s="138"/>
      <c r="G85" s="139"/>
      <c r="H85" s="293"/>
      <c r="I85" s="189"/>
      <c r="J85" s="323"/>
      <c r="K85" s="308"/>
      <c r="L85" s="308"/>
      <c r="M85" s="308"/>
      <c r="N85" s="189"/>
      <c r="O85" s="300"/>
    </row>
    <row r="86" spans="1:15" ht="11.25" customHeight="1" x14ac:dyDescent="0.2">
      <c r="A86" s="291"/>
      <c r="B86" s="155" t="s">
        <v>18</v>
      </c>
      <c r="C86" s="160"/>
      <c r="D86" s="160"/>
      <c r="E86" s="160"/>
      <c r="F86" s="144"/>
      <c r="G86" s="161"/>
      <c r="H86" s="656"/>
      <c r="I86" s="334"/>
      <c r="J86" s="323"/>
      <c r="K86" s="334"/>
      <c r="L86" s="334"/>
      <c r="M86" s="334"/>
      <c r="N86" s="315">
        <f>SUM(N84:N85)</f>
        <v>10881.237499999999</v>
      </c>
      <c r="O86" s="301">
        <f>N86/N99</f>
        <v>0.19617082906988781</v>
      </c>
    </row>
    <row r="87" spans="1:15" ht="11.25" customHeight="1" x14ac:dyDescent="0.2">
      <c r="A87" s="291"/>
      <c r="B87" s="138"/>
      <c r="C87" s="138"/>
      <c r="D87" s="138"/>
      <c r="E87" s="138"/>
      <c r="F87" s="138"/>
      <c r="G87" s="137"/>
      <c r="H87" s="652"/>
      <c r="I87" s="333"/>
      <c r="J87" s="323"/>
      <c r="K87" s="313"/>
      <c r="L87" s="313"/>
      <c r="M87" s="313"/>
      <c r="N87" s="189"/>
      <c r="O87" s="300"/>
    </row>
    <row r="88" spans="1:15" ht="12" customHeight="1" x14ac:dyDescent="0.2">
      <c r="A88" s="256" t="s">
        <v>321</v>
      </c>
      <c r="B88" s="834" t="s">
        <v>322</v>
      </c>
      <c r="C88" s="834"/>
      <c r="D88" s="834"/>
      <c r="E88" s="834"/>
      <c r="F88" s="834"/>
      <c r="G88" s="137"/>
      <c r="H88" s="652"/>
      <c r="I88" s="333"/>
      <c r="J88" s="323"/>
      <c r="K88" s="313"/>
      <c r="L88" s="313"/>
      <c r="M88" s="313"/>
      <c r="N88" s="333"/>
      <c r="O88" s="299"/>
    </row>
    <row r="89" spans="1:15" ht="12" customHeight="1" x14ac:dyDescent="0.2">
      <c r="A89" s="256" t="s">
        <v>323</v>
      </c>
      <c r="B89" s="834" t="s">
        <v>324</v>
      </c>
      <c r="C89" s="834"/>
      <c r="D89" s="834"/>
      <c r="E89" s="834"/>
      <c r="F89" s="834"/>
      <c r="G89" s="139" t="s">
        <v>325</v>
      </c>
      <c r="H89" s="293">
        <f>(H95*80)*0.98</f>
        <v>3558.2193820839366</v>
      </c>
      <c r="I89" s="323">
        <f>VLOOKUP(A89,'[1]TAB OGU JUN18'!$A:$G,6,"falso")</f>
        <v>5.01</v>
      </c>
      <c r="J89" s="323">
        <f>VLOOKUP(A89,'[1]TAB OGU JUN18'!$A:$G,4,"falso")</f>
        <v>2.4500000000000002</v>
      </c>
      <c r="K89" s="308">
        <f>H89*J89</f>
        <v>8717.6374861056447</v>
      </c>
      <c r="L89" s="323">
        <f>VLOOKUP(A89,'[1]TAB OGU JUN18'!$A:$G,5,"falso")</f>
        <v>2.56</v>
      </c>
      <c r="M89" s="308">
        <f>H89*L89</f>
        <v>9109.0416181348774</v>
      </c>
      <c r="N89" s="308">
        <f>H89*I89</f>
        <v>17826.67910424052</v>
      </c>
      <c r="O89" s="192">
        <f>N89/N92</f>
        <v>0.96840236686390524</v>
      </c>
    </row>
    <row r="90" spans="1:15" ht="12" customHeight="1" x14ac:dyDescent="0.2">
      <c r="A90" s="256" t="s">
        <v>326</v>
      </c>
      <c r="B90" s="834" t="s">
        <v>327</v>
      </c>
      <c r="C90" s="834"/>
      <c r="D90" s="834"/>
      <c r="E90" s="834"/>
      <c r="F90" s="834"/>
      <c r="G90" s="139" t="s">
        <v>325</v>
      </c>
      <c r="H90" s="293">
        <f>(H95*80)*0.02</f>
        <v>72.61672208334565</v>
      </c>
      <c r="I90" s="323">
        <f>VLOOKUP(A90,'[1]TAB OGU JUN18'!$A:$G,6,"falso")</f>
        <v>8.01</v>
      </c>
      <c r="J90" s="323">
        <f>VLOOKUP(A90,'[1]TAB OGU JUN18'!$A:$G,4,"falso")</f>
        <v>3.68</v>
      </c>
      <c r="K90" s="308">
        <f>H90*J90</f>
        <v>267.22953726671199</v>
      </c>
      <c r="L90" s="323">
        <f>VLOOKUP(A90,'[1]TAB OGU JUN18'!$A:$G,5,"falso")</f>
        <v>4.33</v>
      </c>
      <c r="M90" s="308">
        <f>H90*L90</f>
        <v>314.43040662088669</v>
      </c>
      <c r="N90" s="308">
        <f>H90*I90</f>
        <v>581.65994388759862</v>
      </c>
      <c r="O90" s="192">
        <f>N90/N92</f>
        <v>3.1597633136094677E-2</v>
      </c>
    </row>
    <row r="91" spans="1:15" ht="12" customHeight="1" x14ac:dyDescent="0.2">
      <c r="A91" s="256"/>
      <c r="B91" s="138"/>
      <c r="C91" s="138"/>
      <c r="D91" s="138"/>
      <c r="E91" s="138"/>
      <c r="F91" s="138"/>
      <c r="G91" s="139"/>
      <c r="H91" s="293"/>
      <c r="I91" s="189"/>
      <c r="J91" s="323"/>
      <c r="K91" s="308"/>
      <c r="L91" s="308"/>
      <c r="M91" s="308"/>
      <c r="N91" s="189"/>
      <c r="O91" s="300"/>
    </row>
    <row r="92" spans="1:15" ht="12" customHeight="1" x14ac:dyDescent="0.2">
      <c r="A92" s="291"/>
      <c r="B92" s="155" t="s">
        <v>18</v>
      </c>
      <c r="C92" s="160"/>
      <c r="D92" s="160"/>
      <c r="E92" s="160"/>
      <c r="F92" s="144"/>
      <c r="G92" s="161"/>
      <c r="H92" s="656"/>
      <c r="I92" s="334"/>
      <c r="J92" s="323"/>
      <c r="K92" s="334"/>
      <c r="L92" s="334"/>
      <c r="M92" s="334"/>
      <c r="N92" s="315">
        <f>SUM(N89:N91)</f>
        <v>18408.33904812812</v>
      </c>
      <c r="O92" s="301">
        <f>N92/N99</f>
        <v>0.3318720993702125</v>
      </c>
    </row>
    <row r="93" spans="1:15" ht="12" customHeight="1" x14ac:dyDescent="0.2">
      <c r="A93" s="291"/>
      <c r="B93" s="138"/>
      <c r="C93" s="138"/>
      <c r="D93" s="138"/>
      <c r="E93" s="138"/>
      <c r="F93" s="138"/>
      <c r="G93" s="162"/>
      <c r="H93" s="641"/>
      <c r="I93" s="333"/>
      <c r="J93" s="323"/>
      <c r="K93" s="313"/>
      <c r="L93" s="313"/>
      <c r="M93" s="313"/>
      <c r="N93" s="189"/>
      <c r="O93" s="300"/>
    </row>
    <row r="94" spans="1:15" ht="12" customHeight="1" x14ac:dyDescent="0.2">
      <c r="A94" s="256" t="s">
        <v>328</v>
      </c>
      <c r="B94" s="834" t="s">
        <v>329</v>
      </c>
      <c r="C94" s="834"/>
      <c r="D94" s="834"/>
      <c r="E94" s="834"/>
      <c r="F94" s="834"/>
      <c r="G94" s="162"/>
      <c r="H94" s="641"/>
      <c r="I94" s="333"/>
      <c r="J94" s="323"/>
      <c r="K94" s="313"/>
      <c r="L94" s="313"/>
      <c r="M94" s="313"/>
      <c r="N94" s="333"/>
      <c r="O94" s="299"/>
    </row>
    <row r="95" spans="1:15" ht="12" customHeight="1" x14ac:dyDescent="0.2">
      <c r="A95" s="256" t="s">
        <v>677</v>
      </c>
      <c r="B95" s="834" t="s">
        <v>1435</v>
      </c>
      <c r="C95" s="834"/>
      <c r="D95" s="834"/>
      <c r="E95" s="834"/>
      <c r="F95" s="834"/>
      <c r="G95" s="139" t="s">
        <v>32</v>
      </c>
      <c r="H95" s="189">
        <f>(23.73+(H69*(PI()*0.25^2)/4))*1.9</f>
        <v>45.385451302091028</v>
      </c>
      <c r="I95" s="323">
        <f>VLOOKUP(A95,'[1]TAB OGU JUN18'!$A:$G,6,"falso")</f>
        <v>542.5</v>
      </c>
      <c r="J95" s="323">
        <f>VLOOKUP(A95,'[1]TAB OGU JUN18'!$A:$G,4,"falso")</f>
        <v>284.58999999999997</v>
      </c>
      <c r="K95" s="308">
        <f>H95*J95</f>
        <v>12916.245586062085</v>
      </c>
      <c r="L95" s="323">
        <f>VLOOKUP(A95,'[1]TAB OGU JUN18'!$A:$G,5,"falso")</f>
        <v>257.91000000000003</v>
      </c>
      <c r="M95" s="308">
        <f>H95*L95</f>
        <v>11705.361745322298</v>
      </c>
      <c r="N95" s="308">
        <f>H95*I95</f>
        <v>24621.607331384381</v>
      </c>
      <c r="O95" s="192">
        <f>N95/N97</f>
        <v>1</v>
      </c>
    </row>
    <row r="96" spans="1:15" ht="12" customHeight="1" x14ac:dyDescent="0.2">
      <c r="A96" s="292"/>
      <c r="B96" s="254"/>
      <c r="C96" s="254"/>
      <c r="D96" s="254"/>
      <c r="E96" s="254"/>
      <c r="F96" s="254"/>
      <c r="G96" s="163"/>
      <c r="H96" s="293"/>
      <c r="I96" s="293"/>
      <c r="J96" s="323"/>
      <c r="K96" s="308"/>
      <c r="L96" s="308"/>
      <c r="M96" s="308"/>
      <c r="N96" s="293"/>
      <c r="O96" s="320"/>
    </row>
    <row r="97" spans="1:15" ht="12" customHeight="1" x14ac:dyDescent="0.2">
      <c r="A97" s="291"/>
      <c r="B97" s="155" t="s">
        <v>18</v>
      </c>
      <c r="C97" s="160"/>
      <c r="D97" s="160"/>
      <c r="E97" s="160"/>
      <c r="F97" s="144"/>
      <c r="G97" s="161"/>
      <c r="H97" s="656"/>
      <c r="I97" s="334"/>
      <c r="J97" s="323"/>
      <c r="K97" s="334"/>
      <c r="L97" s="334"/>
      <c r="M97" s="334"/>
      <c r="N97" s="315">
        <f>SUM(N95:N96)</f>
        <v>24621.607331384381</v>
      </c>
      <c r="O97" s="301">
        <f>N97/N99</f>
        <v>0.44388711515862989</v>
      </c>
    </row>
    <row r="98" spans="1:15" ht="12" customHeight="1" x14ac:dyDescent="0.2">
      <c r="A98" s="291"/>
      <c r="B98" s="834"/>
      <c r="C98" s="834"/>
      <c r="D98" s="834"/>
      <c r="E98" s="834"/>
      <c r="F98" s="834"/>
      <c r="G98" s="137"/>
      <c r="H98" s="641"/>
      <c r="I98" s="333"/>
      <c r="J98" s="323"/>
      <c r="K98" s="313"/>
      <c r="L98" s="313"/>
      <c r="M98" s="313"/>
      <c r="N98" s="189"/>
      <c r="O98" s="300"/>
    </row>
    <row r="99" spans="1:15" ht="12" customHeight="1" x14ac:dyDescent="0.2">
      <c r="A99" s="294"/>
      <c r="B99" s="165" t="s">
        <v>20</v>
      </c>
      <c r="C99" s="166"/>
      <c r="D99" s="166"/>
      <c r="E99" s="166"/>
      <c r="F99" s="167"/>
      <c r="G99" s="168"/>
      <c r="H99" s="659"/>
      <c r="I99" s="368"/>
      <c r="J99" s="323"/>
      <c r="K99" s="368"/>
      <c r="L99" s="368"/>
      <c r="M99" s="368"/>
      <c r="N99" s="369">
        <f>N71+N76+N81+N86+N92+N97</f>
        <v>55468.173079512504</v>
      </c>
      <c r="O99" s="321">
        <f>N99/N160</f>
        <v>0.44828342389742282</v>
      </c>
    </row>
    <row r="100" spans="1:15" ht="12" customHeight="1" x14ac:dyDescent="0.2">
      <c r="A100" s="291"/>
      <c r="B100" s="138"/>
      <c r="C100" s="138"/>
      <c r="D100" s="138"/>
      <c r="E100" s="138"/>
      <c r="F100" s="138"/>
      <c r="G100" s="137"/>
      <c r="H100" s="641"/>
      <c r="I100" s="333"/>
      <c r="J100" s="323"/>
      <c r="K100" s="313"/>
      <c r="L100" s="313"/>
      <c r="M100" s="313"/>
      <c r="N100" s="189"/>
      <c r="O100" s="300"/>
    </row>
    <row r="101" spans="1:15" ht="12" customHeight="1" x14ac:dyDescent="0.2">
      <c r="A101" s="256" t="s">
        <v>127</v>
      </c>
      <c r="B101" s="834" t="s">
        <v>130</v>
      </c>
      <c r="C101" s="834"/>
      <c r="D101" s="834"/>
      <c r="E101" s="834"/>
      <c r="F101" s="834"/>
      <c r="G101" s="137"/>
      <c r="H101" s="641"/>
      <c r="I101" s="330"/>
      <c r="J101" s="323"/>
      <c r="K101" s="331"/>
      <c r="L101" s="311"/>
      <c r="M101" s="311"/>
      <c r="N101" s="313"/>
      <c r="O101" s="219"/>
    </row>
    <row r="102" spans="1:15" ht="12" customHeight="1" x14ac:dyDescent="0.2">
      <c r="A102" s="256" t="s">
        <v>128</v>
      </c>
      <c r="B102" s="834" t="s">
        <v>943</v>
      </c>
      <c r="C102" s="834"/>
      <c r="D102" s="834"/>
      <c r="E102" s="834"/>
      <c r="F102" s="834"/>
      <c r="G102" s="137"/>
      <c r="H102" s="641"/>
      <c r="I102" s="330"/>
      <c r="J102" s="323"/>
      <c r="K102" s="331"/>
      <c r="L102" s="311"/>
      <c r="M102" s="311"/>
      <c r="N102" s="313"/>
      <c r="O102" s="219"/>
    </row>
    <row r="103" spans="1:15" ht="12" customHeight="1" x14ac:dyDescent="0.2">
      <c r="A103" s="256" t="s">
        <v>207</v>
      </c>
      <c r="B103" s="834" t="s">
        <v>944</v>
      </c>
      <c r="C103" s="834"/>
      <c r="D103" s="834"/>
      <c r="E103" s="834"/>
      <c r="F103" s="834"/>
      <c r="G103" s="97" t="s">
        <v>17</v>
      </c>
      <c r="H103" s="189">
        <v>96.65</v>
      </c>
      <c r="I103" s="323">
        <f>VLOOKUP(A103,'[1]TAB OGU JUN18'!$A:$G,6,"falso")</f>
        <v>3.14</v>
      </c>
      <c r="J103" s="323">
        <f>VLOOKUP(A103,'[1]TAB OGU JUN18'!$A:$G,4,"falso")</f>
        <v>3.01</v>
      </c>
      <c r="K103" s="308">
        <f>H103*J103</f>
        <v>290.91649999999998</v>
      </c>
      <c r="L103" s="323">
        <f>VLOOKUP(A103,'[1]TAB OGU JUN18'!$A:$G,5,"falso")</f>
        <v>0.13</v>
      </c>
      <c r="M103" s="308">
        <f>H103*L103</f>
        <v>12.564500000000001</v>
      </c>
      <c r="N103" s="308">
        <f>H103*I103</f>
        <v>303.48100000000005</v>
      </c>
      <c r="O103" s="297">
        <f>N103/N105</f>
        <v>1</v>
      </c>
    </row>
    <row r="104" spans="1:15" ht="12" customHeight="1" x14ac:dyDescent="0.2">
      <c r="A104" s="256"/>
      <c r="B104" s="138"/>
      <c r="C104" s="138"/>
      <c r="D104" s="138"/>
      <c r="E104" s="138"/>
      <c r="F104" s="138"/>
      <c r="G104" s="139"/>
      <c r="H104" s="189"/>
      <c r="I104" s="296"/>
      <c r="J104" s="323"/>
      <c r="K104" s="296"/>
      <c r="L104" s="296"/>
      <c r="M104" s="296"/>
      <c r="N104" s="189"/>
      <c r="O104" s="297"/>
    </row>
    <row r="105" spans="1:15" ht="12" customHeight="1" x14ac:dyDescent="0.2">
      <c r="A105" s="291"/>
      <c r="B105" s="142" t="s">
        <v>18</v>
      </c>
      <c r="C105" s="143"/>
      <c r="D105" s="143"/>
      <c r="E105" s="143"/>
      <c r="F105" s="143"/>
      <c r="G105" s="173"/>
      <c r="H105" s="663"/>
      <c r="I105" s="336"/>
      <c r="J105" s="323"/>
      <c r="K105" s="336"/>
      <c r="L105" s="336"/>
      <c r="M105" s="336"/>
      <c r="N105" s="189">
        <f>SUM(N103:N104)</f>
        <v>303.48100000000005</v>
      </c>
      <c r="O105" s="297">
        <f>N105/N107</f>
        <v>1</v>
      </c>
    </row>
    <row r="106" spans="1:15" ht="12" customHeight="1" x14ac:dyDescent="0.2">
      <c r="A106" s="291"/>
      <c r="B106" s="138"/>
      <c r="C106" s="138"/>
      <c r="D106" s="138"/>
      <c r="E106" s="138"/>
      <c r="F106" s="138"/>
      <c r="G106" s="162"/>
      <c r="H106" s="641"/>
      <c r="I106" s="330"/>
      <c r="J106" s="323"/>
      <c r="K106" s="311"/>
      <c r="L106" s="311"/>
      <c r="M106" s="311"/>
      <c r="N106" s="189"/>
      <c r="O106" s="297"/>
    </row>
    <row r="107" spans="1:15" s="132" customFormat="1" ht="12" customHeight="1" x14ac:dyDescent="0.2">
      <c r="A107" s="294"/>
      <c r="B107" s="175" t="s">
        <v>20</v>
      </c>
      <c r="C107" s="176"/>
      <c r="D107" s="176"/>
      <c r="E107" s="176"/>
      <c r="F107" s="176"/>
      <c r="G107" s="178"/>
      <c r="H107" s="666"/>
      <c r="I107" s="338"/>
      <c r="J107" s="323"/>
      <c r="K107" s="338"/>
      <c r="L107" s="338"/>
      <c r="M107" s="338"/>
      <c r="N107" s="295">
        <f>N105</f>
        <v>303.48100000000005</v>
      </c>
      <c r="O107" s="186">
        <f>N107/N160</f>
        <v>2.4526768093262297E-3</v>
      </c>
    </row>
    <row r="108" spans="1:15" ht="12" customHeight="1" x14ac:dyDescent="0.2">
      <c r="A108" s="291"/>
      <c r="B108" s="138"/>
      <c r="C108" s="138"/>
      <c r="D108" s="138"/>
      <c r="E108" s="138"/>
      <c r="F108" s="138"/>
      <c r="G108" s="162"/>
      <c r="H108" s="641"/>
      <c r="I108" s="330"/>
      <c r="J108" s="323"/>
      <c r="K108" s="311"/>
      <c r="L108" s="311"/>
      <c r="M108" s="311"/>
      <c r="N108" s="189"/>
      <c r="O108" s="297"/>
    </row>
    <row r="109" spans="1:15" ht="12" hidden="1" customHeight="1" x14ac:dyDescent="0.2">
      <c r="A109" s="256">
        <v>11</v>
      </c>
      <c r="B109" s="834" t="s">
        <v>649</v>
      </c>
      <c r="C109" s="834"/>
      <c r="D109" s="834"/>
      <c r="E109" s="834"/>
      <c r="F109" s="834"/>
      <c r="G109" s="137"/>
      <c r="H109" s="641"/>
      <c r="I109" s="330"/>
      <c r="J109" s="323"/>
      <c r="K109" s="331"/>
      <c r="L109" s="311"/>
      <c r="M109" s="311"/>
      <c r="N109" s="313"/>
      <c r="O109" s="219"/>
    </row>
    <row r="110" spans="1:15" ht="12" hidden="1" customHeight="1" x14ac:dyDescent="0.2">
      <c r="A110" s="256">
        <v>1101</v>
      </c>
      <c r="B110" s="834" t="s">
        <v>650</v>
      </c>
      <c r="C110" s="834"/>
      <c r="D110" s="834"/>
      <c r="E110" s="834"/>
      <c r="F110" s="834"/>
      <c r="G110" s="137"/>
      <c r="H110" s="641"/>
      <c r="I110" s="330"/>
      <c r="J110" s="323"/>
      <c r="K110" s="331"/>
      <c r="L110" s="311"/>
      <c r="M110" s="311"/>
      <c r="N110" s="313"/>
      <c r="O110" s="219"/>
    </row>
    <row r="111" spans="1:15" ht="12" hidden="1" customHeight="1" x14ac:dyDescent="0.2">
      <c r="A111" s="256" t="s">
        <v>359</v>
      </c>
      <c r="B111" s="834" t="s">
        <v>360</v>
      </c>
      <c r="C111" s="834"/>
      <c r="D111" s="834"/>
      <c r="E111" s="834"/>
      <c r="F111" s="834"/>
      <c r="G111" s="97" t="s">
        <v>31</v>
      </c>
      <c r="H111" s="189">
        <v>0</v>
      </c>
      <c r="I111" s="323">
        <f>VLOOKUP(A111,'[1]TAB OGU JUN18'!$A:$G,6,"falso")</f>
        <v>80.650000000000006</v>
      </c>
      <c r="J111" s="323"/>
      <c r="K111" s="308">
        <f>H111*J111</f>
        <v>0</v>
      </c>
      <c r="L111" s="323">
        <f>VLOOKUP(A111,'[1]TAB OGU JUN18'!$A:$G,5,"falso")</f>
        <v>20.61</v>
      </c>
      <c r="M111" s="308">
        <f>H111*L111</f>
        <v>0</v>
      </c>
      <c r="N111" s="308">
        <f>H111*I111</f>
        <v>0</v>
      </c>
      <c r="O111" s="297" t="e">
        <f>N111/N113</f>
        <v>#DIV/0!</v>
      </c>
    </row>
    <row r="112" spans="1:15" ht="12" hidden="1" customHeight="1" x14ac:dyDescent="0.2">
      <c r="A112" s="256"/>
      <c r="B112" s="138"/>
      <c r="C112" s="138"/>
      <c r="D112" s="138"/>
      <c r="E112" s="138"/>
      <c r="F112" s="138"/>
      <c r="G112" s="139"/>
      <c r="H112" s="189"/>
      <c r="I112" s="296"/>
      <c r="J112" s="323"/>
      <c r="K112" s="296"/>
      <c r="L112" s="296"/>
      <c r="M112" s="296"/>
      <c r="N112" s="189"/>
      <c r="O112" s="297"/>
    </row>
    <row r="113" spans="1:15" ht="12" hidden="1" customHeight="1" x14ac:dyDescent="0.2">
      <c r="A113" s="291"/>
      <c r="B113" s="142" t="s">
        <v>18</v>
      </c>
      <c r="C113" s="143"/>
      <c r="D113" s="143"/>
      <c r="E113" s="143"/>
      <c r="F113" s="143"/>
      <c r="G113" s="173"/>
      <c r="H113" s="663"/>
      <c r="I113" s="336"/>
      <c r="J113" s="323"/>
      <c r="K113" s="336"/>
      <c r="L113" s="336"/>
      <c r="M113" s="336"/>
      <c r="N113" s="189">
        <f>SUM(N111:N112)</f>
        <v>0</v>
      </c>
      <c r="O113" s="297" t="e">
        <f>N113/N115</f>
        <v>#DIV/0!</v>
      </c>
    </row>
    <row r="114" spans="1:15" ht="12" hidden="1" customHeight="1" x14ac:dyDescent="0.2">
      <c r="A114" s="291"/>
      <c r="B114" s="138"/>
      <c r="C114" s="138"/>
      <c r="D114" s="138"/>
      <c r="E114" s="138"/>
      <c r="F114" s="138"/>
      <c r="G114" s="162"/>
      <c r="H114" s="641"/>
      <c r="I114" s="330"/>
      <c r="J114" s="323"/>
      <c r="K114" s="311"/>
      <c r="L114" s="311"/>
      <c r="M114" s="311"/>
      <c r="N114" s="189"/>
      <c r="O114" s="297"/>
    </row>
    <row r="115" spans="1:15" s="132" customFormat="1" ht="12" hidden="1" customHeight="1" x14ac:dyDescent="0.2">
      <c r="A115" s="294"/>
      <c r="B115" s="175" t="s">
        <v>20</v>
      </c>
      <c r="C115" s="176"/>
      <c r="D115" s="176"/>
      <c r="E115" s="176"/>
      <c r="F115" s="176"/>
      <c r="G115" s="178"/>
      <c r="H115" s="666"/>
      <c r="I115" s="338"/>
      <c r="J115" s="323"/>
      <c r="K115" s="338"/>
      <c r="L115" s="338"/>
      <c r="M115" s="338"/>
      <c r="N115" s="295">
        <f>N113</f>
        <v>0</v>
      </c>
      <c r="O115" s="186">
        <f>N115/N160</f>
        <v>0</v>
      </c>
    </row>
    <row r="116" spans="1:15" ht="12" hidden="1" customHeight="1" x14ac:dyDescent="0.2">
      <c r="A116" s="291"/>
      <c r="B116" s="138"/>
      <c r="C116" s="138"/>
      <c r="D116" s="138"/>
      <c r="E116" s="138"/>
      <c r="F116" s="138"/>
      <c r="G116" s="162"/>
      <c r="H116" s="641"/>
      <c r="I116" s="330"/>
      <c r="J116" s="323"/>
      <c r="K116" s="311"/>
      <c r="L116" s="311"/>
      <c r="M116" s="311"/>
      <c r="N116" s="189"/>
      <c r="O116" s="297"/>
    </row>
    <row r="117" spans="1:15" ht="12" hidden="1" customHeight="1" x14ac:dyDescent="0.2">
      <c r="A117" s="256">
        <v>12</v>
      </c>
      <c r="B117" s="834" t="s">
        <v>377</v>
      </c>
      <c r="C117" s="834"/>
      <c r="D117" s="834"/>
      <c r="E117" s="834"/>
      <c r="F117" s="834"/>
      <c r="G117" s="137"/>
      <c r="H117" s="641"/>
      <c r="I117" s="333"/>
      <c r="J117" s="323"/>
      <c r="K117" s="313"/>
      <c r="L117" s="313"/>
      <c r="M117" s="313"/>
      <c r="N117" s="333"/>
      <c r="O117" s="299"/>
    </row>
    <row r="118" spans="1:15" ht="12" hidden="1" customHeight="1" x14ac:dyDescent="0.2">
      <c r="A118" s="256">
        <v>1203</v>
      </c>
      <c r="B118" s="834" t="s">
        <v>386</v>
      </c>
      <c r="C118" s="834"/>
      <c r="D118" s="834"/>
      <c r="E118" s="834"/>
      <c r="F118" s="834"/>
      <c r="G118" s="162"/>
      <c r="H118" s="641"/>
      <c r="I118" s="330"/>
      <c r="J118" s="323"/>
      <c r="K118" s="311"/>
      <c r="L118" s="311"/>
      <c r="M118" s="311"/>
      <c r="N118" s="333"/>
      <c r="O118" s="297"/>
    </row>
    <row r="119" spans="1:15" ht="12" hidden="1" customHeight="1" x14ac:dyDescent="0.2">
      <c r="A119" s="256" t="s">
        <v>387</v>
      </c>
      <c r="B119" s="834" t="s">
        <v>388</v>
      </c>
      <c r="C119" s="834"/>
      <c r="D119" s="834"/>
      <c r="E119" s="834"/>
      <c r="F119" s="834"/>
      <c r="G119" s="97" t="s">
        <v>31</v>
      </c>
      <c r="H119" s="189">
        <v>0</v>
      </c>
      <c r="I119" s="323">
        <f>VLOOKUP(A119,'[1]TAB OGU JUN18'!$A:$G,6,"falso")</f>
        <v>3.38</v>
      </c>
      <c r="J119" s="323"/>
      <c r="K119" s="308">
        <f>H119*J119</f>
        <v>0</v>
      </c>
      <c r="L119" s="323">
        <f>VLOOKUP(A119,'[1]TAB OGU JUN18'!$A:$G,5,"falso")</f>
        <v>0.64</v>
      </c>
      <c r="M119" s="308">
        <f>H119*L119</f>
        <v>0</v>
      </c>
      <c r="N119" s="308">
        <f>H119*I119</f>
        <v>0</v>
      </c>
      <c r="O119" s="297" t="e">
        <f>N119/N123</f>
        <v>#DIV/0!</v>
      </c>
    </row>
    <row r="120" spans="1:15" ht="12" hidden="1" customHeight="1" x14ac:dyDescent="0.2">
      <c r="A120" s="256" t="s">
        <v>393</v>
      </c>
      <c r="B120" s="838" t="s">
        <v>394</v>
      </c>
      <c r="C120" s="838"/>
      <c r="D120" s="838"/>
      <c r="E120" s="838"/>
      <c r="F120" s="838"/>
      <c r="G120" s="97" t="s">
        <v>31</v>
      </c>
      <c r="H120" s="189">
        <f>H119</f>
        <v>0</v>
      </c>
      <c r="I120" s="323">
        <f>VLOOKUP(A120,'[1]TAB OGU JUN18'!$A:$G,6,"falso")</f>
        <v>32.86</v>
      </c>
      <c r="J120" s="323"/>
      <c r="K120" s="308">
        <f>H120*J120</f>
        <v>0</v>
      </c>
      <c r="L120" s="323">
        <f>VLOOKUP(A120,'[1]TAB OGU JUN18'!$A:$G,5,"falso")</f>
        <v>4.2699999999999996</v>
      </c>
      <c r="M120" s="308">
        <f>H120*L120</f>
        <v>0</v>
      </c>
      <c r="N120" s="308">
        <f>H120*I120</f>
        <v>0</v>
      </c>
      <c r="O120" s="297" t="e">
        <f>N120/N123</f>
        <v>#DIV/0!</v>
      </c>
    </row>
    <row r="121" spans="1:15" ht="12" hidden="1" customHeight="1" x14ac:dyDescent="0.2">
      <c r="A121" s="256" t="s">
        <v>395</v>
      </c>
      <c r="B121" s="834" t="s">
        <v>396</v>
      </c>
      <c r="C121" s="834"/>
      <c r="D121" s="834"/>
      <c r="E121" s="834"/>
      <c r="F121" s="834"/>
      <c r="G121" s="97" t="s">
        <v>31</v>
      </c>
      <c r="H121" s="189">
        <f>H119</f>
        <v>0</v>
      </c>
      <c r="I121" s="323">
        <f>VLOOKUP(A121,'[1]TAB OGU JUN18'!$A:$G,6,"falso")</f>
        <v>21.53</v>
      </c>
      <c r="J121" s="323"/>
      <c r="K121" s="308">
        <f>H121*J121</f>
        <v>0</v>
      </c>
      <c r="L121" s="323">
        <f>VLOOKUP(A121,'[1]TAB OGU JUN18'!$A:$G,5,"falso")</f>
        <v>0.71</v>
      </c>
      <c r="M121" s="308">
        <f>H121*L121</f>
        <v>0</v>
      </c>
      <c r="N121" s="308">
        <f>H121*I121</f>
        <v>0</v>
      </c>
      <c r="O121" s="297" t="e">
        <f>N121/N123</f>
        <v>#DIV/0!</v>
      </c>
    </row>
    <row r="122" spans="1:15" ht="12" hidden="1" customHeight="1" x14ac:dyDescent="0.2">
      <c r="A122" s="256"/>
      <c r="B122" s="138"/>
      <c r="C122" s="138"/>
      <c r="D122" s="138"/>
      <c r="E122" s="138"/>
      <c r="F122" s="138"/>
      <c r="G122" s="139"/>
      <c r="H122" s="189"/>
      <c r="I122" s="296"/>
      <c r="J122" s="323"/>
      <c r="K122" s="311"/>
      <c r="L122" s="311"/>
      <c r="M122" s="311"/>
      <c r="N122" s="189"/>
      <c r="O122" s="297"/>
    </row>
    <row r="123" spans="1:15" ht="12" hidden="1" customHeight="1" x14ac:dyDescent="0.2">
      <c r="A123" s="291"/>
      <c r="B123" s="142" t="s">
        <v>18</v>
      </c>
      <c r="C123" s="143"/>
      <c r="D123" s="143"/>
      <c r="E123" s="143"/>
      <c r="F123" s="143"/>
      <c r="G123" s="173"/>
      <c r="H123" s="663"/>
      <c r="I123" s="336"/>
      <c r="J123" s="323"/>
      <c r="K123" s="336"/>
      <c r="L123" s="336"/>
      <c r="M123" s="336"/>
      <c r="N123" s="189">
        <f>SUM(N119:N122)</f>
        <v>0</v>
      </c>
      <c r="O123" s="297">
        <f>N123/N135</f>
        <v>0</v>
      </c>
    </row>
    <row r="124" spans="1:15" ht="12" customHeight="1" x14ac:dyDescent="0.2">
      <c r="A124" s="291"/>
      <c r="B124" s="138"/>
      <c r="C124" s="138"/>
      <c r="D124" s="138"/>
      <c r="E124" s="138"/>
      <c r="F124" s="138"/>
      <c r="G124" s="162"/>
      <c r="H124" s="641"/>
      <c r="I124" s="330"/>
      <c r="J124" s="323"/>
      <c r="K124" s="311"/>
      <c r="L124" s="370"/>
      <c r="M124" s="311"/>
      <c r="N124" s="189"/>
      <c r="O124" s="297"/>
    </row>
    <row r="125" spans="1:15" ht="12" customHeight="1" x14ac:dyDescent="0.2">
      <c r="A125" s="644" t="s">
        <v>344</v>
      </c>
      <c r="B125" s="837" t="s">
        <v>1376</v>
      </c>
      <c r="C125" s="837"/>
      <c r="D125" s="837"/>
      <c r="E125" s="837"/>
      <c r="F125" s="837"/>
      <c r="G125" s="139"/>
      <c r="H125" s="641"/>
      <c r="I125" s="330"/>
      <c r="J125" s="323"/>
      <c r="K125" s="311"/>
      <c r="L125" s="370"/>
      <c r="M125" s="311"/>
      <c r="N125" s="189"/>
      <c r="O125" s="297"/>
    </row>
    <row r="126" spans="1:15" ht="12" customHeight="1" x14ac:dyDescent="0.2">
      <c r="A126" s="644" t="s">
        <v>346</v>
      </c>
      <c r="B126" s="834" t="s">
        <v>347</v>
      </c>
      <c r="C126" s="834"/>
      <c r="D126" s="834"/>
      <c r="E126" s="834"/>
      <c r="F126" s="834"/>
      <c r="G126" s="139" t="s">
        <v>31</v>
      </c>
      <c r="H126" s="286">
        <f>(20.54*2)+(26.25*2)</f>
        <v>93.58</v>
      </c>
      <c r="I126" s="645">
        <f>VLOOKUP($A$126,'[1]TAB OGU JUN18'!$A:$G,6,"falso")</f>
        <v>70.69</v>
      </c>
      <c r="J126" s="323">
        <f>VLOOKUP(A126,'[1]TAB OGU JUN18'!$A:$G,4,"falso")</f>
        <v>12.86</v>
      </c>
      <c r="K126" s="645">
        <f>J126*H126</f>
        <v>1203.4387999999999</v>
      </c>
      <c r="L126" s="645">
        <f>VLOOKUP($A$126,'[1]TAB OGU JUN18'!$A:$G,5,"falso")</f>
        <v>57.83</v>
      </c>
      <c r="M126" s="323">
        <f>L126*H126</f>
        <v>5411.7313999999997</v>
      </c>
      <c r="N126" s="286">
        <f>I126*H126</f>
        <v>6615.1701999999996</v>
      </c>
      <c r="O126" s="297">
        <f>N126/N128</f>
        <v>1</v>
      </c>
    </row>
    <row r="127" spans="1:15" ht="12" customHeight="1" x14ac:dyDescent="0.2">
      <c r="A127" s="291"/>
      <c r="B127" s="576"/>
      <c r="C127" s="576"/>
      <c r="D127" s="576"/>
      <c r="E127" s="576"/>
      <c r="F127" s="576"/>
      <c r="G127" s="162"/>
      <c r="H127" s="641"/>
      <c r="I127" s="349"/>
      <c r="J127" s="346"/>
      <c r="K127" s="346"/>
      <c r="L127" s="370"/>
      <c r="M127" s="346"/>
      <c r="N127" s="286"/>
      <c r="O127" s="297"/>
    </row>
    <row r="128" spans="1:15" ht="12" customHeight="1" x14ac:dyDescent="0.2">
      <c r="A128" s="291"/>
      <c r="B128" s="142" t="s">
        <v>18</v>
      </c>
      <c r="C128" s="143"/>
      <c r="D128" s="143"/>
      <c r="E128" s="143"/>
      <c r="F128" s="143"/>
      <c r="G128" s="173"/>
      <c r="H128" s="663"/>
      <c r="I128" s="336"/>
      <c r="J128" s="336"/>
      <c r="K128" s="336"/>
      <c r="L128" s="336"/>
      <c r="M128" s="336"/>
      <c r="N128" s="189">
        <f>SUM(N126:N127)</f>
        <v>6615.1701999999996</v>
      </c>
      <c r="O128" s="297">
        <f>N128/N135</f>
        <v>0.61630660411574889</v>
      </c>
    </row>
    <row r="129" spans="1:32" ht="12" customHeight="1" x14ac:dyDescent="0.2">
      <c r="A129" s="291"/>
      <c r="B129" s="576"/>
      <c r="C129" s="576"/>
      <c r="D129" s="576"/>
      <c r="E129" s="576"/>
      <c r="F129" s="576"/>
      <c r="G129" s="162"/>
      <c r="H129" s="641"/>
      <c r="I129" s="349"/>
      <c r="J129" s="346"/>
      <c r="K129" s="346"/>
      <c r="L129" s="370"/>
      <c r="M129" s="346"/>
      <c r="N129" s="286"/>
      <c r="O129" s="297"/>
    </row>
    <row r="130" spans="1:32" ht="12" customHeight="1" x14ac:dyDescent="0.2">
      <c r="A130" s="256">
        <v>1206</v>
      </c>
      <c r="B130" s="834" t="s">
        <v>647</v>
      </c>
      <c r="C130" s="834"/>
      <c r="D130" s="834"/>
      <c r="E130" s="834"/>
      <c r="F130" s="834"/>
      <c r="G130" s="137"/>
      <c r="H130" s="641"/>
      <c r="I130" s="286"/>
      <c r="J130" s="314"/>
      <c r="K130" s="314"/>
      <c r="L130" s="314"/>
      <c r="M130" s="314"/>
      <c r="N130" s="286"/>
      <c r="O130" s="232"/>
    </row>
    <row r="131" spans="1:32" ht="16.5" customHeight="1" x14ac:dyDescent="0.2">
      <c r="A131" s="256" t="s">
        <v>545</v>
      </c>
      <c r="B131" s="837" t="s">
        <v>1050</v>
      </c>
      <c r="C131" s="837"/>
      <c r="D131" s="837"/>
      <c r="E131" s="837"/>
      <c r="F131" s="837"/>
      <c r="G131" s="163" t="s">
        <v>31</v>
      </c>
      <c r="H131" s="293">
        <f>H14*1.1</f>
        <v>1372.8000000000002</v>
      </c>
      <c r="I131" s="323">
        <v>3</v>
      </c>
      <c r="J131" s="323">
        <v>3</v>
      </c>
      <c r="K131" s="308">
        <f>H131*J131</f>
        <v>4118.4000000000005</v>
      </c>
      <c r="L131" s="323"/>
      <c r="M131" s="308"/>
      <c r="N131" s="308">
        <f>H131*J131</f>
        <v>4118.4000000000005</v>
      </c>
      <c r="O131" s="192">
        <f>N131/N133</f>
        <v>1</v>
      </c>
      <c r="P131" s="51" t="s">
        <v>634</v>
      </c>
    </row>
    <row r="132" spans="1:32" ht="12" customHeight="1" x14ac:dyDescent="0.2">
      <c r="A132" s="292"/>
      <c r="B132" s="254"/>
      <c r="C132" s="254"/>
      <c r="D132" s="254"/>
      <c r="E132" s="254"/>
      <c r="F132" s="254"/>
      <c r="G132" s="164"/>
      <c r="H132" s="293"/>
      <c r="I132" s="293"/>
      <c r="J132" s="313"/>
      <c r="K132" s="313"/>
      <c r="L132" s="313"/>
      <c r="M132" s="313"/>
      <c r="N132" s="293"/>
      <c r="O132" s="320"/>
    </row>
    <row r="133" spans="1:32" ht="12" customHeight="1" x14ac:dyDescent="0.2">
      <c r="A133" s="291"/>
      <c r="B133" s="155" t="s">
        <v>18</v>
      </c>
      <c r="C133" s="160"/>
      <c r="D133" s="160"/>
      <c r="E133" s="160"/>
      <c r="F133" s="144"/>
      <c r="G133" s="161"/>
      <c r="H133" s="656"/>
      <c r="I133" s="334"/>
      <c r="J133" s="334"/>
      <c r="K133" s="334"/>
      <c r="L133" s="334"/>
      <c r="M133" s="334"/>
      <c r="N133" s="315">
        <f>SUM(N131:N132)</f>
        <v>4118.4000000000005</v>
      </c>
      <c r="O133" s="301">
        <f>N133/N135</f>
        <v>0.38369339588425111</v>
      </c>
    </row>
    <row r="134" spans="1:32" ht="12" customHeight="1" x14ac:dyDescent="0.2">
      <c r="A134" s="291"/>
      <c r="B134" s="834"/>
      <c r="C134" s="834"/>
      <c r="D134" s="834"/>
      <c r="E134" s="834"/>
      <c r="F134" s="834"/>
      <c r="G134" s="137"/>
      <c r="H134" s="641"/>
      <c r="I134" s="333"/>
      <c r="J134" s="313"/>
      <c r="K134" s="313"/>
      <c r="L134" s="313"/>
      <c r="M134" s="313"/>
      <c r="N134" s="189"/>
      <c r="O134" s="300"/>
    </row>
    <row r="135" spans="1:32" s="132" customFormat="1" ht="12" customHeight="1" x14ac:dyDescent="0.2">
      <c r="A135" s="294"/>
      <c r="B135" s="165" t="s">
        <v>20</v>
      </c>
      <c r="C135" s="166"/>
      <c r="D135" s="166"/>
      <c r="E135" s="166"/>
      <c r="F135" s="167"/>
      <c r="G135" s="168"/>
      <c r="H135" s="659"/>
      <c r="I135" s="368"/>
      <c r="J135" s="368"/>
      <c r="K135" s="368"/>
      <c r="L135" s="368"/>
      <c r="M135" s="368"/>
      <c r="N135" s="369">
        <f>N133+N128</f>
        <v>10733.5702</v>
      </c>
      <c r="O135" s="321">
        <f>N135/N160</f>
        <v>8.6746711361881293E-2</v>
      </c>
    </row>
    <row r="136" spans="1:32" s="132" customFormat="1" ht="12" customHeight="1" x14ac:dyDescent="0.2">
      <c r="A136" s="294"/>
      <c r="B136" s="165"/>
      <c r="C136" s="165"/>
      <c r="D136" s="165"/>
      <c r="E136" s="165"/>
      <c r="F136" s="480"/>
      <c r="G136" s="481"/>
      <c r="H136" s="661"/>
      <c r="I136" s="482"/>
      <c r="J136" s="482"/>
      <c r="K136" s="482"/>
      <c r="L136" s="482"/>
      <c r="M136" s="482"/>
      <c r="N136" s="369"/>
      <c r="O136" s="321"/>
    </row>
    <row r="137" spans="1:32" s="132" customFormat="1" ht="12" customHeight="1" x14ac:dyDescent="0.2">
      <c r="A137" s="140">
        <v>1418</v>
      </c>
      <c r="B137" s="834" t="s">
        <v>443</v>
      </c>
      <c r="C137" s="834"/>
      <c r="D137" s="834"/>
      <c r="E137" s="834"/>
      <c r="F137" s="834"/>
      <c r="G137" s="158"/>
      <c r="H137" s="672"/>
      <c r="I137" s="376"/>
      <c r="J137" s="313"/>
      <c r="K137" s="313"/>
      <c r="L137" s="313"/>
      <c r="M137" s="313"/>
      <c r="N137" s="376"/>
      <c r="O137" s="220"/>
    </row>
    <row r="138" spans="1:32" s="132" customFormat="1" ht="12" customHeight="1" x14ac:dyDescent="0.2">
      <c r="A138" s="140" t="s">
        <v>731</v>
      </c>
      <c r="B138" s="142" t="s">
        <v>730</v>
      </c>
      <c r="C138" s="142"/>
      <c r="D138" s="142"/>
      <c r="E138" s="142"/>
      <c r="F138" s="142"/>
      <c r="G138" s="163" t="s">
        <v>17</v>
      </c>
      <c r="H138" s="189">
        <v>1</v>
      </c>
      <c r="I138" s="323">
        <f>VLOOKUP(A138,'[1]TAB OGU JUN18'!$A:$G,6,"falso")</f>
        <v>121.13</v>
      </c>
      <c r="J138" s="323">
        <f>VLOOKUP(A138,'[1]TAB OGU JUN18'!$A:$G,4,"falso")</f>
        <v>43.06</v>
      </c>
      <c r="K138" s="308">
        <f>H138*J138</f>
        <v>43.06</v>
      </c>
      <c r="L138" s="323">
        <f>VLOOKUP(A138,'[1]TAB OGU JUN18'!$A:$G,5,"falso")</f>
        <v>78.069999999999993</v>
      </c>
      <c r="M138" s="308">
        <f>H138*L138</f>
        <v>78.069999999999993</v>
      </c>
      <c r="N138" s="315">
        <f>H138*I138</f>
        <v>121.13</v>
      </c>
      <c r="O138" s="192">
        <f>N138/N140</f>
        <v>1</v>
      </c>
    </row>
    <row r="139" spans="1:32" s="132" customFormat="1" ht="12" customHeight="1" x14ac:dyDescent="0.2">
      <c r="A139" s="140"/>
      <c r="B139" s="138"/>
      <c r="C139" s="138"/>
      <c r="D139" s="138"/>
      <c r="E139" s="138"/>
      <c r="F139" s="138"/>
      <c r="G139" s="163"/>
      <c r="H139" s="221"/>
      <c r="I139" s="221"/>
      <c r="J139" s="313"/>
      <c r="K139" s="313"/>
      <c r="L139" s="313"/>
      <c r="M139" s="313"/>
      <c r="N139" s="221"/>
      <c r="O139" s="220"/>
    </row>
    <row r="140" spans="1:32" s="132" customFormat="1" ht="12" customHeight="1" x14ac:dyDescent="0.2">
      <c r="A140" s="202"/>
      <c r="B140" s="142" t="s">
        <v>18</v>
      </c>
      <c r="C140" s="143"/>
      <c r="D140" s="143"/>
      <c r="E140" s="143"/>
      <c r="F140" s="143"/>
      <c r="G140" s="222"/>
      <c r="H140" s="675"/>
      <c r="I140" s="378"/>
      <c r="J140" s="378"/>
      <c r="K140" s="378"/>
      <c r="L140" s="378"/>
      <c r="M140" s="378"/>
      <c r="N140" s="221">
        <f>SUM(N138:N139)</f>
        <v>121.13</v>
      </c>
      <c r="O140" s="220">
        <f>N140/N142</f>
        <v>1</v>
      </c>
    </row>
    <row r="141" spans="1:32" ht="12" customHeight="1" x14ac:dyDescent="0.2">
      <c r="A141" s="202"/>
      <c r="B141" s="138"/>
      <c r="C141" s="138"/>
      <c r="D141" s="138"/>
      <c r="E141" s="138"/>
      <c r="F141" s="138"/>
      <c r="G141" s="158"/>
      <c r="H141" s="672"/>
      <c r="I141" s="376"/>
      <c r="J141" s="313"/>
      <c r="K141" s="313"/>
      <c r="L141" s="313"/>
      <c r="M141" s="313"/>
      <c r="N141" s="221"/>
      <c r="O141" s="220"/>
      <c r="R141" s="140"/>
      <c r="S141" s="834"/>
      <c r="T141" s="834"/>
      <c r="U141" s="834"/>
      <c r="V141" s="834"/>
      <c r="W141" s="834"/>
      <c r="X141" s="158"/>
      <c r="Y141" s="376"/>
      <c r="Z141" s="376"/>
      <c r="AA141" s="313"/>
      <c r="AB141" s="313"/>
      <c r="AC141" s="313"/>
      <c r="AD141" s="313"/>
      <c r="AE141" s="376"/>
      <c r="AF141" s="220"/>
    </row>
    <row r="142" spans="1:32" ht="12" customHeight="1" x14ac:dyDescent="0.2">
      <c r="A142" s="203"/>
      <c r="B142" s="175" t="s">
        <v>20</v>
      </c>
      <c r="C142" s="176"/>
      <c r="D142" s="176"/>
      <c r="E142" s="176"/>
      <c r="F142" s="176"/>
      <c r="G142" s="223"/>
      <c r="H142" s="677"/>
      <c r="I142" s="379"/>
      <c r="J142" s="379"/>
      <c r="K142" s="379"/>
      <c r="L142" s="379"/>
      <c r="M142" s="379"/>
      <c r="N142" s="224">
        <f>N140</f>
        <v>121.13</v>
      </c>
      <c r="O142" s="218">
        <f>N142/$N$160</f>
        <v>9.7895005589702867E-4</v>
      </c>
      <c r="R142" s="140"/>
      <c r="S142" s="142"/>
      <c r="T142" s="142"/>
      <c r="U142" s="142"/>
      <c r="V142" s="142"/>
      <c r="W142" s="142"/>
      <c r="X142" s="163"/>
      <c r="Y142" s="189"/>
      <c r="Z142" s="323"/>
      <c r="AA142" s="323"/>
      <c r="AB142" s="308"/>
      <c r="AC142" s="323"/>
      <c r="AD142" s="308"/>
      <c r="AE142" s="315"/>
      <c r="AF142" s="192"/>
    </row>
    <row r="143" spans="1:32" ht="12" customHeight="1" x14ac:dyDescent="0.2">
      <c r="A143" s="203"/>
      <c r="B143" s="175"/>
      <c r="C143" s="175"/>
      <c r="D143" s="175"/>
      <c r="E143" s="175"/>
      <c r="F143" s="175"/>
      <c r="G143" s="484"/>
      <c r="H143" s="679"/>
      <c r="I143" s="485"/>
      <c r="J143" s="485"/>
      <c r="K143" s="485"/>
      <c r="L143" s="485"/>
      <c r="M143" s="485"/>
      <c r="N143" s="224"/>
      <c r="O143" s="218"/>
      <c r="R143" s="140"/>
      <c r="S143" s="142"/>
      <c r="T143" s="142"/>
      <c r="U143" s="142"/>
      <c r="V143" s="142"/>
      <c r="W143" s="142"/>
      <c r="X143" s="163"/>
      <c r="Y143" s="189"/>
      <c r="Z143" s="323"/>
      <c r="AA143" s="323"/>
      <c r="AB143" s="308"/>
      <c r="AC143" s="323"/>
      <c r="AD143" s="308"/>
      <c r="AE143" s="315"/>
      <c r="AF143" s="192"/>
    </row>
    <row r="144" spans="1:32" ht="12" customHeight="1" x14ac:dyDescent="0.2">
      <c r="A144" s="256">
        <v>1503</v>
      </c>
      <c r="B144" s="834" t="s">
        <v>459</v>
      </c>
      <c r="C144" s="834"/>
      <c r="D144" s="834"/>
      <c r="E144" s="834"/>
      <c r="F144" s="834"/>
      <c r="G144" s="137"/>
      <c r="H144" s="641"/>
      <c r="I144" s="330"/>
      <c r="J144" s="311"/>
      <c r="K144" s="311"/>
      <c r="L144" s="370"/>
      <c r="M144" s="311"/>
      <c r="N144" s="333"/>
      <c r="O144" s="297"/>
      <c r="R144" s="140"/>
      <c r="S144" s="138"/>
      <c r="T144" s="138"/>
      <c r="U144" s="138"/>
      <c r="V144" s="138"/>
      <c r="W144" s="138"/>
      <c r="X144" s="163"/>
      <c r="Y144" s="221"/>
      <c r="Z144" s="221"/>
      <c r="AA144" s="313"/>
      <c r="AB144" s="313"/>
      <c r="AC144" s="313"/>
      <c r="AD144" s="313"/>
      <c r="AE144" s="221"/>
      <c r="AF144" s="220"/>
    </row>
    <row r="145" spans="1:32" ht="12" customHeight="1" x14ac:dyDescent="0.2">
      <c r="A145" s="256" t="s">
        <v>545</v>
      </c>
      <c r="B145" s="200" t="s">
        <v>1432</v>
      </c>
      <c r="C145" s="153"/>
      <c r="D145" s="153"/>
      <c r="E145" s="153"/>
      <c r="F145" s="153"/>
      <c r="G145" s="97" t="s">
        <v>31</v>
      </c>
      <c r="H145" s="189">
        <v>404.2</v>
      </c>
      <c r="I145" s="323">
        <v>3</v>
      </c>
      <c r="J145" s="323">
        <v>3</v>
      </c>
      <c r="K145" s="308">
        <f>H145*J145</f>
        <v>1212.5999999999999</v>
      </c>
      <c r="L145" s="323">
        <v>0</v>
      </c>
      <c r="M145" s="308"/>
      <c r="N145" s="308">
        <f>H145*I145</f>
        <v>1212.5999999999999</v>
      </c>
      <c r="O145" s="297">
        <f>N145/N148</f>
        <v>1</v>
      </c>
      <c r="R145" s="202"/>
      <c r="S145" s="142"/>
      <c r="T145" s="143"/>
      <c r="U145" s="143"/>
      <c r="V145" s="143"/>
      <c r="W145" s="143"/>
      <c r="X145" s="222"/>
      <c r="Y145" s="378"/>
      <c r="Z145" s="378"/>
      <c r="AA145" s="378"/>
      <c r="AB145" s="378"/>
      <c r="AC145" s="378"/>
      <c r="AD145" s="378"/>
      <c r="AE145" s="221"/>
      <c r="AF145" s="220"/>
    </row>
    <row r="146" spans="1:32" ht="12" hidden="1" customHeight="1" x14ac:dyDescent="0.2">
      <c r="A146" s="496" t="s">
        <v>561</v>
      </c>
      <c r="B146" s="839" t="s">
        <v>562</v>
      </c>
      <c r="C146" s="839"/>
      <c r="D146" s="839"/>
      <c r="E146" s="839"/>
      <c r="F146" s="839"/>
      <c r="G146" s="497" t="s">
        <v>32</v>
      </c>
      <c r="H146" s="498">
        <v>0</v>
      </c>
      <c r="I146" s="499">
        <v>27.77</v>
      </c>
      <c r="J146" s="499">
        <v>1.7</v>
      </c>
      <c r="K146" s="495">
        <f>H146*J146</f>
        <v>0</v>
      </c>
      <c r="L146" s="499">
        <v>26.07</v>
      </c>
      <c r="M146" s="495">
        <f>H146*L146</f>
        <v>0</v>
      </c>
      <c r="N146" s="495">
        <f>H146*I146</f>
        <v>0</v>
      </c>
      <c r="O146" s="500">
        <f>N146/N148</f>
        <v>0</v>
      </c>
      <c r="P146" s="51">
        <v>83656</v>
      </c>
      <c r="R146" s="202"/>
      <c r="S146" s="138"/>
      <c r="T146" s="138"/>
      <c r="U146" s="138"/>
      <c r="V146" s="138"/>
      <c r="W146" s="138"/>
      <c r="X146" s="158"/>
      <c r="Y146" s="376"/>
      <c r="Z146" s="376"/>
      <c r="AA146" s="313"/>
      <c r="AB146" s="313"/>
      <c r="AC146" s="313"/>
      <c r="AD146" s="313"/>
      <c r="AE146" s="221"/>
      <c r="AF146" s="220"/>
    </row>
    <row r="147" spans="1:32" ht="12" customHeight="1" x14ac:dyDescent="0.2">
      <c r="A147" s="256"/>
      <c r="B147" s="138"/>
      <c r="C147" s="138"/>
      <c r="D147" s="138"/>
      <c r="E147" s="138"/>
      <c r="F147" s="138"/>
      <c r="G147" s="190"/>
      <c r="H147" s="189"/>
      <c r="I147" s="296"/>
      <c r="J147" s="311"/>
      <c r="K147" s="311"/>
      <c r="L147" s="370"/>
      <c r="M147" s="311"/>
      <c r="N147" s="189"/>
      <c r="O147" s="297"/>
      <c r="R147" s="203"/>
      <c r="S147" s="175"/>
      <c r="T147" s="176"/>
      <c r="U147" s="176"/>
      <c r="V147" s="176"/>
      <c r="W147" s="176"/>
      <c r="X147" s="223"/>
      <c r="Y147" s="379"/>
      <c r="Z147" s="379"/>
      <c r="AA147" s="379"/>
      <c r="AB147" s="379"/>
      <c r="AC147" s="379"/>
      <c r="AD147" s="379"/>
      <c r="AE147" s="224"/>
      <c r="AF147" s="218"/>
    </row>
    <row r="148" spans="1:32" ht="12" customHeight="1" x14ac:dyDescent="0.2">
      <c r="A148" s="291"/>
      <c r="B148" s="142" t="s">
        <v>18</v>
      </c>
      <c r="C148" s="143"/>
      <c r="D148" s="143"/>
      <c r="E148" s="143"/>
      <c r="F148" s="143"/>
      <c r="G148" s="188"/>
      <c r="H148" s="663"/>
      <c r="I148" s="336"/>
      <c r="J148" s="336"/>
      <c r="K148" s="336"/>
      <c r="L148" s="336"/>
      <c r="M148" s="336"/>
      <c r="N148" s="189">
        <f>SUM(N145:N147)</f>
        <v>1212.5999999999999</v>
      </c>
      <c r="O148" s="297">
        <f>N148/N150</f>
        <v>1</v>
      </c>
    </row>
    <row r="149" spans="1:32" ht="12" customHeight="1" x14ac:dyDescent="0.2">
      <c r="A149" s="202"/>
      <c r="B149" s="138"/>
      <c r="C149" s="138"/>
      <c r="D149" s="138"/>
      <c r="E149" s="138"/>
      <c r="F149" s="138"/>
      <c r="G149" s="137"/>
      <c r="H149" s="641"/>
      <c r="I149" s="330"/>
      <c r="J149" s="311"/>
      <c r="K149" s="311"/>
      <c r="L149" s="370"/>
      <c r="M149" s="311"/>
      <c r="N149" s="189"/>
      <c r="O149" s="297"/>
    </row>
    <row r="150" spans="1:32" s="132" customFormat="1" ht="12" customHeight="1" x14ac:dyDescent="0.2">
      <c r="A150" s="203"/>
      <c r="B150" s="175" t="s">
        <v>20</v>
      </c>
      <c r="C150" s="176"/>
      <c r="D150" s="176"/>
      <c r="E150" s="176"/>
      <c r="F150" s="176"/>
      <c r="G150" s="191"/>
      <c r="H150" s="666"/>
      <c r="I150" s="338"/>
      <c r="J150" s="338"/>
      <c r="K150" s="338"/>
      <c r="L150" s="338"/>
      <c r="M150" s="338"/>
      <c r="N150" s="295">
        <f>N148</f>
        <v>1212.5999999999999</v>
      </c>
      <c r="O150" s="186">
        <f>N150/$N$160</f>
        <v>9.800006916376924E-3</v>
      </c>
    </row>
    <row r="151" spans="1:32" s="132" customFormat="1" ht="12" customHeight="1" x14ac:dyDescent="0.2">
      <c r="A151" s="203"/>
      <c r="B151" s="175"/>
      <c r="C151" s="175"/>
      <c r="D151" s="175"/>
      <c r="E151" s="175"/>
      <c r="F151" s="175"/>
      <c r="G151" s="318"/>
      <c r="H151" s="669"/>
      <c r="I151" s="372"/>
      <c r="J151" s="372"/>
      <c r="K151" s="372"/>
      <c r="L151" s="372"/>
      <c r="M151" s="372"/>
      <c r="N151" s="295"/>
      <c r="O151" s="186"/>
    </row>
    <row r="152" spans="1:32" ht="12" customHeight="1" x14ac:dyDescent="0.2">
      <c r="A152" s="98" t="s">
        <v>169</v>
      </c>
      <c r="B152" s="88" t="s">
        <v>172</v>
      </c>
      <c r="G152" s="137"/>
      <c r="H152" s="641"/>
      <c r="I152" s="330"/>
      <c r="J152" s="311"/>
      <c r="K152" s="311"/>
      <c r="L152" s="311"/>
      <c r="M152" s="311"/>
      <c r="N152" s="333"/>
      <c r="O152" s="297"/>
    </row>
    <row r="153" spans="1:32" ht="12" customHeight="1" x14ac:dyDescent="0.2">
      <c r="A153" s="98" t="s">
        <v>170</v>
      </c>
      <c r="B153" s="88" t="s">
        <v>173</v>
      </c>
      <c r="G153" s="137"/>
      <c r="H153" s="641"/>
      <c r="I153" s="330"/>
      <c r="J153" s="311"/>
      <c r="K153" s="311"/>
      <c r="L153" s="370"/>
      <c r="M153" s="311"/>
      <c r="N153" s="333"/>
      <c r="O153" s="297"/>
    </row>
    <row r="154" spans="1:32" ht="12" customHeight="1" x14ac:dyDescent="0.2">
      <c r="A154" s="98" t="s">
        <v>480</v>
      </c>
      <c r="B154" s="834" t="s">
        <v>481</v>
      </c>
      <c r="C154" s="834"/>
      <c r="D154" s="834"/>
      <c r="E154" s="834"/>
      <c r="F154" s="834"/>
      <c r="G154" s="97" t="s">
        <v>31</v>
      </c>
      <c r="H154" s="189">
        <f>H14</f>
        <v>1248</v>
      </c>
      <c r="I154" s="323">
        <f>VLOOKUP(A154,'[1]TAB OGU JUN18'!$A:$G,6,"falso")</f>
        <v>2.46</v>
      </c>
      <c r="J154" s="323">
        <f>VLOOKUP(A154,'[1]TAB OGU JUN18'!$A:$G,4,"falso")</f>
        <v>2.34</v>
      </c>
      <c r="K154" s="308">
        <f>H154*J154</f>
        <v>2920.3199999999997</v>
      </c>
      <c r="L154" s="323">
        <f>VLOOKUP(A154,'[1]TAB OGU JUN18'!$A:$G,5,"falso")</f>
        <v>0.12</v>
      </c>
      <c r="M154" s="308">
        <f>H154*L154</f>
        <v>149.76</v>
      </c>
      <c r="N154" s="308">
        <f>H154*I154</f>
        <v>3070.08</v>
      </c>
      <c r="O154" s="297">
        <f>N154/N156</f>
        <v>1</v>
      </c>
    </row>
    <row r="155" spans="1:32" ht="12" customHeight="1" x14ac:dyDescent="0.2">
      <c r="A155" s="256"/>
      <c r="B155" s="138"/>
      <c r="C155" s="138"/>
      <c r="D155" s="138"/>
      <c r="E155" s="138"/>
      <c r="F155" s="138"/>
      <c r="G155" s="190"/>
      <c r="H155" s="189"/>
      <c r="I155" s="296"/>
      <c r="J155" s="311"/>
      <c r="K155" s="311"/>
      <c r="L155" s="370"/>
      <c r="M155" s="311"/>
      <c r="N155" s="189"/>
      <c r="O155" s="297"/>
    </row>
    <row r="156" spans="1:32" ht="12" customHeight="1" x14ac:dyDescent="0.2">
      <c r="A156" s="291"/>
      <c r="B156" s="142" t="s">
        <v>18</v>
      </c>
      <c r="C156" s="143"/>
      <c r="D156" s="143"/>
      <c r="E156" s="143"/>
      <c r="F156" s="143"/>
      <c r="G156" s="188"/>
      <c r="H156" s="335"/>
      <c r="I156" s="336"/>
      <c r="J156" s="336"/>
      <c r="K156" s="336"/>
      <c r="L156" s="336"/>
      <c r="M156" s="336"/>
      <c r="N156" s="189">
        <f>SUM(N154:N155)</f>
        <v>3070.08</v>
      </c>
      <c r="O156" s="297">
        <f>N156/N158</f>
        <v>1</v>
      </c>
    </row>
    <row r="157" spans="1:32" ht="12" customHeight="1" x14ac:dyDescent="0.2">
      <c r="A157" s="202"/>
      <c r="B157" s="138"/>
      <c r="C157" s="138"/>
      <c r="D157" s="138"/>
      <c r="E157" s="138"/>
      <c r="F157" s="138"/>
      <c r="G157" s="137"/>
      <c r="H157" s="333"/>
      <c r="I157" s="330"/>
      <c r="J157" s="311"/>
      <c r="K157" s="311"/>
      <c r="L157" s="370"/>
      <c r="M157" s="311"/>
      <c r="N157" s="189"/>
      <c r="O157" s="297"/>
    </row>
    <row r="158" spans="1:32" s="132" customFormat="1" ht="12" customHeight="1" x14ac:dyDescent="0.2">
      <c r="A158" s="203"/>
      <c r="B158" s="175" t="s">
        <v>20</v>
      </c>
      <c r="C158" s="176"/>
      <c r="D158" s="176"/>
      <c r="E158" s="176"/>
      <c r="F158" s="176"/>
      <c r="G158" s="191"/>
      <c r="H158" s="337"/>
      <c r="I158" s="338"/>
      <c r="J158" s="338"/>
      <c r="K158" s="338"/>
      <c r="L158" s="338"/>
      <c r="M158" s="338"/>
      <c r="N158" s="295">
        <f>N156</f>
        <v>3070.08</v>
      </c>
      <c r="O158" s="186">
        <f>N158/$N$160</f>
        <v>2.4811813651517786E-2</v>
      </c>
    </row>
    <row r="159" spans="1:32" ht="7.5" customHeight="1" x14ac:dyDescent="0.2">
      <c r="A159" s="202"/>
      <c r="B159" s="138"/>
      <c r="C159" s="138"/>
      <c r="D159" s="138"/>
      <c r="E159" s="138"/>
      <c r="F159" s="138"/>
      <c r="G159" s="137"/>
      <c r="H159" s="333"/>
      <c r="I159" s="330"/>
      <c r="J159" s="296"/>
      <c r="K159" s="339"/>
      <c r="L159" s="311"/>
      <c r="M159" s="311"/>
      <c r="N159" s="313"/>
      <c r="O159" s="219"/>
    </row>
    <row r="160" spans="1:32" ht="12" customHeight="1" x14ac:dyDescent="0.2">
      <c r="A160" s="206"/>
      <c r="B160" s="147" t="s">
        <v>30</v>
      </c>
      <c r="C160" s="146"/>
      <c r="D160" s="146"/>
      <c r="E160" s="146"/>
      <c r="F160" s="146"/>
      <c r="G160" s="146"/>
      <c r="H160" s="342"/>
      <c r="I160" s="345"/>
      <c r="J160" s="345"/>
      <c r="K160" s="285">
        <f>SUM(K14:K159)</f>
        <v>84291.456781434448</v>
      </c>
      <c r="L160" s="285"/>
      <c r="M160" s="285">
        <f>SUM(M14:M159)</f>
        <v>39564.279770078065</v>
      </c>
      <c r="N160" s="316">
        <f>N65+N57+N23+N150+N99+N135+N115+N158+N107</f>
        <v>123734.60655151249</v>
      </c>
      <c r="O160" s="29"/>
      <c r="P160" s="149"/>
    </row>
    <row r="161" spans="1:16" ht="7.5" customHeight="1" x14ac:dyDescent="0.2">
      <c r="H161" s="311"/>
      <c r="I161" s="311"/>
      <c r="J161" s="311"/>
      <c r="K161" s="311"/>
      <c r="L161" s="311"/>
      <c r="M161" s="311"/>
      <c r="N161" s="311"/>
      <c r="O161" s="219"/>
      <c r="P161" s="149"/>
    </row>
    <row r="162" spans="1:16" ht="12" customHeight="1" x14ac:dyDescent="0.2">
      <c r="A162" s="206"/>
      <c r="B162" s="147" t="s">
        <v>265</v>
      </c>
      <c r="C162" s="146"/>
      <c r="D162" s="146"/>
      <c r="E162" s="146"/>
      <c r="F162" s="146"/>
      <c r="G162" s="146"/>
      <c r="H162" s="342"/>
      <c r="I162" s="345"/>
      <c r="J162" s="345"/>
      <c r="K162" s="285">
        <f>K160+(K160*O5)</f>
        <v>107539.04056175407</v>
      </c>
      <c r="L162" s="285"/>
      <c r="M162" s="285">
        <f>M160+(M160*O7)</f>
        <v>46575.0701453359</v>
      </c>
      <c r="N162" s="316">
        <f>K162+M162</f>
        <v>154114.11070708997</v>
      </c>
      <c r="O162" s="29">
        <f>N162/RESUMO!H95</f>
        <v>2.1282116154423589E-2</v>
      </c>
      <c r="P162" s="149"/>
    </row>
    <row r="167" spans="1:16" s="150" customFormat="1" ht="12" customHeight="1" x14ac:dyDescent="0.2">
      <c r="A167" s="156"/>
      <c r="B167" s="51"/>
      <c r="C167" s="51"/>
      <c r="D167" s="51"/>
      <c r="E167" s="51"/>
      <c r="F167" s="51"/>
      <c r="G167" s="51"/>
      <c r="H167" s="51"/>
      <c r="I167" s="51"/>
      <c r="J167" s="51"/>
      <c r="K167" s="51"/>
      <c r="L167" s="51"/>
      <c r="M167" s="51"/>
      <c r="N167" s="51"/>
      <c r="O167" s="52"/>
    </row>
    <row r="168" spans="1:16" s="150" customFormat="1" ht="12" customHeight="1" x14ac:dyDescent="0.2">
      <c r="A168" s="156"/>
      <c r="B168" s="51"/>
      <c r="C168" s="51"/>
      <c r="D168" s="51"/>
      <c r="E168" s="51"/>
      <c r="F168" s="51"/>
      <c r="G168" s="51"/>
      <c r="H168" s="51"/>
      <c r="I168" s="51"/>
      <c r="J168" s="51"/>
      <c r="K168" s="51"/>
      <c r="L168" s="51"/>
      <c r="M168" s="51"/>
      <c r="N168" s="51"/>
      <c r="O168" s="52"/>
    </row>
  </sheetData>
  <mergeCells count="36">
    <mergeCell ref="B154:F154"/>
    <mergeCell ref="B146:F146"/>
    <mergeCell ref="B117:F117"/>
    <mergeCell ref="B118:F118"/>
    <mergeCell ref="B119:F119"/>
    <mergeCell ref="B120:F120"/>
    <mergeCell ref="B121:F121"/>
    <mergeCell ref="B130:F130"/>
    <mergeCell ref="B131:F131"/>
    <mergeCell ref="B134:F134"/>
    <mergeCell ref="B144:F144"/>
    <mergeCell ref="B125:F125"/>
    <mergeCell ref="B126:F126"/>
    <mergeCell ref="B109:F109"/>
    <mergeCell ref="B110:F110"/>
    <mergeCell ref="B90:F90"/>
    <mergeCell ref="B68:F68"/>
    <mergeCell ref="B101:F101"/>
    <mergeCell ref="B102:F102"/>
    <mergeCell ref="B103:F103"/>
    <mergeCell ref="S141:W141"/>
    <mergeCell ref="B137:F137"/>
    <mergeCell ref="B26:F26"/>
    <mergeCell ref="A2:O2"/>
    <mergeCell ref="N4:O4"/>
    <mergeCell ref="A5:B6"/>
    <mergeCell ref="B14:F14"/>
    <mergeCell ref="B111:F111"/>
    <mergeCell ref="B42:F42"/>
    <mergeCell ref="B43:F43"/>
    <mergeCell ref="B67:F67"/>
    <mergeCell ref="B88:F88"/>
    <mergeCell ref="B89:F89"/>
    <mergeCell ref="B94:F94"/>
    <mergeCell ref="B95:F95"/>
    <mergeCell ref="B98:F98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rowBreaks count="1" manualBreakCount="1">
    <brk id="24" max="16383" man="1"/>
  </rowBreaks>
  <legacyDrawingHF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Planilha17">
    <tabColor theme="6" tint="0.39997558519241921"/>
    <pageSetUpPr fitToPage="1"/>
  </sheetPr>
  <dimension ref="A1:P54"/>
  <sheetViews>
    <sheetView view="pageBreakPreview" zoomScale="90" zoomScaleNormal="90" zoomScaleSheetLayoutView="90" workbookViewId="0">
      <selection activeCell="Q51" sqref="Q51"/>
    </sheetView>
  </sheetViews>
  <sheetFormatPr defaultColWidth="11.42578125" defaultRowHeight="12.75" customHeight="1" x14ac:dyDescent="0.2"/>
  <cols>
    <col min="1" max="5" width="11.42578125" style="51" customWidth="1"/>
    <col min="6" max="6" width="28.5703125" style="51" customWidth="1"/>
    <col min="7" max="7" width="11.42578125" style="51" customWidth="1"/>
    <col min="8" max="8" width="11.42578125" style="52" customWidth="1"/>
    <col min="9" max="9" width="11.42578125" style="51" customWidth="1"/>
    <col min="10" max="10" width="5.42578125" style="51" hidden="1" customWidth="1"/>
    <col min="11" max="11" width="14.28515625" style="51" customWidth="1"/>
    <col min="12" max="12" width="8.7109375" style="51" hidden="1" customWidth="1"/>
    <col min="13" max="13" width="14.28515625" style="51" customWidth="1"/>
    <col min="14" max="14" width="17.140625" style="51" customWidth="1"/>
    <col min="15" max="15" width="11.42578125" style="52" customWidth="1"/>
    <col min="16" max="16384" width="11.42578125" style="51"/>
  </cols>
  <sheetData>
    <row r="1" spans="1:15" ht="8.25" customHeight="1" x14ac:dyDescent="0.2"/>
    <row r="2" spans="1:15" ht="12.75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5" ht="8.25" customHeight="1" thickBot="1" x14ac:dyDescent="0.25">
      <c r="A3" s="123"/>
      <c r="B3" s="123"/>
      <c r="C3" s="123"/>
      <c r="D3" s="123"/>
      <c r="E3" s="123"/>
      <c r="F3" s="123"/>
      <c r="G3" s="123"/>
      <c r="H3" s="195"/>
      <c r="I3" s="123"/>
      <c r="J3" s="123"/>
      <c r="K3" s="123"/>
      <c r="L3" s="123"/>
      <c r="M3" s="123"/>
      <c r="N3" s="123"/>
      <c r="O3" s="195"/>
    </row>
    <row r="4" spans="1:15" ht="12.75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H4" s="51"/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5" ht="12.75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H5" s="51"/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5" ht="12.75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H6" s="51"/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5" ht="12.75" customHeight="1" x14ac:dyDescent="0.2">
      <c r="A7" s="253"/>
      <c r="B7" s="253"/>
      <c r="C7" s="260" t="s">
        <v>6</v>
      </c>
      <c r="D7" s="263" t="str">
        <f>RESUMO!A47</f>
        <v>U.C. : 13</v>
      </c>
      <c r="E7" s="258"/>
      <c r="F7" s="258"/>
      <c r="G7" s="260" t="s">
        <v>9</v>
      </c>
      <c r="H7" s="51"/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5" ht="12.75" customHeight="1" thickBot="1" x14ac:dyDescent="0.25">
      <c r="A8" s="124"/>
      <c r="B8" s="125"/>
      <c r="C8" s="266" t="s">
        <v>8</v>
      </c>
      <c r="D8" s="267" t="str">
        <f>RESUMO!B47</f>
        <v>ESTAÇÃO DE TRATAMENTO DE ESGOTO - ETE</v>
      </c>
      <c r="E8" s="268"/>
      <c r="F8" s="268"/>
      <c r="G8" s="266"/>
      <c r="H8" s="123"/>
      <c r="I8" s="278"/>
      <c r="J8" s="278"/>
      <c r="K8" s="278"/>
      <c r="L8" s="278"/>
      <c r="M8" s="278" t="s">
        <v>654</v>
      </c>
      <c r="N8" s="271"/>
      <c r="O8" s="427"/>
    </row>
    <row r="9" spans="1:15" ht="12.75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5" ht="8.25" customHeight="1" x14ac:dyDescent="0.2">
      <c r="O10" s="19"/>
    </row>
    <row r="11" spans="1:15" ht="12.75" customHeight="1" x14ac:dyDescent="0.2">
      <c r="A11" s="93">
        <f>[3]RESUMO!A42</f>
        <v>13</v>
      </c>
      <c r="B11" s="93" t="str">
        <f>[3]RESUMO!B42</f>
        <v>LAGOAS ANAERÓBIAS 1 E 2 - MATERIAIS</v>
      </c>
      <c r="H11" s="704"/>
      <c r="O11" s="19"/>
    </row>
    <row r="12" spans="1:15" ht="12.75" hidden="1" customHeight="1" x14ac:dyDescent="0.2">
      <c r="A12" s="182">
        <v>24</v>
      </c>
      <c r="B12" s="837" t="s">
        <v>563</v>
      </c>
      <c r="C12" s="837"/>
      <c r="D12" s="837"/>
      <c r="E12" s="837"/>
      <c r="F12" s="837"/>
      <c r="G12" s="137"/>
      <c r="H12" s="640"/>
      <c r="I12" s="137"/>
      <c r="N12" s="317"/>
      <c r="O12" s="68"/>
    </row>
    <row r="13" spans="1:15" ht="12.75" hidden="1" customHeight="1" x14ac:dyDescent="0.2">
      <c r="A13" s="182">
        <v>2405</v>
      </c>
      <c r="B13" s="142" t="s">
        <v>34</v>
      </c>
      <c r="C13" s="153"/>
      <c r="D13" s="153"/>
      <c r="E13" s="153"/>
      <c r="F13" s="153"/>
      <c r="G13" s="162"/>
      <c r="H13" s="640"/>
      <c r="I13" s="137"/>
      <c r="N13" s="317"/>
      <c r="O13" s="68"/>
    </row>
    <row r="14" spans="1:15" ht="12.75" hidden="1" customHeight="1" x14ac:dyDescent="0.2">
      <c r="A14" s="140" t="s">
        <v>490</v>
      </c>
      <c r="B14" s="200" t="s">
        <v>564</v>
      </c>
      <c r="C14" s="153"/>
      <c r="D14" s="153"/>
      <c r="E14" s="153"/>
      <c r="F14" s="153"/>
      <c r="G14" s="139" t="s">
        <v>24</v>
      </c>
      <c r="H14" s="189">
        <v>0</v>
      </c>
      <c r="I14" s="323">
        <f>VLOOKUP(A14,'[1]TAB OGU JUN18'!$A:$G,6,"falso")</f>
        <v>1.33</v>
      </c>
      <c r="J14" s="314"/>
      <c r="K14" s="314"/>
      <c r="L14" s="323">
        <f>VLOOKUP(A14,'[1]TAB OGU JUN18'!$A:$G,5,"falso")</f>
        <v>1.33</v>
      </c>
      <c r="M14" s="308">
        <f>H14*L14</f>
        <v>0</v>
      </c>
      <c r="N14" s="296">
        <f>H14*I14</f>
        <v>0</v>
      </c>
      <c r="O14" s="214" t="e">
        <f>N14/$N$17</f>
        <v>#DIV/0!</v>
      </c>
    </row>
    <row r="15" spans="1:15" ht="12.75" hidden="1" customHeight="1" x14ac:dyDescent="0.2">
      <c r="A15" s="140" t="s">
        <v>491</v>
      </c>
      <c r="B15" s="200" t="s">
        <v>565</v>
      </c>
      <c r="C15" s="153"/>
      <c r="D15" s="153"/>
      <c r="E15" s="153"/>
      <c r="F15" s="153"/>
      <c r="G15" s="139" t="s">
        <v>24</v>
      </c>
      <c r="H15" s="189">
        <v>0</v>
      </c>
      <c r="I15" s="323">
        <f>VLOOKUP(A15,'[1]TAB OGU JUN18'!$A:$G,6,"falso")</f>
        <v>1.67</v>
      </c>
      <c r="J15" s="314"/>
      <c r="K15" s="314"/>
      <c r="L15" s="323">
        <f>VLOOKUP(A15,'[1]TAB OGU JUN18'!$A:$G,5,"falso")</f>
        <v>1.67</v>
      </c>
      <c r="M15" s="308">
        <f>H15*L15</f>
        <v>0</v>
      </c>
      <c r="N15" s="296">
        <f>H15*I15</f>
        <v>0</v>
      </c>
      <c r="O15" s="214" t="e">
        <f>N15/$N$17</f>
        <v>#DIV/0!</v>
      </c>
    </row>
    <row r="16" spans="1:15" ht="12.75" hidden="1" customHeight="1" x14ac:dyDescent="0.2">
      <c r="A16" s="182"/>
      <c r="B16" s="138"/>
      <c r="C16" s="138"/>
      <c r="D16" s="138"/>
      <c r="E16" s="138"/>
      <c r="F16" s="138"/>
      <c r="G16" s="139"/>
      <c r="H16" s="189"/>
      <c r="I16" s="296"/>
      <c r="J16" s="311"/>
      <c r="K16" s="311"/>
      <c r="L16" s="311"/>
      <c r="M16" s="311"/>
      <c r="N16" s="296"/>
      <c r="O16" s="234"/>
    </row>
    <row r="17" spans="1:16" ht="12.75" hidden="1" customHeight="1" x14ac:dyDescent="0.2">
      <c r="A17" s="137"/>
      <c r="B17" s="142" t="s">
        <v>18</v>
      </c>
      <c r="C17" s="143"/>
      <c r="D17" s="143"/>
      <c r="E17" s="143"/>
      <c r="F17" s="143"/>
      <c r="G17" s="173"/>
      <c r="H17" s="663"/>
      <c r="I17" s="336"/>
      <c r="J17" s="336"/>
      <c r="K17" s="336"/>
      <c r="L17" s="336"/>
      <c r="M17" s="336"/>
      <c r="N17" s="296">
        <f>SUM(N14:N16)</f>
        <v>0</v>
      </c>
      <c r="O17" s="234" t="e">
        <f>N17/$N$24</f>
        <v>#DIV/0!</v>
      </c>
    </row>
    <row r="18" spans="1:16" s="150" customFormat="1" ht="12.75" hidden="1" customHeight="1" x14ac:dyDescent="0.2">
      <c r="A18" s="137"/>
      <c r="B18" s="138"/>
      <c r="C18" s="138"/>
      <c r="D18" s="138"/>
      <c r="E18" s="138"/>
      <c r="F18" s="138"/>
      <c r="G18" s="162"/>
      <c r="H18" s="641"/>
      <c r="I18" s="330"/>
      <c r="J18" s="370"/>
      <c r="K18" s="370"/>
      <c r="L18" s="370"/>
      <c r="M18" s="370"/>
      <c r="N18" s="296"/>
      <c r="O18" s="234"/>
    </row>
    <row r="19" spans="1:16" ht="12.75" hidden="1" customHeight="1" x14ac:dyDescent="0.2">
      <c r="A19" s="182">
        <v>2411</v>
      </c>
      <c r="B19" s="142" t="s">
        <v>36</v>
      </c>
      <c r="C19" s="153"/>
      <c r="D19" s="153"/>
      <c r="E19" s="153"/>
      <c r="F19" s="153"/>
      <c r="G19" s="162"/>
      <c r="H19" s="641"/>
      <c r="I19" s="330"/>
      <c r="J19" s="311"/>
      <c r="K19" s="311"/>
      <c r="L19" s="311"/>
      <c r="M19" s="311"/>
      <c r="N19" s="330"/>
      <c r="O19" s="68"/>
    </row>
    <row r="20" spans="1:16" ht="12.75" hidden="1" customHeight="1" x14ac:dyDescent="0.2">
      <c r="A20" s="140" t="s">
        <v>499</v>
      </c>
      <c r="B20" s="200" t="s">
        <v>511</v>
      </c>
      <c r="C20" s="153"/>
      <c r="D20" s="153"/>
      <c r="E20" s="153"/>
      <c r="F20" s="153"/>
      <c r="G20" s="139" t="s">
        <v>24</v>
      </c>
      <c r="H20" s="189">
        <v>0</v>
      </c>
      <c r="I20" s="323">
        <f>VLOOKUP(A20,'[1]TAB OGU JUN18'!$A:$G,6,"falso")</f>
        <v>2.19</v>
      </c>
      <c r="J20" s="314"/>
      <c r="K20" s="314"/>
      <c r="L20" s="323">
        <f>VLOOKUP(A20,'[1]TAB OGU JUN18'!$A:$G,5,"falso")</f>
        <v>2.19</v>
      </c>
      <c r="M20" s="308">
        <f t="shared" ref="M20" si="0">H20*L20</f>
        <v>0</v>
      </c>
      <c r="N20" s="296">
        <f t="shared" ref="N20" si="1">H20*I20</f>
        <v>0</v>
      </c>
      <c r="O20" s="214" t="e">
        <f>N20/N22</f>
        <v>#DIV/0!</v>
      </c>
    </row>
    <row r="21" spans="1:16" ht="12.75" hidden="1" customHeight="1" x14ac:dyDescent="0.2">
      <c r="A21" s="182"/>
      <c r="B21" s="138"/>
      <c r="C21" s="138"/>
      <c r="D21" s="138"/>
      <c r="E21" s="138"/>
      <c r="F21" s="138"/>
      <c r="G21" s="139"/>
      <c r="H21" s="189"/>
      <c r="I21" s="296"/>
      <c r="J21" s="311"/>
      <c r="K21" s="311"/>
      <c r="L21" s="311"/>
      <c r="M21" s="311"/>
      <c r="N21" s="296"/>
      <c r="O21" s="234"/>
    </row>
    <row r="22" spans="1:16" ht="12.75" hidden="1" customHeight="1" x14ac:dyDescent="0.2">
      <c r="A22" s="137"/>
      <c r="B22" s="142" t="s">
        <v>18</v>
      </c>
      <c r="C22" s="143"/>
      <c r="D22" s="143"/>
      <c r="E22" s="143"/>
      <c r="F22" s="143"/>
      <c r="G22" s="173"/>
      <c r="H22" s="663"/>
      <c r="I22" s="336"/>
      <c r="J22" s="336"/>
      <c r="K22" s="336"/>
      <c r="L22" s="336"/>
      <c r="M22" s="336"/>
      <c r="N22" s="296">
        <f>SUM(N20:N21)</f>
        <v>0</v>
      </c>
      <c r="O22" s="234" t="e">
        <f>N22/$N$24</f>
        <v>#DIV/0!</v>
      </c>
    </row>
    <row r="23" spans="1:16" s="150" customFormat="1" ht="12.75" hidden="1" customHeight="1" x14ac:dyDescent="0.2">
      <c r="A23" s="137"/>
      <c r="B23" s="138"/>
      <c r="C23" s="138"/>
      <c r="D23" s="138"/>
      <c r="E23" s="138"/>
      <c r="F23" s="138"/>
      <c r="G23" s="162"/>
      <c r="H23" s="641"/>
      <c r="I23" s="330"/>
      <c r="J23" s="370"/>
      <c r="K23" s="370"/>
      <c r="L23" s="370"/>
      <c r="M23" s="370"/>
      <c r="N23" s="296"/>
      <c r="O23" s="234"/>
    </row>
    <row r="24" spans="1:16" s="132" customFormat="1" ht="12.75" hidden="1" customHeight="1" x14ac:dyDescent="0.2">
      <c r="A24" s="318"/>
      <c r="B24" s="175" t="s">
        <v>20</v>
      </c>
      <c r="C24" s="176"/>
      <c r="D24" s="176"/>
      <c r="E24" s="176"/>
      <c r="F24" s="176"/>
      <c r="G24" s="178"/>
      <c r="H24" s="666"/>
      <c r="I24" s="338"/>
      <c r="J24" s="338"/>
      <c r="K24" s="338"/>
      <c r="L24" s="338"/>
      <c r="M24" s="338"/>
      <c r="N24" s="373">
        <f>N17+N22</f>
        <v>0</v>
      </c>
      <c r="O24" s="235">
        <f>N24/$N$39</f>
        <v>0</v>
      </c>
    </row>
    <row r="25" spans="1:16" s="132" customFormat="1" ht="12.75" hidden="1" customHeight="1" x14ac:dyDescent="0.2">
      <c r="A25" s="318"/>
      <c r="B25" s="175"/>
      <c r="C25" s="175"/>
      <c r="D25" s="175"/>
      <c r="E25" s="175"/>
      <c r="F25" s="175"/>
      <c r="G25" s="425"/>
      <c r="H25" s="669"/>
      <c r="I25" s="372"/>
      <c r="J25" s="372"/>
      <c r="K25" s="372"/>
      <c r="L25" s="372"/>
      <c r="M25" s="372"/>
      <c r="N25" s="373"/>
      <c r="O25" s="235"/>
    </row>
    <row r="26" spans="1:16" ht="12.75" customHeight="1" x14ac:dyDescent="0.2">
      <c r="A26" s="182"/>
      <c r="B26" s="837" t="s">
        <v>556</v>
      </c>
      <c r="C26" s="837"/>
      <c r="D26" s="837"/>
      <c r="E26" s="837"/>
      <c r="F26" s="837"/>
      <c r="G26" s="162"/>
      <c r="H26" s="640"/>
      <c r="I26" s="137"/>
      <c r="N26" s="317"/>
      <c r="O26" s="68"/>
    </row>
    <row r="27" spans="1:16" ht="12.75" customHeight="1" x14ac:dyDescent="0.2">
      <c r="A27" s="182"/>
      <c r="B27" s="142" t="s">
        <v>557</v>
      </c>
      <c r="C27" s="153"/>
      <c r="D27" s="153"/>
      <c r="E27" s="153"/>
      <c r="F27" s="153"/>
      <c r="G27" s="162"/>
      <c r="H27" s="641"/>
      <c r="I27" s="330"/>
      <c r="J27" s="311"/>
      <c r="K27" s="311"/>
      <c r="L27" s="311"/>
      <c r="M27" s="311"/>
      <c r="N27" s="330"/>
      <c r="O27" s="68"/>
    </row>
    <row r="28" spans="1:16" ht="12.75" customHeight="1" x14ac:dyDescent="0.2">
      <c r="A28" s="140" t="s">
        <v>545</v>
      </c>
      <c r="B28" s="711" t="str">
        <f>'23'!B131:F131</f>
        <v>Geomembrana PEAD espessura de 1,00 mm texturizada</v>
      </c>
      <c r="C28" s="153"/>
      <c r="D28" s="153"/>
      <c r="E28" s="153"/>
      <c r="F28" s="153"/>
      <c r="G28" s="139" t="s">
        <v>31</v>
      </c>
      <c r="H28" s="189">
        <f>'23'!H14*1.1</f>
        <v>1372.8000000000002</v>
      </c>
      <c r="I28" s="323">
        <v>12.4237</v>
      </c>
      <c r="J28" s="314"/>
      <c r="K28" s="314"/>
      <c r="L28" s="323">
        <v>15</v>
      </c>
      <c r="M28" s="308">
        <f>H28*I28</f>
        <v>17055.255360000003</v>
      </c>
      <c r="N28" s="296">
        <f t="shared" ref="N28:N33" si="2">H28*I28</f>
        <v>17055.255360000003</v>
      </c>
      <c r="O28" s="214">
        <f>N28/$N$35</f>
        <v>0.42844714878301166</v>
      </c>
    </row>
    <row r="29" spans="1:16" ht="12.75" customHeight="1" x14ac:dyDescent="0.2">
      <c r="A29" s="140" t="s">
        <v>545</v>
      </c>
      <c r="B29" s="711" t="s">
        <v>1432</v>
      </c>
      <c r="C29" s="153"/>
      <c r="D29" s="153"/>
      <c r="E29" s="153"/>
      <c r="F29" s="153"/>
      <c r="G29" s="139" t="s">
        <v>31</v>
      </c>
      <c r="H29" s="189">
        <f>'23'!H145</f>
        <v>404.2</v>
      </c>
      <c r="I29" s="323">
        <v>20.65</v>
      </c>
      <c r="J29" s="314"/>
      <c r="K29" s="314"/>
      <c r="L29" s="323">
        <v>20.65</v>
      </c>
      <c r="M29" s="308">
        <f t="shared" ref="M29:M33" si="3">H29*I29</f>
        <v>8346.73</v>
      </c>
      <c r="N29" s="296">
        <f t="shared" si="2"/>
        <v>8346.73</v>
      </c>
      <c r="O29" s="214">
        <f>N29/$N$35</f>
        <v>0.20967922172240205</v>
      </c>
    </row>
    <row r="30" spans="1:16" ht="12.75" customHeight="1" x14ac:dyDescent="0.2">
      <c r="A30" s="140" t="s">
        <v>545</v>
      </c>
      <c r="B30" s="426" t="s">
        <v>914</v>
      </c>
      <c r="C30" s="153"/>
      <c r="D30" s="153"/>
      <c r="E30" s="153"/>
      <c r="F30" s="153"/>
      <c r="G30" s="139" t="s">
        <v>24</v>
      </c>
      <c r="H30" s="189">
        <v>18</v>
      </c>
      <c r="I30" s="323">
        <v>235</v>
      </c>
      <c r="J30" s="314"/>
      <c r="K30" s="314"/>
      <c r="L30" s="323">
        <v>235</v>
      </c>
      <c r="M30" s="308">
        <f t="shared" si="3"/>
        <v>4230</v>
      </c>
      <c r="N30" s="296">
        <f t="shared" si="2"/>
        <v>4230</v>
      </c>
      <c r="O30" s="214">
        <f>N30/$N$35</f>
        <v>0.10626234559950552</v>
      </c>
    </row>
    <row r="31" spans="1:16" ht="12.75" customHeight="1" x14ac:dyDescent="0.2">
      <c r="A31" s="140" t="s">
        <v>545</v>
      </c>
      <c r="B31" s="426" t="s">
        <v>915</v>
      </c>
      <c r="C31" s="153"/>
      <c r="D31" s="153"/>
      <c r="E31" s="153"/>
      <c r="F31" s="153"/>
      <c r="G31" s="139" t="s">
        <v>31</v>
      </c>
      <c r="H31" s="189">
        <v>1.04</v>
      </c>
      <c r="I31" s="323">
        <v>8785.85</v>
      </c>
      <c r="J31" s="314"/>
      <c r="K31" s="314"/>
      <c r="L31" s="323">
        <v>8785.85</v>
      </c>
      <c r="M31" s="308">
        <f t="shared" si="3"/>
        <v>9137.2840000000015</v>
      </c>
      <c r="N31" s="296">
        <f t="shared" si="2"/>
        <v>9137.2840000000015</v>
      </c>
      <c r="O31" s="214">
        <f>N31/$N$35</f>
        <v>0.22953882511792728</v>
      </c>
    </row>
    <row r="32" spans="1:16" ht="12.75" customHeight="1" x14ac:dyDescent="0.2">
      <c r="A32" s="140" t="s">
        <v>545</v>
      </c>
      <c r="B32" s="426" t="s">
        <v>916</v>
      </c>
      <c r="C32" s="426"/>
      <c r="D32" s="426"/>
      <c r="E32" s="426"/>
      <c r="F32" s="426"/>
      <c r="G32" s="139" t="s">
        <v>31</v>
      </c>
      <c r="H32" s="189">
        <v>2.7549999999999999</v>
      </c>
      <c r="I32" s="323">
        <v>350</v>
      </c>
      <c r="J32" s="314"/>
      <c r="K32" s="314"/>
      <c r="L32" s="323">
        <v>350</v>
      </c>
      <c r="M32" s="308">
        <f t="shared" si="3"/>
        <v>964.25</v>
      </c>
      <c r="N32" s="296">
        <f t="shared" si="2"/>
        <v>964.25</v>
      </c>
      <c r="O32" s="214">
        <f>N32/$N$35</f>
        <v>2.4223041783527945E-2</v>
      </c>
      <c r="P32" s="51">
        <v>25888</v>
      </c>
    </row>
    <row r="33" spans="1:16" ht="12.75" customHeight="1" x14ac:dyDescent="0.2">
      <c r="A33" s="140" t="s">
        <v>1399</v>
      </c>
      <c r="B33" s="426" t="s">
        <v>917</v>
      </c>
      <c r="C33" s="153"/>
      <c r="D33" s="153"/>
      <c r="E33" s="153"/>
      <c r="F33" s="153"/>
      <c r="G33" s="139" t="s">
        <v>31</v>
      </c>
      <c r="H33" s="189">
        <v>1.5</v>
      </c>
      <c r="I33" s="323">
        <v>49.08</v>
      </c>
      <c r="J33" s="314"/>
      <c r="K33" s="314"/>
      <c r="L33" s="323">
        <v>250</v>
      </c>
      <c r="M33" s="308">
        <f t="shared" si="3"/>
        <v>73.62</v>
      </c>
      <c r="N33" s="296">
        <f t="shared" si="2"/>
        <v>73.62</v>
      </c>
      <c r="O33" s="214">
        <f t="shared" ref="O33" si="4">N33/$N$35</f>
        <v>1.8494169936254367E-3</v>
      </c>
    </row>
    <row r="34" spans="1:16" ht="12.75" customHeight="1" x14ac:dyDescent="0.2">
      <c r="A34" s="182"/>
      <c r="B34" s="138"/>
      <c r="C34" s="138"/>
      <c r="D34" s="138"/>
      <c r="E34" s="138"/>
      <c r="F34" s="138"/>
      <c r="G34" s="139"/>
      <c r="H34" s="189"/>
      <c r="I34" s="296"/>
      <c r="J34" s="311"/>
      <c r="K34" s="311"/>
      <c r="L34" s="311"/>
      <c r="M34" s="311"/>
      <c r="N34" s="296"/>
      <c r="O34" s="234"/>
    </row>
    <row r="35" spans="1:16" ht="12.75" customHeight="1" x14ac:dyDescent="0.2">
      <c r="A35" s="137"/>
      <c r="B35" s="142" t="s">
        <v>18</v>
      </c>
      <c r="C35" s="143"/>
      <c r="D35" s="143"/>
      <c r="E35" s="143"/>
      <c r="F35" s="143"/>
      <c r="G35" s="173"/>
      <c r="H35" s="335"/>
      <c r="I35" s="336"/>
      <c r="J35" s="336"/>
      <c r="K35" s="336"/>
      <c r="L35" s="336"/>
      <c r="M35" s="336"/>
      <c r="N35" s="296">
        <f>SUM(N28:N34)</f>
        <v>39807.139360000008</v>
      </c>
      <c r="O35" s="234">
        <f>N35/N37</f>
        <v>1</v>
      </c>
    </row>
    <row r="36" spans="1:16" s="150" customFormat="1" ht="12.75" customHeight="1" x14ac:dyDescent="0.2">
      <c r="A36" s="137"/>
      <c r="B36" s="138"/>
      <c r="C36" s="138"/>
      <c r="D36" s="138"/>
      <c r="E36" s="138"/>
      <c r="F36" s="138"/>
      <c r="G36" s="137"/>
      <c r="H36" s="333"/>
      <c r="I36" s="330"/>
      <c r="J36" s="370"/>
      <c r="K36" s="370"/>
      <c r="L36" s="370"/>
      <c r="M36" s="370"/>
      <c r="N36" s="296"/>
      <c r="O36" s="234"/>
    </row>
    <row r="37" spans="1:16" s="132" customFormat="1" ht="12.75" customHeight="1" x14ac:dyDescent="0.2">
      <c r="A37" s="318"/>
      <c r="B37" s="175" t="s">
        <v>20</v>
      </c>
      <c r="C37" s="176"/>
      <c r="D37" s="176"/>
      <c r="E37" s="176"/>
      <c r="F37" s="176"/>
      <c r="G37" s="191"/>
      <c r="H37" s="337"/>
      <c r="I37" s="338"/>
      <c r="J37" s="338"/>
      <c r="K37" s="338"/>
      <c r="L37" s="338"/>
      <c r="M37" s="338"/>
      <c r="N37" s="373">
        <f>N35</f>
        <v>39807.139360000008</v>
      </c>
      <c r="O37" s="235">
        <f>N37/$N$39</f>
        <v>1</v>
      </c>
    </row>
    <row r="38" spans="1:16" ht="8.25" customHeight="1" x14ac:dyDescent="0.2">
      <c r="G38" s="52"/>
      <c r="H38" s="313"/>
      <c r="I38" s="313"/>
      <c r="J38" s="313"/>
      <c r="K38" s="313"/>
      <c r="L38" s="313"/>
      <c r="M38" s="313"/>
      <c r="N38" s="313"/>
      <c r="O38" s="187"/>
    </row>
    <row r="39" spans="1:16" ht="12.75" customHeight="1" x14ac:dyDescent="0.2">
      <c r="A39" s="146"/>
      <c r="B39" s="147" t="s">
        <v>30</v>
      </c>
      <c r="C39" s="146"/>
      <c r="D39" s="146"/>
      <c r="E39" s="146"/>
      <c r="F39" s="146"/>
      <c r="G39" s="146"/>
      <c r="H39" s="350"/>
      <c r="I39" s="345"/>
      <c r="J39" s="345"/>
      <c r="K39" s="345"/>
      <c r="L39" s="345"/>
      <c r="M39" s="275">
        <f>SUM(M12:M38)</f>
        <v>39807.139360000008</v>
      </c>
      <c r="N39" s="316">
        <f>N24+N37</f>
        <v>39807.139360000008</v>
      </c>
      <c r="O39" s="29"/>
      <c r="P39" s="149"/>
    </row>
    <row r="40" spans="1:16" ht="8.25" customHeight="1" x14ac:dyDescent="0.2">
      <c r="H40" s="313"/>
      <c r="I40" s="311"/>
      <c r="J40" s="311"/>
      <c r="K40" s="311"/>
      <c r="L40" s="311"/>
      <c r="M40" s="311"/>
      <c r="N40" s="311"/>
      <c r="O40" s="219"/>
      <c r="P40" s="149"/>
    </row>
    <row r="41" spans="1:16" ht="12.75" customHeight="1" x14ac:dyDescent="0.2">
      <c r="A41" s="146"/>
      <c r="B41" s="147" t="s">
        <v>265</v>
      </c>
      <c r="C41" s="146"/>
      <c r="D41" s="146"/>
      <c r="E41" s="146"/>
      <c r="F41" s="146"/>
      <c r="G41" s="146"/>
      <c r="H41" s="350"/>
      <c r="I41" s="345"/>
      <c r="J41" s="345"/>
      <c r="K41" s="345"/>
      <c r="L41" s="345"/>
      <c r="M41" s="275">
        <f>M39+(M39*O7)</f>
        <v>46860.964454592009</v>
      </c>
      <c r="N41" s="316">
        <f>M41</f>
        <v>46860.964454592009</v>
      </c>
      <c r="O41" s="29">
        <f>N41/RESUMO!H95</f>
        <v>6.4711821912687558E-3</v>
      </c>
      <c r="P41" s="149"/>
    </row>
    <row r="53" spans="1:15" ht="12.75" customHeight="1" x14ac:dyDescent="0.2">
      <c r="A53" s="150"/>
      <c r="B53" s="150"/>
      <c r="C53" s="150"/>
      <c r="D53" s="150"/>
      <c r="E53" s="150"/>
      <c r="F53" s="150"/>
      <c r="G53" s="150"/>
      <c r="H53" s="209"/>
      <c r="I53" s="150"/>
      <c r="J53" s="150"/>
      <c r="K53" s="150"/>
      <c r="L53" s="150"/>
      <c r="M53" s="150"/>
      <c r="N53" s="211"/>
      <c r="O53" s="210"/>
    </row>
    <row r="54" spans="1:15" ht="12.75" customHeight="1" x14ac:dyDescent="0.2">
      <c r="A54" s="88"/>
      <c r="C54" s="184"/>
      <c r="D54" s="184"/>
      <c r="E54" s="184"/>
      <c r="F54" s="184"/>
      <c r="G54" s="184"/>
      <c r="H54" s="212"/>
      <c r="I54" s="184"/>
      <c r="J54" s="184"/>
      <c r="K54" s="184"/>
      <c r="L54" s="184"/>
      <c r="M54" s="184"/>
      <c r="N54" s="184"/>
      <c r="O54" s="437"/>
    </row>
  </sheetData>
  <mergeCells count="5">
    <mergeCell ref="A2:O2"/>
    <mergeCell ref="N4:O4"/>
    <mergeCell ref="A5:B6"/>
    <mergeCell ref="B12:F12"/>
    <mergeCell ref="B26:F26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legacyDrawingHF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Planilha18">
    <tabColor theme="6" tint="0.39997558519241921"/>
    <pageSetUpPr fitToPage="1"/>
  </sheetPr>
  <dimension ref="A1:AI159"/>
  <sheetViews>
    <sheetView view="pageBreakPreview" topLeftCell="A82" zoomScale="80" zoomScaleNormal="90" zoomScaleSheetLayoutView="80" workbookViewId="0">
      <selection activeCell="F113" sqref="F113"/>
    </sheetView>
  </sheetViews>
  <sheetFormatPr defaultColWidth="11.42578125" defaultRowHeight="12" customHeight="1" x14ac:dyDescent="0.2"/>
  <cols>
    <col min="1" max="1" width="11.42578125" style="156"/>
    <col min="2" max="5" width="11.42578125" style="51"/>
    <col min="6" max="6" width="28.5703125" style="51" customWidth="1"/>
    <col min="7" max="7" width="11.42578125" style="51"/>
    <col min="8" max="9" width="11.42578125" style="51" customWidth="1"/>
    <col min="10" max="10" width="7.85546875" style="51" hidden="1" customWidth="1"/>
    <col min="11" max="11" width="14.28515625" style="51" customWidth="1"/>
    <col min="12" max="12" width="7.85546875" style="51" hidden="1" customWidth="1"/>
    <col min="13" max="13" width="14.28515625" style="51" customWidth="1"/>
    <col min="14" max="14" width="17.140625" style="51" customWidth="1"/>
    <col min="15" max="15" width="11.42578125" style="52" customWidth="1"/>
    <col min="16" max="16384" width="11.42578125" style="51"/>
  </cols>
  <sheetData>
    <row r="1" spans="1:15" ht="7.5" customHeight="1" x14ac:dyDescent="0.2"/>
    <row r="2" spans="1:15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5" ht="7.5" customHeight="1" thickBot="1" x14ac:dyDescent="0.25">
      <c r="A3" s="194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95"/>
    </row>
    <row r="4" spans="1:15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5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5" ht="12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5" ht="12" customHeight="1" x14ac:dyDescent="0.2">
      <c r="A7" s="196"/>
      <c r="B7" s="253"/>
      <c r="C7" s="260" t="s">
        <v>6</v>
      </c>
      <c r="D7" s="263" t="str">
        <f>RESUMO!A47</f>
        <v>U.C. : 13</v>
      </c>
      <c r="E7" s="258"/>
      <c r="F7" s="258"/>
      <c r="G7" s="260" t="s">
        <v>9</v>
      </c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5" ht="12" customHeight="1" thickBot="1" x14ac:dyDescent="0.25">
      <c r="A8" s="197"/>
      <c r="B8" s="125"/>
      <c r="C8" s="266" t="s">
        <v>8</v>
      </c>
      <c r="D8" s="267" t="str">
        <f>RESUMO!B47</f>
        <v>ESTAÇÃO DE TRATAMENTO DE ESGOTO - ETE</v>
      </c>
      <c r="E8" s="268"/>
      <c r="F8" s="268"/>
      <c r="G8" s="266"/>
      <c r="H8" s="123"/>
      <c r="I8" s="278"/>
      <c r="J8" s="278"/>
      <c r="K8" s="278"/>
      <c r="L8" s="278"/>
      <c r="M8" s="278" t="s">
        <v>774</v>
      </c>
      <c r="N8" s="271"/>
      <c r="O8" s="427"/>
    </row>
    <row r="9" spans="1:15" ht="12" customHeight="1" thickTop="1" x14ac:dyDescent="0.2">
      <c r="A9" s="198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5" ht="7.5" customHeight="1" x14ac:dyDescent="0.2">
      <c r="O10" s="19"/>
    </row>
    <row r="11" spans="1:15" ht="12" customHeight="1" x14ac:dyDescent="0.2">
      <c r="A11" s="93">
        <f>[4]RESUMO!A40</f>
        <v>14</v>
      </c>
      <c r="B11" s="93" t="str">
        <f>[4]RESUMO!B40</f>
        <v>LAGOA FACULTATIVA 1 - SERVIÇOS</v>
      </c>
      <c r="H11" s="19"/>
      <c r="O11" s="19"/>
    </row>
    <row r="12" spans="1:15" ht="12" customHeight="1" x14ac:dyDescent="0.2">
      <c r="A12" s="129" t="s">
        <v>48</v>
      </c>
      <c r="B12" s="88" t="s">
        <v>16</v>
      </c>
      <c r="H12" s="704"/>
      <c r="O12" s="19"/>
    </row>
    <row r="13" spans="1:15" ht="12" customHeight="1" x14ac:dyDescent="0.2">
      <c r="A13" s="129" t="s">
        <v>79</v>
      </c>
      <c r="B13" s="88" t="s">
        <v>80</v>
      </c>
      <c r="H13" s="704"/>
      <c r="O13" s="19"/>
    </row>
    <row r="14" spans="1:15" ht="12" customHeight="1" x14ac:dyDescent="0.2">
      <c r="A14" s="140" t="s">
        <v>286</v>
      </c>
      <c r="B14" s="834" t="s">
        <v>636</v>
      </c>
      <c r="C14" s="834"/>
      <c r="D14" s="834"/>
      <c r="E14" s="834"/>
      <c r="F14" s="834"/>
      <c r="G14" s="97" t="s">
        <v>31</v>
      </c>
      <c r="H14" s="308">
        <v>5152</v>
      </c>
      <c r="I14" s="323">
        <f>VLOOKUP(A14,'[1]TAB OGU JUN18'!$A:$G,6,"falso")</f>
        <v>16.329999999999998</v>
      </c>
      <c r="J14" s="323">
        <f>VLOOKUP(A14,'[1]TAB OGU JUN18'!$A:$G,4,"falso")</f>
        <v>9.6300000000000008</v>
      </c>
      <c r="K14" s="308">
        <f>H14*J14</f>
        <v>49613.760000000002</v>
      </c>
      <c r="L14" s="323">
        <f>VLOOKUP(A14,'[1]TAB OGU JUN18'!$A:$G,5,"falso")</f>
        <v>6.7</v>
      </c>
      <c r="M14" s="308">
        <f>H14*L14</f>
        <v>34518.400000000001</v>
      </c>
      <c r="N14" s="308">
        <f>H14*I14</f>
        <v>84132.159999999989</v>
      </c>
      <c r="O14" s="185">
        <f>(N14*1)/$N$16</f>
        <v>1</v>
      </c>
    </row>
    <row r="15" spans="1:15" ht="12" customHeight="1" x14ac:dyDescent="0.2">
      <c r="G15" s="52"/>
      <c r="H15" s="324"/>
      <c r="I15" s="313"/>
      <c r="J15" s="313"/>
      <c r="K15" s="313"/>
      <c r="L15" s="313"/>
      <c r="M15" s="313"/>
      <c r="N15" s="309"/>
      <c r="O15" s="185"/>
    </row>
    <row r="16" spans="1:15" ht="12" customHeight="1" x14ac:dyDescent="0.2">
      <c r="B16" s="130" t="s">
        <v>18</v>
      </c>
      <c r="C16" s="131"/>
      <c r="D16" s="131"/>
      <c r="E16" s="131"/>
      <c r="F16" s="131"/>
      <c r="G16" s="53"/>
      <c r="H16" s="325"/>
      <c r="I16" s="326"/>
      <c r="J16" s="326"/>
      <c r="K16" s="326"/>
      <c r="L16" s="326"/>
      <c r="M16" s="326"/>
      <c r="N16" s="308">
        <f>SUM(N14:N14)</f>
        <v>84132.159999999989</v>
      </c>
      <c r="O16" s="185">
        <f>N16/N23</f>
        <v>0.97202380952380951</v>
      </c>
    </row>
    <row r="17" spans="1:15" ht="12" customHeight="1" x14ac:dyDescent="0.2">
      <c r="B17" s="130"/>
      <c r="G17" s="52"/>
      <c r="H17" s="324"/>
      <c r="I17" s="313"/>
      <c r="J17" s="313"/>
      <c r="K17" s="313"/>
      <c r="L17" s="313"/>
      <c r="M17" s="313"/>
      <c r="N17" s="308"/>
      <c r="O17" s="185"/>
    </row>
    <row r="18" spans="1:15" ht="12" customHeight="1" x14ac:dyDescent="0.2">
      <c r="A18" s="129" t="s">
        <v>779</v>
      </c>
      <c r="B18" s="88" t="s">
        <v>780</v>
      </c>
      <c r="H18" s="704"/>
      <c r="N18" s="303"/>
      <c r="O18" s="187"/>
    </row>
    <row r="19" spans="1:15" ht="12" customHeight="1" x14ac:dyDescent="0.2">
      <c r="A19" s="140" t="s">
        <v>789</v>
      </c>
      <c r="B19" s="142" t="s">
        <v>636</v>
      </c>
      <c r="C19" s="153"/>
      <c r="D19" s="153"/>
      <c r="E19" s="153"/>
      <c r="F19" s="153"/>
      <c r="G19" s="97" t="s">
        <v>31</v>
      </c>
      <c r="H19" s="308">
        <f>H14</f>
        <v>5152</v>
      </c>
      <c r="I19" s="323">
        <f>VLOOKUP(A19,'[1]TAB OGU JUN18'!$A:$G,6,"falso")</f>
        <v>0.47</v>
      </c>
      <c r="J19" s="323">
        <f>VLOOKUP(A19,'[1]TAB OGU JUN18'!$A:$G,4,"falso")</f>
        <v>0.47</v>
      </c>
      <c r="K19" s="308">
        <f>H19*J19</f>
        <v>2421.44</v>
      </c>
      <c r="L19" s="323">
        <f>VLOOKUP(A19,'[1]TAB OGU JUN18'!$A:$G,5,"falso")</f>
        <v>0</v>
      </c>
      <c r="M19" s="308"/>
      <c r="N19" s="308">
        <f>H19*I19</f>
        <v>2421.44</v>
      </c>
      <c r="O19" s="185">
        <f>N19/N21</f>
        <v>1</v>
      </c>
    </row>
    <row r="20" spans="1:15" ht="12" customHeight="1" x14ac:dyDescent="0.2">
      <c r="G20" s="52"/>
      <c r="H20" s="324"/>
      <c r="I20" s="313"/>
      <c r="J20" s="313"/>
      <c r="K20" s="313"/>
      <c r="L20" s="313"/>
      <c r="M20" s="313"/>
      <c r="N20" s="309"/>
      <c r="O20" s="185"/>
    </row>
    <row r="21" spans="1:15" ht="12" customHeight="1" x14ac:dyDescent="0.2">
      <c r="B21" s="130" t="s">
        <v>18</v>
      </c>
      <c r="C21" s="131"/>
      <c r="D21" s="131"/>
      <c r="E21" s="131"/>
      <c r="F21" s="131"/>
      <c r="G21" s="53"/>
      <c r="H21" s="325"/>
      <c r="I21" s="326"/>
      <c r="J21" s="326"/>
      <c r="K21" s="326"/>
      <c r="L21" s="326"/>
      <c r="M21" s="326"/>
      <c r="N21" s="308">
        <f>SUM(N19:N19)</f>
        <v>2421.44</v>
      </c>
      <c r="O21" s="185">
        <f>N21/N23</f>
        <v>2.7976190476190481E-2</v>
      </c>
    </row>
    <row r="22" spans="1:15" ht="12" customHeight="1" x14ac:dyDescent="0.2">
      <c r="B22" s="130"/>
      <c r="G22" s="52"/>
      <c r="H22" s="324"/>
      <c r="I22" s="313"/>
      <c r="J22" s="313"/>
      <c r="K22" s="313"/>
      <c r="L22" s="313"/>
      <c r="M22" s="313"/>
      <c r="N22" s="308"/>
      <c r="O22" s="185"/>
    </row>
    <row r="23" spans="1:15" s="132" customFormat="1" ht="12" customHeight="1" x14ac:dyDescent="0.2">
      <c r="A23" s="157"/>
      <c r="B23" s="133" t="s">
        <v>20</v>
      </c>
      <c r="C23" s="134"/>
      <c r="D23" s="134"/>
      <c r="E23" s="134"/>
      <c r="F23" s="134"/>
      <c r="G23" s="78"/>
      <c r="H23" s="327"/>
      <c r="I23" s="328"/>
      <c r="J23" s="328"/>
      <c r="K23" s="328"/>
      <c r="L23" s="328"/>
      <c r="M23" s="328"/>
      <c r="N23" s="310">
        <f>N16+N21</f>
        <v>86553.599999999991</v>
      </c>
      <c r="O23" s="186">
        <f>N23/N151</f>
        <v>0.1834107609266746</v>
      </c>
    </row>
    <row r="24" spans="1:15" ht="12" customHeight="1" x14ac:dyDescent="0.2">
      <c r="B24" s="130"/>
      <c r="G24" s="52"/>
      <c r="H24" s="324"/>
      <c r="I24" s="313"/>
      <c r="J24" s="313"/>
      <c r="K24" s="313"/>
      <c r="L24" s="313"/>
      <c r="M24" s="313"/>
      <c r="N24" s="308"/>
      <c r="O24" s="185"/>
    </row>
    <row r="25" spans="1:15" ht="12" customHeight="1" x14ac:dyDescent="0.2">
      <c r="A25" s="129" t="s">
        <v>93</v>
      </c>
      <c r="B25" s="88" t="s">
        <v>96</v>
      </c>
      <c r="H25" s="324"/>
      <c r="I25" s="311"/>
      <c r="J25" s="311"/>
      <c r="K25" s="311"/>
      <c r="L25" s="311"/>
      <c r="M25" s="311"/>
      <c r="N25" s="311"/>
      <c r="O25" s="187"/>
    </row>
    <row r="26" spans="1:15" ht="12" hidden="1" customHeight="1" x14ac:dyDescent="0.2">
      <c r="A26" s="252" t="s">
        <v>540</v>
      </c>
      <c r="B26" s="835" t="s">
        <v>644</v>
      </c>
      <c r="C26" s="835"/>
      <c r="D26" s="835"/>
      <c r="E26" s="835"/>
      <c r="F26" s="835"/>
      <c r="H26" s="329"/>
      <c r="I26" s="311"/>
      <c r="J26" s="308"/>
      <c r="K26" s="311"/>
      <c r="L26" s="311"/>
      <c r="M26" s="311"/>
      <c r="N26" s="313"/>
      <c r="O26" s="187"/>
    </row>
    <row r="27" spans="1:15" ht="12" hidden="1" customHeight="1" x14ac:dyDescent="0.2">
      <c r="A27" s="129" t="s">
        <v>293</v>
      </c>
      <c r="B27" s="88" t="s">
        <v>541</v>
      </c>
      <c r="G27" s="97" t="s">
        <v>32</v>
      </c>
      <c r="H27" s="308"/>
      <c r="I27" s="323">
        <f>VLOOKUP(A27,'[1]TAB OGU JUN18'!$A:$G,6,"falso")</f>
        <v>31.26</v>
      </c>
      <c r="J27" s="323">
        <f>VLOOKUP(A27,'[1]TAB OGU JUN18'!$A:$G,4,"falso")</f>
        <v>31.26</v>
      </c>
      <c r="K27" s="308">
        <f>H27*J27</f>
        <v>0</v>
      </c>
      <c r="L27" s="323">
        <f>VLOOKUP(A27,'[1]TAB OGU JUN18'!$A:$G,5,"falso")</f>
        <v>0</v>
      </c>
      <c r="M27" s="308"/>
      <c r="N27" s="308">
        <f>H27*I27</f>
        <v>0</v>
      </c>
      <c r="O27" s="185" t="e">
        <f>N27/N29</f>
        <v>#DIV/0!</v>
      </c>
    </row>
    <row r="28" spans="1:15" ht="12" hidden="1" customHeight="1" x14ac:dyDescent="0.2">
      <c r="G28" s="52"/>
      <c r="H28" s="324"/>
      <c r="I28" s="313"/>
      <c r="J28" s="308"/>
      <c r="K28" s="313"/>
      <c r="L28" s="313"/>
      <c r="M28" s="313"/>
      <c r="N28" s="309"/>
      <c r="O28" s="185"/>
    </row>
    <row r="29" spans="1:15" ht="12" hidden="1" customHeight="1" x14ac:dyDescent="0.2">
      <c r="B29" s="130" t="s">
        <v>18</v>
      </c>
      <c r="C29" s="131"/>
      <c r="D29" s="131"/>
      <c r="E29" s="131"/>
      <c r="F29" s="131"/>
      <c r="G29" s="53"/>
      <c r="H29" s="325"/>
      <c r="I29" s="325"/>
      <c r="J29" s="325"/>
      <c r="K29" s="325"/>
      <c r="L29" s="326"/>
      <c r="M29" s="326"/>
      <c r="N29" s="308">
        <f>SUM(N27:N27)</f>
        <v>0</v>
      </c>
      <c r="O29" s="185">
        <f>N29/N62</f>
        <v>0</v>
      </c>
    </row>
    <row r="30" spans="1:15" ht="12" hidden="1" customHeight="1" x14ac:dyDescent="0.2">
      <c r="B30" s="130"/>
      <c r="G30" s="52"/>
      <c r="H30" s="324"/>
      <c r="I30" s="313"/>
      <c r="J30" s="308"/>
      <c r="K30" s="311"/>
      <c r="L30" s="311"/>
      <c r="M30" s="311"/>
      <c r="N30" s="308"/>
      <c r="O30" s="185"/>
    </row>
    <row r="31" spans="1:15" ht="12" customHeight="1" x14ac:dyDescent="0.2">
      <c r="A31" s="252" t="s">
        <v>543</v>
      </c>
      <c r="B31" s="835" t="s">
        <v>645</v>
      </c>
      <c r="C31" s="835"/>
      <c r="D31" s="835"/>
      <c r="E31" s="835"/>
      <c r="F31" s="835"/>
      <c r="G31" s="52"/>
      <c r="H31" s="324"/>
      <c r="I31" s="313"/>
      <c r="J31" s="313"/>
      <c r="K31" s="313"/>
      <c r="L31" s="313"/>
      <c r="M31" s="313"/>
      <c r="N31" s="313"/>
      <c r="O31" s="187"/>
    </row>
    <row r="32" spans="1:15" ht="12" customHeight="1" x14ac:dyDescent="0.2">
      <c r="A32" s="98" t="s">
        <v>295</v>
      </c>
      <c r="B32" s="88" t="s">
        <v>229</v>
      </c>
      <c r="G32" s="97" t="s">
        <v>32</v>
      </c>
      <c r="H32" s="308">
        <v>22287.37</v>
      </c>
      <c r="I32" s="323">
        <f>VLOOKUP(A32,'[1]TAB OGU JUN18'!$A:$G,6,"falso")</f>
        <v>7.1</v>
      </c>
      <c r="J32" s="323">
        <f>VLOOKUP(A32,'[1]TAB OGU JUN18'!$A:$G,4,"falso")</f>
        <v>7.1</v>
      </c>
      <c r="K32" s="308">
        <f>H32*J32</f>
        <v>158240.32699999999</v>
      </c>
      <c r="L32" s="323">
        <f>VLOOKUP(A32,'[1]TAB OGU JUN18'!$A:$G,5,"falso")</f>
        <v>0</v>
      </c>
      <c r="M32" s="308"/>
      <c r="N32" s="308">
        <f>H32*I32</f>
        <v>158240.32699999999</v>
      </c>
      <c r="O32" s="185">
        <f>N32/N34</f>
        <v>1</v>
      </c>
    </row>
    <row r="33" spans="1:15" ht="12" customHeight="1" x14ac:dyDescent="0.2">
      <c r="G33" s="52"/>
      <c r="H33" s="324"/>
      <c r="I33" s="313"/>
      <c r="J33" s="313"/>
      <c r="K33" s="313"/>
      <c r="L33" s="313"/>
      <c r="M33" s="313"/>
      <c r="N33" s="313"/>
      <c r="O33" s="187"/>
    </row>
    <row r="34" spans="1:15" ht="12" customHeight="1" x14ac:dyDescent="0.2">
      <c r="B34" s="130" t="s">
        <v>18</v>
      </c>
      <c r="C34" s="131"/>
      <c r="D34" s="131"/>
      <c r="E34" s="131"/>
      <c r="F34" s="131"/>
      <c r="G34" s="53"/>
      <c r="H34" s="325"/>
      <c r="I34" s="326"/>
      <c r="J34" s="326"/>
      <c r="K34" s="326"/>
      <c r="L34" s="326"/>
      <c r="M34" s="326"/>
      <c r="N34" s="308">
        <f>N32</f>
        <v>158240.32699999999</v>
      </c>
      <c r="O34" s="185">
        <f>N34/$N$62</f>
        <v>0.54037977620955435</v>
      </c>
    </row>
    <row r="35" spans="1:15" ht="12" customHeight="1" x14ac:dyDescent="0.2">
      <c r="B35" s="130"/>
      <c r="G35" s="52"/>
      <c r="H35" s="324"/>
      <c r="I35" s="313"/>
      <c r="J35" s="313"/>
      <c r="K35" s="313"/>
      <c r="L35" s="313"/>
      <c r="M35" s="313"/>
      <c r="N35" s="308"/>
      <c r="O35" s="185"/>
    </row>
    <row r="36" spans="1:15" ht="12" customHeight="1" x14ac:dyDescent="0.2">
      <c r="A36" s="256" t="s">
        <v>297</v>
      </c>
      <c r="B36" s="142" t="s">
        <v>298</v>
      </c>
      <c r="C36" s="142"/>
      <c r="D36" s="142"/>
      <c r="E36" s="142"/>
      <c r="F36" s="142"/>
      <c r="G36" s="97"/>
      <c r="H36" s="308"/>
      <c r="I36" s="308"/>
      <c r="J36" s="308"/>
      <c r="K36" s="308"/>
      <c r="L36" s="308"/>
      <c r="M36" s="308"/>
      <c r="N36" s="308"/>
      <c r="O36" s="185"/>
    </row>
    <row r="37" spans="1:15" ht="12" customHeight="1" x14ac:dyDescent="0.2">
      <c r="A37" s="256" t="s">
        <v>299</v>
      </c>
      <c r="B37" s="142" t="s">
        <v>300</v>
      </c>
      <c r="C37" s="142"/>
      <c r="D37" s="142"/>
      <c r="E37" s="142"/>
      <c r="F37" s="142"/>
      <c r="G37" s="97" t="s">
        <v>32</v>
      </c>
      <c r="H37" s="308">
        <v>1988.54</v>
      </c>
      <c r="I37" s="323">
        <f>VLOOKUP(A37,'[1]TAB OGU JUN18'!$A:$G,6,"falso")</f>
        <v>9.8699999999999992</v>
      </c>
      <c r="J37" s="323">
        <f>VLOOKUP(A37,'[1]TAB OGU JUN18'!$A:$G,4,"falso")</f>
        <v>9.8699999999999992</v>
      </c>
      <c r="K37" s="308">
        <f>H37*J37</f>
        <v>19626.889799999997</v>
      </c>
      <c r="L37" s="323">
        <f>VLOOKUP(A37,'[1]TAB OGU JUN18'!$A:$G,5,"falso")</f>
        <v>0</v>
      </c>
      <c r="M37" s="308"/>
      <c r="N37" s="308">
        <f>H37*I37</f>
        <v>19626.889799999997</v>
      </c>
      <c r="O37" s="185">
        <f>N37/N39</f>
        <v>1</v>
      </c>
    </row>
    <row r="38" spans="1:15" ht="12" customHeight="1" x14ac:dyDescent="0.2">
      <c r="B38" s="130"/>
      <c r="G38" s="52"/>
      <c r="H38" s="324"/>
      <c r="I38" s="313"/>
      <c r="J38" s="308"/>
      <c r="K38" s="313"/>
      <c r="L38" s="313"/>
      <c r="M38" s="313"/>
      <c r="N38" s="308"/>
      <c r="O38" s="185"/>
    </row>
    <row r="39" spans="1:15" ht="12" customHeight="1" x14ac:dyDescent="0.2">
      <c r="B39" s="130" t="s">
        <v>18</v>
      </c>
      <c r="C39" s="131"/>
      <c r="D39" s="131"/>
      <c r="E39" s="131"/>
      <c r="F39" s="131"/>
      <c r="G39" s="53"/>
      <c r="H39" s="325"/>
      <c r="I39" s="325"/>
      <c r="J39" s="325"/>
      <c r="K39" s="325"/>
      <c r="L39" s="326"/>
      <c r="M39" s="326"/>
      <c r="N39" s="308">
        <f>N37</f>
        <v>19626.889799999997</v>
      </c>
      <c r="O39" s="185">
        <f>N39/$N$62</f>
        <v>6.7024471693701598E-2</v>
      </c>
    </row>
    <row r="40" spans="1:15" ht="12" customHeight="1" x14ac:dyDescent="0.2">
      <c r="B40" s="130"/>
      <c r="G40" s="52"/>
      <c r="H40" s="324"/>
      <c r="I40" s="313"/>
      <c r="J40" s="308"/>
      <c r="K40" s="313"/>
      <c r="L40" s="313"/>
      <c r="M40" s="313"/>
      <c r="N40" s="308"/>
      <c r="O40" s="185"/>
    </row>
    <row r="41" spans="1:15" ht="12" customHeight="1" x14ac:dyDescent="0.2">
      <c r="A41" s="98" t="s">
        <v>101</v>
      </c>
      <c r="B41" s="88" t="s">
        <v>21</v>
      </c>
      <c r="G41" s="97"/>
      <c r="H41" s="308"/>
      <c r="I41" s="308"/>
      <c r="J41" s="308"/>
      <c r="K41" s="308"/>
      <c r="L41" s="308"/>
      <c r="M41" s="308"/>
      <c r="N41" s="308"/>
      <c r="O41" s="185"/>
    </row>
    <row r="42" spans="1:15" ht="12" hidden="1" customHeight="1" x14ac:dyDescent="0.2">
      <c r="A42" s="98" t="s">
        <v>102</v>
      </c>
      <c r="B42" s="88" t="s">
        <v>104</v>
      </c>
      <c r="G42" s="97" t="s">
        <v>32</v>
      </c>
      <c r="H42" s="308"/>
      <c r="I42" s="323">
        <f>VLOOKUP(A42,'[1]TAB OGU JUN18'!$A:$G,6,"falso")</f>
        <v>7.4</v>
      </c>
      <c r="J42" s="323">
        <f>VLOOKUP(A42,'[1]TAB OGU JUN18'!$A:$G,4,"falso")</f>
        <v>7.4</v>
      </c>
      <c r="K42" s="308">
        <f>H42*J42</f>
        <v>0</v>
      </c>
      <c r="L42" s="323">
        <f>VLOOKUP(A42,'[1]TAB OGU JUN18'!$A:$G,5,"falso")</f>
        <v>0</v>
      </c>
      <c r="M42" s="308"/>
      <c r="N42" s="308">
        <f>H42*I42</f>
        <v>0</v>
      </c>
      <c r="O42" s="185">
        <f>N42/N45</f>
        <v>0</v>
      </c>
    </row>
    <row r="43" spans="1:15" ht="12" customHeight="1" x14ac:dyDescent="0.2">
      <c r="A43" s="98" t="s">
        <v>103</v>
      </c>
      <c r="B43" s="88" t="s">
        <v>105</v>
      </c>
      <c r="G43" s="97" t="s">
        <v>32</v>
      </c>
      <c r="H43" s="308">
        <v>10905.93</v>
      </c>
      <c r="I43" s="323">
        <f>VLOOKUP(A43,'[1]TAB OGU JUN18'!$A:$G,6,"falso")</f>
        <v>1.32</v>
      </c>
      <c r="J43" s="323">
        <f>VLOOKUP(A43,'[1]TAB OGU JUN18'!$A:$G,4,"falso")</f>
        <v>1.32</v>
      </c>
      <c r="K43" s="308">
        <f>H43*J43</f>
        <v>14395.827600000001</v>
      </c>
      <c r="L43" s="323">
        <f>VLOOKUP(A43,'[1]TAB OGU JUN18'!$A:$G,5,"falso")</f>
        <v>0</v>
      </c>
      <c r="M43" s="308"/>
      <c r="N43" s="308">
        <f>H43*I43</f>
        <v>14395.827600000001</v>
      </c>
      <c r="O43" s="185">
        <f>N43/N45</f>
        <v>1</v>
      </c>
    </row>
    <row r="44" spans="1:15" ht="12" customHeight="1" x14ac:dyDescent="0.2">
      <c r="B44" s="130"/>
      <c r="G44" s="52"/>
      <c r="H44" s="324"/>
      <c r="I44" s="313"/>
      <c r="J44" s="313"/>
      <c r="K44" s="313"/>
      <c r="L44" s="313"/>
      <c r="M44" s="313"/>
      <c r="N44" s="308"/>
      <c r="O44" s="185"/>
    </row>
    <row r="45" spans="1:15" ht="12" customHeight="1" x14ac:dyDescent="0.2">
      <c r="B45" s="130" t="s">
        <v>18</v>
      </c>
      <c r="C45" s="131"/>
      <c r="D45" s="131"/>
      <c r="E45" s="131"/>
      <c r="F45" s="131"/>
      <c r="G45" s="53"/>
      <c r="H45" s="325"/>
      <c r="I45" s="326"/>
      <c r="J45" s="326"/>
      <c r="K45" s="326"/>
      <c r="L45" s="326"/>
      <c r="M45" s="326"/>
      <c r="N45" s="308">
        <f>SUM(N42:N44)</f>
        <v>14395.827600000001</v>
      </c>
      <c r="O45" s="185">
        <f>N45/$N$62</f>
        <v>4.9160755948383039E-2</v>
      </c>
    </row>
    <row r="46" spans="1:15" ht="12" customHeight="1" x14ac:dyDescent="0.2">
      <c r="B46" s="130"/>
      <c r="G46" s="52"/>
      <c r="H46" s="324"/>
      <c r="I46" s="313"/>
      <c r="J46" s="313"/>
      <c r="K46" s="313"/>
      <c r="L46" s="313"/>
      <c r="M46" s="313"/>
      <c r="N46" s="308"/>
      <c r="O46" s="185"/>
    </row>
    <row r="47" spans="1:15" ht="12" customHeight="1" x14ac:dyDescent="0.2">
      <c r="A47" s="256" t="s">
        <v>301</v>
      </c>
      <c r="B47" s="834" t="s">
        <v>669</v>
      </c>
      <c r="C47" s="834"/>
      <c r="D47" s="834"/>
      <c r="E47" s="834"/>
      <c r="F47" s="834"/>
      <c r="G47" s="97"/>
      <c r="H47" s="308"/>
      <c r="I47" s="308"/>
      <c r="J47" s="308"/>
      <c r="K47" s="308"/>
      <c r="L47" s="308"/>
      <c r="M47" s="308"/>
      <c r="N47" s="308"/>
      <c r="O47" s="185"/>
    </row>
    <row r="48" spans="1:15" ht="12" customHeight="1" x14ac:dyDescent="0.2">
      <c r="A48" s="256" t="s">
        <v>302</v>
      </c>
      <c r="B48" s="834" t="s">
        <v>303</v>
      </c>
      <c r="C48" s="834"/>
      <c r="D48" s="834"/>
      <c r="E48" s="834"/>
      <c r="F48" s="834"/>
      <c r="G48" s="97" t="s">
        <v>32</v>
      </c>
      <c r="H48" s="308">
        <f>H43</f>
        <v>10905.93</v>
      </c>
      <c r="I48" s="323">
        <f>VLOOKUP(A48,'[1]TAB OGU JUN18'!$A:$G,6,"falso")</f>
        <v>4.16</v>
      </c>
      <c r="J48" s="323">
        <f>VLOOKUP(A48,'[1]TAB OGU JUN18'!$A:$G,4,"falso")</f>
        <v>4.16</v>
      </c>
      <c r="K48" s="308">
        <f>H48*J48</f>
        <v>45368.668799999999</v>
      </c>
      <c r="L48" s="323">
        <f>VLOOKUP(A48,'[1]TAB OGU JUN18'!$A:$G,5,"falso")</f>
        <v>0</v>
      </c>
      <c r="M48" s="308"/>
      <c r="N48" s="308">
        <f>H48*I48</f>
        <v>45368.668799999999</v>
      </c>
      <c r="O48" s="185">
        <f>N48/N50</f>
        <v>1</v>
      </c>
    </row>
    <row r="49" spans="1:15" ht="12" customHeight="1" x14ac:dyDescent="0.2">
      <c r="B49" s="130"/>
      <c r="G49" s="52"/>
      <c r="H49" s="324"/>
      <c r="I49" s="313"/>
      <c r="J49" s="308"/>
      <c r="K49" s="313"/>
      <c r="L49" s="313"/>
      <c r="M49" s="313"/>
      <c r="N49" s="308"/>
      <c r="O49" s="185"/>
    </row>
    <row r="50" spans="1:15" ht="12" customHeight="1" x14ac:dyDescent="0.2">
      <c r="B50" s="130" t="s">
        <v>18</v>
      </c>
      <c r="C50" s="131"/>
      <c r="D50" s="131"/>
      <c r="E50" s="131"/>
      <c r="F50" s="131"/>
      <c r="G50" s="53"/>
      <c r="H50" s="325"/>
      <c r="I50" s="325"/>
      <c r="J50" s="325"/>
      <c r="K50" s="325"/>
      <c r="L50" s="326"/>
      <c r="M50" s="326"/>
      <c r="N50" s="308">
        <f>N48</f>
        <v>45368.668799999999</v>
      </c>
      <c r="O50" s="185">
        <f>N50/$N$62</f>
        <v>0.15493086723126775</v>
      </c>
    </row>
    <row r="51" spans="1:15" ht="12" customHeight="1" x14ac:dyDescent="0.2">
      <c r="B51" s="130"/>
      <c r="G51" s="52"/>
      <c r="H51" s="324"/>
      <c r="I51" s="313"/>
      <c r="J51" s="308"/>
      <c r="K51" s="313"/>
      <c r="L51" s="313"/>
      <c r="M51" s="313"/>
      <c r="N51" s="308"/>
      <c r="O51" s="185"/>
    </row>
    <row r="52" spans="1:15" ht="12" customHeight="1" x14ac:dyDescent="0.2">
      <c r="A52" s="98" t="s">
        <v>110</v>
      </c>
      <c r="B52" s="88" t="s">
        <v>112</v>
      </c>
      <c r="G52" s="52"/>
      <c r="H52" s="324"/>
      <c r="I52" s="313"/>
      <c r="J52" s="313"/>
      <c r="K52" s="313"/>
      <c r="L52" s="313"/>
      <c r="M52" s="313"/>
      <c r="N52" s="313"/>
      <c r="O52" s="187"/>
    </row>
    <row r="53" spans="1:15" ht="12" customHeight="1" x14ac:dyDescent="0.2">
      <c r="A53" s="98" t="s">
        <v>111</v>
      </c>
      <c r="B53" s="88" t="s">
        <v>113</v>
      </c>
      <c r="G53" s="97" t="s">
        <v>32</v>
      </c>
      <c r="H53" s="308">
        <f>ABS(H43-H32)</f>
        <v>11381.439999999999</v>
      </c>
      <c r="I53" s="323">
        <f>VLOOKUP(A53,'[1]TAB OGU JUN18'!$A:$G,6,"falso")</f>
        <v>1.85</v>
      </c>
      <c r="J53" s="323">
        <f>VLOOKUP(A53,'[1]TAB OGU JUN18'!$A:$G,4,"falso")</f>
        <v>1.85</v>
      </c>
      <c r="K53" s="308">
        <f>H53*J53</f>
        <v>21055.663999999997</v>
      </c>
      <c r="L53" s="323">
        <f>VLOOKUP(A53,'[1]TAB OGU JUN18'!$A:$G,5,"falso")</f>
        <v>0</v>
      </c>
      <c r="M53" s="308"/>
      <c r="N53" s="308">
        <f>H53*I53</f>
        <v>21055.663999999997</v>
      </c>
      <c r="O53" s="185">
        <f>N53/N55</f>
        <v>1</v>
      </c>
    </row>
    <row r="54" spans="1:15" ht="12" customHeight="1" x14ac:dyDescent="0.2">
      <c r="G54" s="52"/>
      <c r="H54" s="324"/>
      <c r="I54" s="313"/>
      <c r="J54" s="313"/>
      <c r="K54" s="313"/>
      <c r="L54" s="313"/>
      <c r="M54" s="313"/>
      <c r="N54" s="313"/>
      <c r="O54" s="187"/>
    </row>
    <row r="55" spans="1:15" ht="12" customHeight="1" x14ac:dyDescent="0.2">
      <c r="B55" s="130" t="s">
        <v>18</v>
      </c>
      <c r="C55" s="131"/>
      <c r="D55" s="131"/>
      <c r="E55" s="131"/>
      <c r="F55" s="131"/>
      <c r="G55" s="53"/>
      <c r="H55" s="325"/>
      <c r="I55" s="326"/>
      <c r="J55" s="326"/>
      <c r="K55" s="326"/>
      <c r="L55" s="326"/>
      <c r="M55" s="326"/>
      <c r="N55" s="308">
        <f>N53</f>
        <v>21055.663999999997</v>
      </c>
      <c r="O55" s="185">
        <f>N55/N62</f>
        <v>7.190363680342729E-2</v>
      </c>
    </row>
    <row r="56" spans="1:15" ht="12" customHeight="1" x14ac:dyDescent="0.2">
      <c r="B56" s="130"/>
      <c r="G56" s="52"/>
      <c r="H56" s="324"/>
      <c r="I56" s="313"/>
      <c r="J56" s="313"/>
      <c r="K56" s="313"/>
      <c r="L56" s="313"/>
      <c r="M56" s="313"/>
      <c r="N56" s="308"/>
      <c r="O56" s="185"/>
    </row>
    <row r="57" spans="1:15" ht="12" customHeight="1" x14ac:dyDescent="0.2">
      <c r="A57" s="98" t="s">
        <v>114</v>
      </c>
      <c r="B57" s="88" t="s">
        <v>737</v>
      </c>
      <c r="G57" s="52"/>
      <c r="H57" s="324"/>
      <c r="I57" s="313"/>
      <c r="J57" s="313"/>
      <c r="K57" s="313"/>
      <c r="L57" s="313"/>
      <c r="M57" s="313"/>
      <c r="N57" s="313"/>
      <c r="O57" s="187"/>
    </row>
    <row r="58" spans="1:15" ht="12" customHeight="1" x14ac:dyDescent="0.2">
      <c r="A58" s="98" t="s">
        <v>115</v>
      </c>
      <c r="B58" s="88" t="s">
        <v>116</v>
      </c>
      <c r="G58" s="97" t="s">
        <v>180</v>
      </c>
      <c r="H58" s="308">
        <f>H53*3</f>
        <v>34144.319999999992</v>
      </c>
      <c r="I58" s="323">
        <f>VLOOKUP(A58,'[1]TAB OGU JUN18'!$A:$G,6,"falso")</f>
        <v>1</v>
      </c>
      <c r="J58" s="323">
        <f>VLOOKUP(A58,'[1]TAB OGU JUN18'!$A:$G,4,"falso")</f>
        <v>1</v>
      </c>
      <c r="K58" s="308">
        <f>H58*J58</f>
        <v>34144.319999999992</v>
      </c>
      <c r="L58" s="323">
        <f>VLOOKUP(A58,'[1]TAB OGU JUN18'!$A:$G,5,"falso")</f>
        <v>0</v>
      </c>
      <c r="M58" s="308"/>
      <c r="N58" s="308">
        <f>H58*I58</f>
        <v>34144.319999999992</v>
      </c>
      <c r="O58" s="185">
        <f>N58/N60</f>
        <v>1</v>
      </c>
    </row>
    <row r="59" spans="1:15" ht="12" customHeight="1" x14ac:dyDescent="0.2">
      <c r="G59" s="52"/>
      <c r="H59" s="324"/>
      <c r="I59" s="313"/>
      <c r="J59" s="313"/>
      <c r="K59" s="313"/>
      <c r="L59" s="313"/>
      <c r="M59" s="313"/>
      <c r="N59" s="313"/>
      <c r="O59" s="187"/>
    </row>
    <row r="60" spans="1:15" ht="12" customHeight="1" x14ac:dyDescent="0.2">
      <c r="B60" s="130" t="s">
        <v>18</v>
      </c>
      <c r="C60" s="131"/>
      <c r="D60" s="131"/>
      <c r="E60" s="131"/>
      <c r="F60" s="131"/>
      <c r="G60" s="53"/>
      <c r="H60" s="325"/>
      <c r="I60" s="326"/>
      <c r="J60" s="326"/>
      <c r="K60" s="326"/>
      <c r="L60" s="326"/>
      <c r="M60" s="326"/>
      <c r="N60" s="308">
        <f>N58</f>
        <v>34144.319999999992</v>
      </c>
      <c r="O60" s="185">
        <f>N60/N62</f>
        <v>0.11660049211366587</v>
      </c>
    </row>
    <row r="61" spans="1:15" ht="12" customHeight="1" x14ac:dyDescent="0.2">
      <c r="B61" s="130"/>
      <c r="G61" s="52"/>
      <c r="H61" s="324"/>
      <c r="I61" s="313"/>
      <c r="J61" s="313"/>
      <c r="K61" s="313"/>
      <c r="L61" s="313"/>
      <c r="M61" s="313"/>
      <c r="N61" s="308"/>
      <c r="O61" s="185"/>
    </row>
    <row r="62" spans="1:15" s="132" customFormat="1" ht="12" customHeight="1" x14ac:dyDescent="0.2">
      <c r="A62" s="157"/>
      <c r="B62" s="133" t="s">
        <v>20</v>
      </c>
      <c r="C62" s="134"/>
      <c r="D62" s="134"/>
      <c r="E62" s="134"/>
      <c r="F62" s="134"/>
      <c r="G62" s="78"/>
      <c r="H62" s="327"/>
      <c r="I62" s="328"/>
      <c r="J62" s="328"/>
      <c r="K62" s="328"/>
      <c r="L62" s="328"/>
      <c r="M62" s="328"/>
      <c r="N62" s="310">
        <f>N60+N55+N50+N34+N45+N39+N29</f>
        <v>292831.6972</v>
      </c>
      <c r="O62" s="186">
        <f>N62/N151</f>
        <v>0.62052282524241131</v>
      </c>
    </row>
    <row r="63" spans="1:15" ht="12" customHeight="1" x14ac:dyDescent="0.2">
      <c r="B63" s="130"/>
      <c r="G63" s="52"/>
      <c r="H63" s="324"/>
      <c r="I63" s="313"/>
      <c r="J63" s="313"/>
      <c r="K63" s="313"/>
      <c r="L63" s="313"/>
      <c r="M63" s="313"/>
      <c r="N63" s="308"/>
      <c r="O63" s="185"/>
    </row>
    <row r="64" spans="1:15" ht="12" customHeight="1" x14ac:dyDescent="0.2">
      <c r="A64" s="129" t="s">
        <v>124</v>
      </c>
      <c r="B64" s="88" t="s">
        <v>121</v>
      </c>
      <c r="H64" s="324"/>
      <c r="I64" s="311"/>
      <c r="J64" s="311"/>
      <c r="K64" s="311"/>
      <c r="L64" s="311"/>
      <c r="M64" s="311"/>
      <c r="N64" s="311"/>
      <c r="O64" s="187"/>
    </row>
    <row r="65" spans="1:15" ht="12" customHeight="1" x14ac:dyDescent="0.2">
      <c r="A65" s="129" t="s">
        <v>125</v>
      </c>
      <c r="B65" s="88" t="s">
        <v>122</v>
      </c>
      <c r="H65" s="324"/>
      <c r="I65" s="311"/>
      <c r="J65" s="311"/>
      <c r="K65" s="311"/>
      <c r="L65" s="311"/>
      <c r="M65" s="311"/>
      <c r="N65" s="311"/>
      <c r="O65" s="187"/>
    </row>
    <row r="66" spans="1:15" ht="12" customHeight="1" x14ac:dyDescent="0.2">
      <c r="A66" s="129" t="s">
        <v>126</v>
      </c>
      <c r="B66" s="88" t="s">
        <v>189</v>
      </c>
      <c r="G66" s="97" t="s">
        <v>123</v>
      </c>
      <c r="H66" s="308">
        <f>(H32)*100/20000</f>
        <v>111.43685000000001</v>
      </c>
      <c r="I66" s="323">
        <f>VLOOKUP(A66,'[1]TAB OGU JUN18'!$A:$G,6,"falso")</f>
        <v>5.52</v>
      </c>
      <c r="J66" s="323">
        <f>VLOOKUP(A66,'[1]TAB OGU JUN18'!$A:$G,4,"falso")</f>
        <v>5.52</v>
      </c>
      <c r="K66" s="308">
        <f>H66*J66</f>
        <v>615.13141199999995</v>
      </c>
      <c r="L66" s="323">
        <f>VLOOKUP(A66,'[1]TAB OGU JUN18'!$A:$G,5,"falso")</f>
        <v>0</v>
      </c>
      <c r="M66" s="308"/>
      <c r="N66" s="308">
        <f>H66*I66</f>
        <v>615.13141199999995</v>
      </c>
      <c r="O66" s="185">
        <f>N66/N68</f>
        <v>1</v>
      </c>
    </row>
    <row r="67" spans="1:15" ht="12" customHeight="1" x14ac:dyDescent="0.2">
      <c r="B67" s="130"/>
      <c r="G67" s="52"/>
      <c r="H67" s="324"/>
      <c r="I67" s="313"/>
      <c r="J67" s="313"/>
      <c r="K67" s="313"/>
      <c r="L67" s="313"/>
      <c r="M67" s="313"/>
      <c r="N67" s="308"/>
      <c r="O67" s="185"/>
    </row>
    <row r="68" spans="1:15" ht="12" customHeight="1" x14ac:dyDescent="0.2">
      <c r="B68" s="130" t="s">
        <v>18</v>
      </c>
      <c r="C68" s="131"/>
      <c r="D68" s="131"/>
      <c r="E68" s="131"/>
      <c r="F68" s="131"/>
      <c r="G68" s="53"/>
      <c r="H68" s="325"/>
      <c r="I68" s="326"/>
      <c r="J68" s="326"/>
      <c r="K68" s="326"/>
      <c r="L68" s="326"/>
      <c r="M68" s="326"/>
      <c r="N68" s="308">
        <f>N66</f>
        <v>615.13141199999995</v>
      </c>
      <c r="O68" s="185">
        <f>N68/N70</f>
        <v>1</v>
      </c>
    </row>
    <row r="69" spans="1:15" ht="12" customHeight="1" x14ac:dyDescent="0.2">
      <c r="B69" s="130"/>
      <c r="G69" s="52"/>
      <c r="H69" s="324"/>
      <c r="I69" s="313"/>
      <c r="J69" s="313"/>
      <c r="K69" s="313"/>
      <c r="L69" s="313"/>
      <c r="M69" s="313"/>
      <c r="N69" s="308"/>
      <c r="O69" s="185"/>
    </row>
    <row r="70" spans="1:15" s="132" customFormat="1" ht="12" customHeight="1" x14ac:dyDescent="0.2">
      <c r="A70" s="157"/>
      <c r="B70" s="133" t="s">
        <v>20</v>
      </c>
      <c r="C70" s="134"/>
      <c r="D70" s="134"/>
      <c r="E70" s="134"/>
      <c r="F70" s="134"/>
      <c r="G70" s="78"/>
      <c r="H70" s="327"/>
      <c r="I70" s="328"/>
      <c r="J70" s="328"/>
      <c r="K70" s="328"/>
      <c r="L70" s="328"/>
      <c r="M70" s="328"/>
      <c r="N70" s="310">
        <f>N68</f>
        <v>615.13141199999995</v>
      </c>
      <c r="O70" s="186">
        <f>N70/N151</f>
        <v>1.3034896335313584E-3</v>
      </c>
    </row>
    <row r="71" spans="1:15" ht="12" customHeight="1" x14ac:dyDescent="0.2">
      <c r="A71" s="291"/>
      <c r="B71" s="138"/>
      <c r="C71" s="138"/>
      <c r="D71" s="138"/>
      <c r="E71" s="138"/>
      <c r="F71" s="138"/>
      <c r="G71" s="137"/>
      <c r="H71" s="641"/>
      <c r="I71" s="330"/>
      <c r="J71" s="311"/>
      <c r="K71" s="311"/>
      <c r="L71" s="311"/>
      <c r="M71" s="311"/>
      <c r="N71" s="296"/>
      <c r="O71" s="297"/>
    </row>
    <row r="72" spans="1:15" ht="12" customHeight="1" x14ac:dyDescent="0.2">
      <c r="A72" s="256" t="s">
        <v>308</v>
      </c>
      <c r="B72" s="834" t="s">
        <v>309</v>
      </c>
      <c r="C72" s="834"/>
      <c r="D72" s="834"/>
      <c r="E72" s="834"/>
      <c r="F72" s="834"/>
      <c r="G72" s="137"/>
      <c r="H72" s="652"/>
      <c r="I72" s="367"/>
      <c r="J72" s="367"/>
      <c r="K72" s="367"/>
      <c r="L72" s="311"/>
      <c r="M72" s="311"/>
      <c r="N72" s="311"/>
      <c r="O72" s="219"/>
    </row>
    <row r="73" spans="1:15" ht="11.25" customHeight="1" x14ac:dyDescent="0.2">
      <c r="A73" s="256" t="s">
        <v>310</v>
      </c>
      <c r="B73" s="834" t="s">
        <v>311</v>
      </c>
      <c r="C73" s="834"/>
      <c r="D73" s="834"/>
      <c r="E73" s="834"/>
      <c r="F73" s="834"/>
      <c r="G73" s="137"/>
      <c r="H73" s="652"/>
      <c r="I73" s="333"/>
      <c r="J73" s="313"/>
      <c r="K73" s="313"/>
      <c r="L73" s="313"/>
      <c r="M73" s="313"/>
      <c r="N73" s="333"/>
      <c r="O73" s="299"/>
    </row>
    <row r="74" spans="1:15" ht="12.75" x14ac:dyDescent="0.2">
      <c r="A74" s="140" t="s">
        <v>312</v>
      </c>
      <c r="B74" s="200" t="s">
        <v>313</v>
      </c>
      <c r="C74" s="200"/>
      <c r="D74" s="200"/>
      <c r="E74" s="200"/>
      <c r="F74" s="200"/>
      <c r="G74" s="163" t="s">
        <v>17</v>
      </c>
      <c r="H74" s="293">
        <f>H79*0.8</f>
        <v>4</v>
      </c>
      <c r="I74" s="323">
        <f>VLOOKUP(A74,'[1]TAB OGU JUN18'!$A:$G,6,"falso")</f>
        <v>51.95</v>
      </c>
      <c r="J74" s="323">
        <f>VLOOKUP(A74,'[1]TAB OGU JUN18'!$A:$G,4,"falso")</f>
        <v>51.95</v>
      </c>
      <c r="K74" s="308">
        <f>H74*J74</f>
        <v>207.8</v>
      </c>
      <c r="L74" s="323">
        <f>VLOOKUP(A74,'[1]TAB OGU JUN18'!$A:$G,5,"falso")</f>
        <v>0</v>
      </c>
      <c r="M74" s="374"/>
      <c r="N74" s="308">
        <f>H74*I74</f>
        <v>207.8</v>
      </c>
      <c r="O74" s="424">
        <f>N74/N76</f>
        <v>1</v>
      </c>
    </row>
    <row r="75" spans="1:15" ht="11.25" customHeight="1" x14ac:dyDescent="0.2">
      <c r="A75" s="256"/>
      <c r="B75" s="138"/>
      <c r="C75" s="138"/>
      <c r="D75" s="138"/>
      <c r="E75" s="138"/>
      <c r="F75" s="138"/>
      <c r="G75" s="139"/>
      <c r="H75" s="293"/>
      <c r="I75" s="189"/>
      <c r="J75" s="308"/>
      <c r="K75" s="308"/>
      <c r="L75" s="308"/>
      <c r="M75" s="308"/>
      <c r="N75" s="189"/>
      <c r="O75" s="300"/>
    </row>
    <row r="76" spans="1:15" ht="11.25" customHeight="1" x14ac:dyDescent="0.2">
      <c r="A76" s="291"/>
      <c r="B76" s="155" t="s">
        <v>18</v>
      </c>
      <c r="C76" s="160"/>
      <c r="D76" s="160"/>
      <c r="E76" s="160"/>
      <c r="F76" s="144"/>
      <c r="G76" s="161"/>
      <c r="H76" s="656"/>
      <c r="I76" s="334"/>
      <c r="J76" s="334"/>
      <c r="K76" s="334"/>
      <c r="L76" s="334"/>
      <c r="M76" s="334"/>
      <c r="N76" s="315">
        <f>SUM(N74:N75)</f>
        <v>207.8</v>
      </c>
      <c r="O76" s="301">
        <f>N76/N104</f>
        <v>3.9904369949854222E-3</v>
      </c>
    </row>
    <row r="77" spans="1:15" ht="11.25" customHeight="1" x14ac:dyDescent="0.2">
      <c r="A77" s="291"/>
      <c r="B77" s="138"/>
      <c r="C77" s="138"/>
      <c r="D77" s="138"/>
      <c r="E77" s="138"/>
      <c r="F77" s="138"/>
      <c r="G77" s="137"/>
      <c r="H77" s="652"/>
      <c r="I77" s="333"/>
      <c r="J77" s="313"/>
      <c r="K77" s="313"/>
      <c r="L77" s="313"/>
      <c r="M77" s="313"/>
      <c r="N77" s="189"/>
      <c r="O77" s="300"/>
    </row>
    <row r="78" spans="1:15" ht="11.25" customHeight="1" x14ac:dyDescent="0.2">
      <c r="A78" s="256" t="s">
        <v>626</v>
      </c>
      <c r="B78" s="142" t="s">
        <v>627</v>
      </c>
      <c r="C78" s="142"/>
      <c r="D78" s="142"/>
      <c r="E78" s="142"/>
      <c r="F78" s="142"/>
      <c r="G78" s="137"/>
      <c r="H78" s="652"/>
      <c r="I78" s="333"/>
      <c r="J78" s="313"/>
      <c r="K78" s="313"/>
      <c r="L78" s="313"/>
      <c r="M78" s="313"/>
      <c r="N78" s="333"/>
      <c r="O78" s="299"/>
    </row>
    <row r="79" spans="1:15" ht="11.25" customHeight="1" x14ac:dyDescent="0.2">
      <c r="A79" s="256" t="s">
        <v>628</v>
      </c>
      <c r="B79" s="200" t="s">
        <v>629</v>
      </c>
      <c r="C79" s="142"/>
      <c r="D79" s="142"/>
      <c r="E79" s="142"/>
      <c r="F79" s="142"/>
      <c r="G79" s="139" t="s">
        <v>24</v>
      </c>
      <c r="H79" s="293">
        <v>5</v>
      </c>
      <c r="I79" s="323">
        <f>VLOOKUP(A79,'[1]TAB OGU JUN18'!$A:$G,6,"falso")</f>
        <v>59.33</v>
      </c>
      <c r="J79" s="323">
        <f>VLOOKUP(A79,'[1]TAB OGU JUN18'!$A:$G,4,"falso")</f>
        <v>59.33</v>
      </c>
      <c r="K79" s="308">
        <f>H79*J79</f>
        <v>296.64999999999998</v>
      </c>
      <c r="L79" s="323">
        <f>VLOOKUP(A79,'[1]TAB OGU JUN18'!$A:$G,5,"falso")</f>
        <v>0</v>
      </c>
      <c r="M79" s="308"/>
      <c r="N79" s="315">
        <f>H79*I79</f>
        <v>296.64999999999998</v>
      </c>
      <c r="O79" s="192">
        <f>N79/N81</f>
        <v>1</v>
      </c>
    </row>
    <row r="80" spans="1:15" ht="11.25" customHeight="1" x14ac:dyDescent="0.2">
      <c r="A80" s="256"/>
      <c r="B80" s="138"/>
      <c r="C80" s="138"/>
      <c r="D80" s="138"/>
      <c r="E80" s="138"/>
      <c r="F80" s="138"/>
      <c r="G80" s="139"/>
      <c r="H80" s="293"/>
      <c r="I80" s="189"/>
      <c r="J80" s="308"/>
      <c r="K80" s="308"/>
      <c r="L80" s="308"/>
      <c r="M80" s="308"/>
      <c r="N80" s="189"/>
      <c r="O80" s="300"/>
    </row>
    <row r="81" spans="1:15" ht="11.25" customHeight="1" x14ac:dyDescent="0.2">
      <c r="A81" s="291"/>
      <c r="B81" s="155" t="s">
        <v>18</v>
      </c>
      <c r="C81" s="160"/>
      <c r="D81" s="160"/>
      <c r="E81" s="160"/>
      <c r="F81" s="144"/>
      <c r="G81" s="161"/>
      <c r="H81" s="656"/>
      <c r="I81" s="334"/>
      <c r="J81" s="334"/>
      <c r="K81" s="334"/>
      <c r="L81" s="334"/>
      <c r="M81" s="334"/>
      <c r="N81" s="315">
        <f>SUM(N79:N80)</f>
        <v>296.64999999999998</v>
      </c>
      <c r="O81" s="301">
        <f>N81/N104</f>
        <v>5.6966464608393906E-3</v>
      </c>
    </row>
    <row r="82" spans="1:15" ht="11.25" customHeight="1" x14ac:dyDescent="0.2">
      <c r="A82" s="291"/>
      <c r="B82" s="138"/>
      <c r="C82" s="138"/>
      <c r="D82" s="138"/>
      <c r="E82" s="138"/>
      <c r="F82" s="138"/>
      <c r="G82" s="137"/>
      <c r="H82" s="652"/>
      <c r="I82" s="333"/>
      <c r="J82" s="313"/>
      <c r="K82" s="313"/>
      <c r="L82" s="313"/>
      <c r="M82" s="313"/>
      <c r="N82" s="189"/>
      <c r="O82" s="300"/>
    </row>
    <row r="83" spans="1:15" ht="12" customHeight="1" x14ac:dyDescent="0.2">
      <c r="A83" s="256" t="s">
        <v>679</v>
      </c>
      <c r="B83" s="142" t="s">
        <v>681</v>
      </c>
      <c r="C83" s="142"/>
      <c r="D83" s="142"/>
      <c r="E83" s="142"/>
      <c r="F83" s="142"/>
      <c r="G83" s="137"/>
      <c r="H83" s="652"/>
      <c r="I83" s="333"/>
      <c r="J83" s="313"/>
      <c r="K83" s="313"/>
      <c r="L83" s="313"/>
      <c r="M83" s="313"/>
      <c r="N83" s="333"/>
      <c r="O83" s="299"/>
    </row>
    <row r="84" spans="1:15" ht="12" customHeight="1" x14ac:dyDescent="0.2">
      <c r="A84" s="256" t="s">
        <v>680</v>
      </c>
      <c r="B84" s="142" t="s">
        <v>682</v>
      </c>
      <c r="C84" s="142"/>
      <c r="D84" s="142"/>
      <c r="E84" s="142"/>
      <c r="F84" s="142"/>
      <c r="G84" s="139" t="s">
        <v>31</v>
      </c>
      <c r="H84" s="293">
        <f>1.75*15.95</f>
        <v>27.912499999999998</v>
      </c>
      <c r="I84" s="323">
        <f>VLOOKUP(A84,'[1]TAB OGU JUN18'!$A:$G,6,"falso")</f>
        <v>50.16</v>
      </c>
      <c r="J84" s="323">
        <f>VLOOKUP(A84,'[1]TAB OGU JUN18'!$A:$G,4,"falso")</f>
        <v>41.18</v>
      </c>
      <c r="K84" s="308">
        <f>H84*J84</f>
        <v>1149.4367499999998</v>
      </c>
      <c r="L84" s="323">
        <f>VLOOKUP(A84,'[1]TAB OGU JUN18'!$A:$G,5,"falso")</f>
        <v>8.98</v>
      </c>
      <c r="M84" s="308">
        <f>H84*L84</f>
        <v>250.65424999999999</v>
      </c>
      <c r="N84" s="308">
        <f>H84*I84</f>
        <v>1400.0909999999999</v>
      </c>
      <c r="O84" s="192">
        <f>N84/N86</f>
        <v>1</v>
      </c>
    </row>
    <row r="85" spans="1:15" ht="12" customHeight="1" x14ac:dyDescent="0.2">
      <c r="A85" s="256"/>
      <c r="B85" s="138"/>
      <c r="C85" s="138"/>
      <c r="D85" s="138"/>
      <c r="E85" s="138"/>
      <c r="F85" s="138"/>
      <c r="G85" s="139"/>
      <c r="H85" s="293"/>
      <c r="I85" s="189"/>
      <c r="J85" s="308"/>
      <c r="K85" s="308"/>
      <c r="L85" s="308"/>
      <c r="M85" s="308"/>
      <c r="N85" s="189"/>
      <c r="O85" s="300"/>
    </row>
    <row r="86" spans="1:15" ht="12" customHeight="1" x14ac:dyDescent="0.2">
      <c r="A86" s="291"/>
      <c r="B86" s="155" t="s">
        <v>18</v>
      </c>
      <c r="C86" s="160"/>
      <c r="D86" s="160"/>
      <c r="E86" s="160"/>
      <c r="F86" s="144"/>
      <c r="G86" s="161"/>
      <c r="H86" s="656"/>
      <c r="I86" s="334"/>
      <c r="J86" s="334"/>
      <c r="K86" s="334"/>
      <c r="L86" s="334"/>
      <c r="M86" s="334"/>
      <c r="N86" s="315">
        <f>SUM(N84:N85)</f>
        <v>1400.0909999999999</v>
      </c>
      <c r="O86" s="301">
        <f>N86/N104</f>
        <v>2.6886308579144053E-2</v>
      </c>
    </row>
    <row r="87" spans="1:15" ht="12" customHeight="1" x14ac:dyDescent="0.2">
      <c r="A87" s="291"/>
      <c r="B87" s="138"/>
      <c r="C87" s="138"/>
      <c r="D87" s="138"/>
      <c r="E87" s="138"/>
      <c r="F87" s="138"/>
      <c r="G87" s="137"/>
      <c r="H87" s="652"/>
      <c r="I87" s="333"/>
      <c r="J87" s="313"/>
      <c r="K87" s="313"/>
      <c r="L87" s="313"/>
      <c r="M87" s="313"/>
      <c r="N87" s="189"/>
      <c r="O87" s="300"/>
    </row>
    <row r="88" spans="1:15" ht="11.25" customHeight="1" x14ac:dyDescent="0.2">
      <c r="A88" s="256" t="s">
        <v>314</v>
      </c>
      <c r="B88" s="142" t="s">
        <v>315</v>
      </c>
      <c r="C88" s="142"/>
      <c r="D88" s="142"/>
      <c r="E88" s="142"/>
      <c r="F88" s="142"/>
      <c r="G88" s="137"/>
      <c r="H88" s="652"/>
      <c r="I88" s="333"/>
      <c r="J88" s="313"/>
      <c r="K88" s="313"/>
      <c r="L88" s="313"/>
      <c r="M88" s="313"/>
      <c r="N88" s="333"/>
      <c r="O88" s="299"/>
    </row>
    <row r="89" spans="1:15" ht="11.25" customHeight="1" x14ac:dyDescent="0.2">
      <c r="A89" s="256" t="s">
        <v>685</v>
      </c>
      <c r="B89" s="200" t="s">
        <v>640</v>
      </c>
      <c r="C89" s="142"/>
      <c r="D89" s="142"/>
      <c r="E89" s="142"/>
      <c r="F89" s="142"/>
      <c r="G89" s="139" t="s">
        <v>31</v>
      </c>
      <c r="H89" s="293">
        <f>1.75*77.2</f>
        <v>135.1</v>
      </c>
      <c r="I89" s="323">
        <f>VLOOKUP(A89,'[1]TAB OGU JUN18'!$A:$G,6,"falso")</f>
        <v>67.22</v>
      </c>
      <c r="J89" s="323">
        <f>VLOOKUP(A89,'[1]TAB OGU JUN18'!$A:$G,4,"falso")</f>
        <v>41.18</v>
      </c>
      <c r="K89" s="308">
        <f>H89*J89</f>
        <v>5563.4179999999997</v>
      </c>
      <c r="L89" s="323">
        <f>VLOOKUP(A89,'[1]TAB OGU JUN18'!$A:$G,5,"falso")</f>
        <v>26.04</v>
      </c>
      <c r="M89" s="374">
        <f>H89*L89</f>
        <v>3518.0039999999999</v>
      </c>
      <c r="N89" s="315">
        <f>H89*I89</f>
        <v>9081.4219999999987</v>
      </c>
      <c r="O89" s="192">
        <f>N89/N91</f>
        <v>1</v>
      </c>
    </row>
    <row r="90" spans="1:15" ht="11.25" customHeight="1" x14ac:dyDescent="0.2">
      <c r="A90" s="256"/>
      <c r="B90" s="138"/>
      <c r="C90" s="138"/>
      <c r="D90" s="138"/>
      <c r="E90" s="138"/>
      <c r="F90" s="138"/>
      <c r="G90" s="139"/>
      <c r="H90" s="293"/>
      <c r="I90" s="189"/>
      <c r="J90" s="308"/>
      <c r="K90" s="308"/>
      <c r="L90" s="308"/>
      <c r="M90" s="308"/>
      <c r="N90" s="189"/>
      <c r="O90" s="300"/>
    </row>
    <row r="91" spans="1:15" ht="11.25" customHeight="1" x14ac:dyDescent="0.2">
      <c r="A91" s="291"/>
      <c r="B91" s="155" t="s">
        <v>18</v>
      </c>
      <c r="C91" s="160"/>
      <c r="D91" s="160"/>
      <c r="E91" s="160"/>
      <c r="F91" s="144"/>
      <c r="G91" s="161"/>
      <c r="H91" s="656"/>
      <c r="I91" s="334"/>
      <c r="J91" s="334"/>
      <c r="K91" s="334"/>
      <c r="L91" s="334"/>
      <c r="M91" s="334"/>
      <c r="N91" s="315">
        <f>SUM(N89:N90)</f>
        <v>9081.4219999999987</v>
      </c>
      <c r="O91" s="301">
        <f>N91/N104</f>
        <v>0.17439288891181182</v>
      </c>
    </row>
    <row r="92" spans="1:15" ht="11.25" customHeight="1" x14ac:dyDescent="0.2">
      <c r="A92" s="291"/>
      <c r="B92" s="138"/>
      <c r="C92" s="138"/>
      <c r="D92" s="138"/>
      <c r="E92" s="138"/>
      <c r="F92" s="138"/>
      <c r="G92" s="137"/>
      <c r="H92" s="652"/>
      <c r="I92" s="333"/>
      <c r="J92" s="313"/>
      <c r="K92" s="313"/>
      <c r="L92" s="313"/>
      <c r="M92" s="313"/>
      <c r="N92" s="189"/>
      <c r="O92" s="300"/>
    </row>
    <row r="93" spans="1:15" ht="12" customHeight="1" x14ac:dyDescent="0.2">
      <c r="A93" s="256" t="s">
        <v>321</v>
      </c>
      <c r="B93" s="834" t="s">
        <v>322</v>
      </c>
      <c r="C93" s="834"/>
      <c r="D93" s="834"/>
      <c r="E93" s="834"/>
      <c r="F93" s="834"/>
      <c r="G93" s="137"/>
      <c r="H93" s="652"/>
      <c r="I93" s="333"/>
      <c r="J93" s="313"/>
      <c r="K93" s="313"/>
      <c r="L93" s="313"/>
      <c r="M93" s="313"/>
      <c r="N93" s="333"/>
      <c r="O93" s="299"/>
    </row>
    <row r="94" spans="1:15" ht="12" customHeight="1" x14ac:dyDescent="0.2">
      <c r="A94" s="256" t="s">
        <v>323</v>
      </c>
      <c r="B94" s="834" t="s">
        <v>324</v>
      </c>
      <c r="C94" s="834"/>
      <c r="D94" s="834"/>
      <c r="E94" s="834"/>
      <c r="F94" s="834"/>
      <c r="G94" s="139" t="s">
        <v>325</v>
      </c>
      <c r="H94" s="293">
        <f>H100*80*0.98</f>
        <v>3397.6807076049204</v>
      </c>
      <c r="I94" s="323">
        <f>VLOOKUP(A94,'[1]TAB OGU JUN18'!$A:$G,6,"falso")</f>
        <v>5.01</v>
      </c>
      <c r="J94" s="323">
        <f>VLOOKUP(A94,'[1]TAB OGU JUN18'!$A:$G,4,"falso")</f>
        <v>2.4500000000000002</v>
      </c>
      <c r="K94" s="308">
        <f>H94*J94</f>
        <v>8324.317733632055</v>
      </c>
      <c r="L94" s="323">
        <f>VLOOKUP(A94,'[1]TAB OGU JUN18'!$A:$G,5,"falso")</f>
        <v>2.56</v>
      </c>
      <c r="M94" s="308">
        <f>H94*L94</f>
        <v>8698.0626114685965</v>
      </c>
      <c r="N94" s="308">
        <f>H94*I94</f>
        <v>17022.38034510065</v>
      </c>
      <c r="O94" s="192">
        <f>N94/N97</f>
        <v>0.96840236686390535</v>
      </c>
    </row>
    <row r="95" spans="1:15" ht="12" customHeight="1" x14ac:dyDescent="0.2">
      <c r="A95" s="256" t="s">
        <v>326</v>
      </c>
      <c r="B95" s="834" t="s">
        <v>327</v>
      </c>
      <c r="C95" s="834"/>
      <c r="D95" s="834"/>
      <c r="E95" s="834"/>
      <c r="F95" s="834"/>
      <c r="G95" s="139" t="s">
        <v>325</v>
      </c>
      <c r="H95" s="293">
        <f>H100*80*0.02</f>
        <v>69.340422604182052</v>
      </c>
      <c r="I95" s="323">
        <f>VLOOKUP(A95,'[1]TAB OGU JUN18'!$A:$G,6,"falso")</f>
        <v>8.01</v>
      </c>
      <c r="J95" s="323">
        <f>VLOOKUP(A95,'[1]TAB OGU JUN18'!$A:$G,4,"falso")</f>
        <v>3.68</v>
      </c>
      <c r="K95" s="308">
        <f>H95*J95</f>
        <v>255.17275518338997</v>
      </c>
      <c r="L95" s="323">
        <f>VLOOKUP(A95,'[1]TAB OGU JUN18'!$A:$G,5,"falso")</f>
        <v>4.33</v>
      </c>
      <c r="M95" s="308">
        <f>H95*L95</f>
        <v>300.2440298761083</v>
      </c>
      <c r="N95" s="308">
        <f>H95*I95</f>
        <v>555.41678505949824</v>
      </c>
      <c r="O95" s="192">
        <f>N95/N97</f>
        <v>3.1597633136094684E-2</v>
      </c>
    </row>
    <row r="96" spans="1:15" ht="12" customHeight="1" x14ac:dyDescent="0.2">
      <c r="A96" s="256"/>
      <c r="B96" s="138"/>
      <c r="C96" s="138"/>
      <c r="D96" s="138"/>
      <c r="E96" s="138"/>
      <c r="F96" s="138"/>
      <c r="G96" s="139"/>
      <c r="H96" s="293"/>
      <c r="I96" s="189"/>
      <c r="J96" s="308"/>
      <c r="K96" s="308"/>
      <c r="L96" s="308"/>
      <c r="M96" s="308"/>
      <c r="N96" s="189"/>
      <c r="O96" s="300"/>
    </row>
    <row r="97" spans="1:35" ht="12" customHeight="1" x14ac:dyDescent="0.2">
      <c r="A97" s="291"/>
      <c r="B97" s="155" t="s">
        <v>18</v>
      </c>
      <c r="C97" s="160"/>
      <c r="D97" s="160"/>
      <c r="E97" s="160"/>
      <c r="F97" s="144"/>
      <c r="G97" s="161"/>
      <c r="H97" s="656"/>
      <c r="I97" s="334"/>
      <c r="J97" s="334"/>
      <c r="K97" s="334"/>
      <c r="L97" s="334"/>
      <c r="M97" s="334"/>
      <c r="N97" s="315">
        <f>SUM(N94:N96)</f>
        <v>17577.797130160146</v>
      </c>
      <c r="O97" s="301">
        <f>N97/N104</f>
        <v>0.33755097188902616</v>
      </c>
    </row>
    <row r="98" spans="1:35" ht="12" customHeight="1" x14ac:dyDescent="0.2">
      <c r="A98" s="291"/>
      <c r="B98" s="138"/>
      <c r="C98" s="138"/>
      <c r="D98" s="138"/>
      <c r="E98" s="138"/>
      <c r="F98" s="138"/>
      <c r="G98" s="162"/>
      <c r="H98" s="641"/>
      <c r="I98" s="333"/>
      <c r="J98" s="313"/>
      <c r="K98" s="313"/>
      <c r="L98" s="313"/>
      <c r="M98" s="313"/>
      <c r="N98" s="189"/>
      <c r="O98" s="300"/>
    </row>
    <row r="99" spans="1:35" ht="12" customHeight="1" x14ac:dyDescent="0.2">
      <c r="A99" s="256" t="s">
        <v>328</v>
      </c>
      <c r="B99" s="834" t="s">
        <v>329</v>
      </c>
      <c r="C99" s="834"/>
      <c r="D99" s="834"/>
      <c r="E99" s="834"/>
      <c r="F99" s="834"/>
      <c r="G99" s="162"/>
      <c r="H99" s="641"/>
      <c r="I99" s="333"/>
      <c r="J99" s="313"/>
      <c r="K99" s="313"/>
      <c r="L99" s="313"/>
      <c r="M99" s="313"/>
      <c r="N99" s="333"/>
      <c r="O99" s="299"/>
    </row>
    <row r="100" spans="1:35" ht="12" customHeight="1" x14ac:dyDescent="0.2">
      <c r="A100" s="256" t="s">
        <v>677</v>
      </c>
      <c r="B100" s="834" t="s">
        <v>1435</v>
      </c>
      <c r="C100" s="834"/>
      <c r="D100" s="834"/>
      <c r="E100" s="834"/>
      <c r="F100" s="834"/>
      <c r="G100" s="139" t="s">
        <v>32</v>
      </c>
      <c r="H100" s="189">
        <f>(22.613+(H74*(PI()*0.25^2)/4))*1.9</f>
        <v>43.337764127613781</v>
      </c>
      <c r="I100" s="323">
        <f>VLOOKUP(A100,'[1]TAB OGU JUN18'!$A:$G,6,"falso")</f>
        <v>542.5</v>
      </c>
      <c r="J100" s="323">
        <f>VLOOKUP(A100,'[1]TAB OGU JUN18'!$A:$G,4,"falso")</f>
        <v>284.58999999999997</v>
      </c>
      <c r="K100" s="308">
        <f>H100*J100</f>
        <v>12333.494293077605</v>
      </c>
      <c r="L100" s="323">
        <f>VLOOKUP(A100,'[1]TAB OGU JUN18'!$A:$G,5,"falso")</f>
        <v>257.91000000000003</v>
      </c>
      <c r="M100" s="308">
        <f>H100*L100</f>
        <v>11177.242746152871</v>
      </c>
      <c r="N100" s="308">
        <f>H100*I100</f>
        <v>23510.737039230477</v>
      </c>
      <c r="O100" s="192">
        <f>N100/N102</f>
        <v>1</v>
      </c>
    </row>
    <row r="101" spans="1:35" ht="12" customHeight="1" x14ac:dyDescent="0.2">
      <c r="A101" s="292"/>
      <c r="B101" s="254"/>
      <c r="C101" s="254"/>
      <c r="D101" s="254"/>
      <c r="E101" s="254"/>
      <c r="F101" s="254"/>
      <c r="G101" s="163"/>
      <c r="H101" s="293"/>
      <c r="I101" s="293"/>
      <c r="J101" s="308"/>
      <c r="K101" s="308"/>
      <c r="L101" s="308"/>
      <c r="M101" s="308"/>
      <c r="N101" s="293"/>
      <c r="O101" s="320"/>
    </row>
    <row r="102" spans="1:35" ht="12" customHeight="1" x14ac:dyDescent="0.2">
      <c r="A102" s="291"/>
      <c r="B102" s="155" t="s">
        <v>18</v>
      </c>
      <c r="C102" s="160"/>
      <c r="D102" s="160"/>
      <c r="E102" s="160"/>
      <c r="F102" s="144"/>
      <c r="G102" s="161"/>
      <c r="H102" s="656"/>
      <c r="I102" s="334"/>
      <c r="J102" s="334"/>
      <c r="K102" s="334"/>
      <c r="L102" s="334"/>
      <c r="M102" s="334"/>
      <c r="N102" s="315">
        <f>SUM(N100:N101)</f>
        <v>23510.737039230477</v>
      </c>
      <c r="O102" s="301">
        <f>N102/N104</f>
        <v>0.45148274716419307</v>
      </c>
    </row>
    <row r="103" spans="1:35" ht="12" customHeight="1" x14ac:dyDescent="0.2">
      <c r="A103" s="291"/>
      <c r="B103" s="834"/>
      <c r="C103" s="834"/>
      <c r="D103" s="834"/>
      <c r="E103" s="834"/>
      <c r="F103" s="834"/>
      <c r="G103" s="137"/>
      <c r="H103" s="641"/>
      <c r="I103" s="333"/>
      <c r="J103" s="313"/>
      <c r="K103" s="313"/>
      <c r="L103" s="313"/>
      <c r="M103" s="313"/>
      <c r="N103" s="189"/>
      <c r="O103" s="300"/>
      <c r="U103" s="140"/>
      <c r="V103" s="834"/>
      <c r="W103" s="834"/>
      <c r="X103" s="834"/>
      <c r="Y103" s="834"/>
      <c r="Z103" s="834"/>
      <c r="AA103" s="158"/>
      <c r="AB103" s="376"/>
      <c r="AC103" s="376"/>
      <c r="AD103" s="313"/>
      <c r="AE103" s="313"/>
      <c r="AF103" s="313"/>
      <c r="AG103" s="313"/>
      <c r="AH103" s="376"/>
      <c r="AI103" s="220"/>
    </row>
    <row r="104" spans="1:35" ht="12" customHeight="1" x14ac:dyDescent="0.2">
      <c r="A104" s="294"/>
      <c r="B104" s="165" t="s">
        <v>20</v>
      </c>
      <c r="C104" s="166"/>
      <c r="D104" s="166"/>
      <c r="E104" s="166"/>
      <c r="F104" s="167"/>
      <c r="G104" s="168"/>
      <c r="H104" s="659"/>
      <c r="I104" s="368"/>
      <c r="J104" s="368"/>
      <c r="K104" s="368"/>
      <c r="L104" s="368"/>
      <c r="M104" s="368"/>
      <c r="N104" s="369">
        <f>N76+N81+N86+N91+N97+N102</f>
        <v>52074.497169390626</v>
      </c>
      <c r="O104" s="321">
        <f>N104/N151</f>
        <v>0.11034807507384901</v>
      </c>
      <c r="U104" s="140"/>
      <c r="V104" s="142"/>
      <c r="W104" s="142"/>
      <c r="X104" s="142"/>
      <c r="Y104" s="142"/>
      <c r="Z104" s="142"/>
      <c r="AA104" s="163"/>
      <c r="AB104" s="189"/>
      <c r="AC104" s="323"/>
      <c r="AD104" s="323"/>
      <c r="AE104" s="308"/>
      <c r="AF104" s="323"/>
      <c r="AG104" s="308"/>
      <c r="AH104" s="315"/>
      <c r="AI104" s="192"/>
    </row>
    <row r="105" spans="1:35" ht="12" customHeight="1" x14ac:dyDescent="0.2">
      <c r="A105" s="294"/>
      <c r="B105" s="165"/>
      <c r="C105" s="165"/>
      <c r="D105" s="165"/>
      <c r="E105" s="165"/>
      <c r="F105" s="480"/>
      <c r="G105" s="481"/>
      <c r="H105" s="661"/>
      <c r="I105" s="482"/>
      <c r="J105" s="482"/>
      <c r="K105" s="482"/>
      <c r="L105" s="482"/>
      <c r="M105" s="482"/>
      <c r="N105" s="369"/>
      <c r="O105" s="321"/>
      <c r="U105" s="140"/>
      <c r="V105" s="138"/>
      <c r="W105" s="138"/>
      <c r="X105" s="138"/>
      <c r="Y105" s="138"/>
      <c r="Z105" s="138"/>
      <c r="AA105" s="163"/>
      <c r="AB105" s="221"/>
      <c r="AC105" s="221"/>
      <c r="AD105" s="313"/>
      <c r="AE105" s="313"/>
      <c r="AF105" s="313"/>
      <c r="AG105" s="313"/>
      <c r="AH105" s="221"/>
      <c r="AI105" s="220"/>
    </row>
    <row r="106" spans="1:35" ht="12" customHeight="1" x14ac:dyDescent="0.2">
      <c r="A106" s="256" t="s">
        <v>127</v>
      </c>
      <c r="B106" s="834" t="s">
        <v>953</v>
      </c>
      <c r="C106" s="834"/>
      <c r="D106" s="834"/>
      <c r="E106" s="834"/>
      <c r="F106" s="834"/>
      <c r="G106" s="162"/>
      <c r="H106" s="641"/>
      <c r="I106" s="333"/>
      <c r="J106" s="313"/>
      <c r="K106" s="313"/>
      <c r="L106" s="313"/>
      <c r="M106" s="313"/>
      <c r="N106" s="333"/>
      <c r="O106" s="299"/>
      <c r="U106" s="202"/>
      <c r="V106" s="142"/>
      <c r="W106" s="143"/>
      <c r="X106" s="143"/>
      <c r="Y106" s="143"/>
      <c r="Z106" s="143"/>
      <c r="AA106" s="222"/>
      <c r="AB106" s="378"/>
      <c r="AC106" s="378"/>
      <c r="AD106" s="378"/>
      <c r="AE106" s="378"/>
      <c r="AF106" s="378"/>
      <c r="AG106" s="378"/>
      <c r="AH106" s="221"/>
      <c r="AI106" s="220"/>
    </row>
    <row r="107" spans="1:35" ht="12" customHeight="1" x14ac:dyDescent="0.2">
      <c r="A107" s="256" t="s">
        <v>128</v>
      </c>
      <c r="B107" s="834" t="s">
        <v>943</v>
      </c>
      <c r="C107" s="834"/>
      <c r="D107" s="834"/>
      <c r="E107" s="834"/>
      <c r="F107" s="834"/>
      <c r="G107" s="137"/>
      <c r="H107" s="641"/>
      <c r="I107" s="330"/>
      <c r="J107" s="330"/>
      <c r="K107" s="331"/>
      <c r="L107" s="311"/>
      <c r="M107" s="311"/>
      <c r="N107" s="313"/>
      <c r="O107" s="219"/>
      <c r="U107" s="202"/>
      <c r="V107" s="138"/>
      <c r="W107" s="138"/>
      <c r="X107" s="138"/>
      <c r="Y107" s="138"/>
      <c r="Z107" s="138"/>
      <c r="AA107" s="158"/>
      <c r="AB107" s="376"/>
      <c r="AC107" s="376"/>
      <c r="AD107" s="313"/>
      <c r="AE107" s="313"/>
      <c r="AF107" s="313"/>
      <c r="AG107" s="313"/>
      <c r="AH107" s="221"/>
      <c r="AI107" s="220"/>
    </row>
    <row r="108" spans="1:35" ht="12" customHeight="1" x14ac:dyDescent="0.2">
      <c r="A108" s="256" t="s">
        <v>207</v>
      </c>
      <c r="B108" s="834" t="s">
        <v>944</v>
      </c>
      <c r="C108" s="834"/>
      <c r="D108" s="834"/>
      <c r="E108" s="834"/>
      <c r="F108" s="834"/>
      <c r="G108" s="97" t="s">
        <v>17</v>
      </c>
      <c r="H108" s="189">
        <v>59.64</v>
      </c>
      <c r="I108" s="323">
        <f>VLOOKUP(A108,'[1]TAB OGU JUN18'!$A:$G,6,"falso")</f>
        <v>3.14</v>
      </c>
      <c r="J108" s="323">
        <f>VLOOKUP(A108,'[1]TAB OGU JUN18'!$A:$G,4,"falso")</f>
        <v>3.01</v>
      </c>
      <c r="K108" s="308">
        <f>H108*J108</f>
        <v>179.51639999999998</v>
      </c>
      <c r="L108" s="323">
        <f>VLOOKUP(A108,'[1]TAB OGU JUN18'!$A:$G,5,"falso")</f>
        <v>0.13</v>
      </c>
      <c r="M108" s="308">
        <f>H108*L108</f>
        <v>7.7532000000000005</v>
      </c>
      <c r="N108" s="308">
        <f>H108*I108</f>
        <v>187.2696</v>
      </c>
      <c r="O108" s="297">
        <f>N108/N110</f>
        <v>1</v>
      </c>
      <c r="U108" s="203"/>
      <c r="V108" s="175"/>
      <c r="W108" s="176"/>
      <c r="X108" s="176"/>
      <c r="Y108" s="176"/>
      <c r="Z108" s="176"/>
      <c r="AA108" s="223"/>
      <c r="AB108" s="379"/>
      <c r="AC108" s="379"/>
      <c r="AD108" s="379"/>
      <c r="AE108" s="379"/>
      <c r="AF108" s="379"/>
      <c r="AG108" s="379"/>
      <c r="AH108" s="224"/>
      <c r="AI108" s="218"/>
    </row>
    <row r="109" spans="1:35" ht="12" customHeight="1" x14ac:dyDescent="0.2">
      <c r="A109" s="256"/>
      <c r="B109" s="138"/>
      <c r="C109" s="138"/>
      <c r="D109" s="138"/>
      <c r="E109" s="138"/>
      <c r="F109" s="138"/>
      <c r="G109" s="139"/>
      <c r="H109" s="189"/>
      <c r="I109" s="296"/>
      <c r="J109" s="296"/>
      <c r="K109" s="296"/>
      <c r="L109" s="296"/>
      <c r="M109" s="296"/>
      <c r="N109" s="189"/>
      <c r="O109" s="297"/>
    </row>
    <row r="110" spans="1:35" ht="12" customHeight="1" x14ac:dyDescent="0.2">
      <c r="A110" s="291"/>
      <c r="B110" s="142" t="s">
        <v>18</v>
      </c>
      <c r="C110" s="143"/>
      <c r="D110" s="143"/>
      <c r="E110" s="143"/>
      <c r="F110" s="143"/>
      <c r="G110" s="173"/>
      <c r="H110" s="663"/>
      <c r="I110" s="336"/>
      <c r="J110" s="336"/>
      <c r="K110" s="336"/>
      <c r="L110" s="336"/>
      <c r="M110" s="336"/>
      <c r="N110" s="189">
        <f>SUM(N108:N109)</f>
        <v>187.2696</v>
      </c>
      <c r="O110" s="297">
        <f>N110/N112</f>
        <v>1</v>
      </c>
    </row>
    <row r="111" spans="1:35" ht="12" customHeight="1" x14ac:dyDescent="0.2">
      <c r="A111" s="291"/>
      <c r="B111" s="138"/>
      <c r="C111" s="138"/>
      <c r="D111" s="138"/>
      <c r="E111" s="138"/>
      <c r="F111" s="138"/>
      <c r="G111" s="162"/>
      <c r="H111" s="641"/>
      <c r="I111" s="330"/>
      <c r="J111" s="311"/>
      <c r="K111" s="311"/>
      <c r="L111" s="311"/>
      <c r="M111" s="311"/>
      <c r="N111" s="189"/>
      <c r="O111" s="297"/>
    </row>
    <row r="112" spans="1:35" s="132" customFormat="1" ht="12" customHeight="1" x14ac:dyDescent="0.2">
      <c r="A112" s="294"/>
      <c r="B112" s="175" t="s">
        <v>20</v>
      </c>
      <c r="C112" s="176"/>
      <c r="D112" s="176"/>
      <c r="E112" s="176"/>
      <c r="F112" s="176"/>
      <c r="G112" s="178"/>
      <c r="H112" s="666"/>
      <c r="I112" s="338"/>
      <c r="J112" s="338"/>
      <c r="K112" s="338"/>
      <c r="L112" s="338"/>
      <c r="M112" s="338"/>
      <c r="N112" s="295">
        <f>N110</f>
        <v>187.2696</v>
      </c>
      <c r="O112" s="186">
        <f>N112/N151</f>
        <v>3.9683225000963546E-4</v>
      </c>
    </row>
    <row r="113" spans="1:16" s="132" customFormat="1" ht="12" customHeight="1" x14ac:dyDescent="0.2">
      <c r="A113" s="294"/>
      <c r="B113" s="175"/>
      <c r="C113" s="630"/>
      <c r="D113" s="630"/>
      <c r="E113" s="630"/>
      <c r="F113" s="630"/>
      <c r="G113" s="631"/>
      <c r="H113" s="710"/>
      <c r="I113" s="632"/>
      <c r="J113" s="632"/>
      <c r="K113" s="632"/>
      <c r="L113" s="632"/>
      <c r="M113" s="632"/>
      <c r="N113" s="295"/>
      <c r="O113" s="186"/>
    </row>
    <row r="114" spans="1:16" s="132" customFormat="1" ht="12" customHeight="1" x14ac:dyDescent="0.2">
      <c r="A114" s="294"/>
      <c r="B114" s="175"/>
      <c r="C114" s="175"/>
      <c r="D114" s="175"/>
      <c r="E114" s="175"/>
      <c r="F114" s="175"/>
      <c r="G114" s="425"/>
      <c r="H114" s="669"/>
      <c r="I114" s="372"/>
      <c r="J114" s="372"/>
      <c r="K114" s="372"/>
      <c r="L114" s="372"/>
      <c r="M114" s="372"/>
      <c r="N114" s="295"/>
      <c r="O114" s="186"/>
    </row>
    <row r="115" spans="1:16" ht="12" hidden="1" customHeight="1" x14ac:dyDescent="0.2">
      <c r="A115" s="256">
        <v>12</v>
      </c>
      <c r="B115" s="834" t="s">
        <v>377</v>
      </c>
      <c r="C115" s="834"/>
      <c r="D115" s="834"/>
      <c r="E115" s="834"/>
      <c r="F115" s="834"/>
      <c r="G115" s="137"/>
      <c r="H115" s="641"/>
      <c r="I115" s="333"/>
      <c r="J115" s="313"/>
      <c r="K115" s="313"/>
      <c r="L115" s="313"/>
      <c r="M115" s="313"/>
      <c r="N115" s="333"/>
      <c r="O115" s="299"/>
    </row>
    <row r="116" spans="1:16" ht="12" customHeight="1" x14ac:dyDescent="0.2">
      <c r="A116" s="644" t="s">
        <v>344</v>
      </c>
      <c r="B116" s="837" t="s">
        <v>1376</v>
      </c>
      <c r="C116" s="837"/>
      <c r="D116" s="837"/>
      <c r="E116" s="837"/>
      <c r="F116" s="837"/>
      <c r="G116" s="139"/>
      <c r="H116" s="641"/>
      <c r="I116" s="330"/>
      <c r="J116" s="311"/>
      <c r="K116" s="311"/>
      <c r="L116" s="370"/>
      <c r="M116" s="311"/>
      <c r="N116" s="189"/>
      <c r="O116" s="297"/>
    </row>
    <row r="117" spans="1:16" ht="12" customHeight="1" x14ac:dyDescent="0.2">
      <c r="A117" s="644" t="s">
        <v>346</v>
      </c>
      <c r="B117" s="834" t="s">
        <v>347</v>
      </c>
      <c r="C117" s="834"/>
      <c r="D117" s="834"/>
      <c r="E117" s="834"/>
      <c r="F117" s="834"/>
      <c r="G117" s="139" t="s">
        <v>31</v>
      </c>
      <c r="H117" s="286">
        <f>(29.62*2)+(18.19)</f>
        <v>77.430000000000007</v>
      </c>
      <c r="I117" s="645">
        <f>VLOOKUP($A$117,'[1]TAB OGU JUN18'!$A:$G,6,"falso")</f>
        <v>70.69</v>
      </c>
      <c r="J117" s="645">
        <f>VLOOKUP($A$117,'[1]TAB OGU JUN18'!$A:$G,4,"falso")</f>
        <v>12.86</v>
      </c>
      <c r="K117" s="645">
        <f>J117*H117</f>
        <v>995.74980000000005</v>
      </c>
      <c r="L117" s="645">
        <f>VLOOKUP($A$117,'[1]TAB OGU JUN18'!$A:$G,5,"falso")</f>
        <v>57.83</v>
      </c>
      <c r="M117" s="323">
        <f>L117*H117</f>
        <v>4477.7768999999998</v>
      </c>
      <c r="N117" s="286">
        <f>I117*H117</f>
        <v>5473.5267000000003</v>
      </c>
      <c r="O117" s="297">
        <f>N117/N119</f>
        <v>1</v>
      </c>
    </row>
    <row r="118" spans="1:16" ht="12" customHeight="1" x14ac:dyDescent="0.2">
      <c r="A118" s="291"/>
      <c r="B118" s="576"/>
      <c r="C118" s="576"/>
      <c r="D118" s="576"/>
      <c r="E118" s="576"/>
      <c r="F118" s="576"/>
      <c r="G118" s="162"/>
      <c r="H118" s="641"/>
      <c r="I118" s="349"/>
      <c r="J118" s="346"/>
      <c r="K118" s="346"/>
      <c r="L118" s="370"/>
      <c r="M118" s="346"/>
      <c r="N118" s="286"/>
      <c r="O118" s="297"/>
    </row>
    <row r="119" spans="1:16" ht="12" customHeight="1" x14ac:dyDescent="0.2">
      <c r="A119" s="291"/>
      <c r="B119" s="142" t="s">
        <v>18</v>
      </c>
      <c r="C119" s="143"/>
      <c r="D119" s="143"/>
      <c r="E119" s="143"/>
      <c r="F119" s="143"/>
      <c r="G119" s="173"/>
      <c r="H119" s="663"/>
      <c r="I119" s="336"/>
      <c r="J119" s="336"/>
      <c r="K119" s="336"/>
      <c r="L119" s="336"/>
      <c r="M119" s="336"/>
      <c r="N119" s="189">
        <f>SUM(N117:N118)</f>
        <v>5473.5267000000003</v>
      </c>
      <c r="O119" s="297">
        <f>N119/N126</f>
        <v>0.24353707870309804</v>
      </c>
    </row>
    <row r="120" spans="1:16" ht="12" customHeight="1" x14ac:dyDescent="0.2">
      <c r="A120" s="256"/>
      <c r="B120" s="576"/>
      <c r="C120" s="576"/>
      <c r="D120" s="576"/>
      <c r="E120" s="576"/>
      <c r="F120" s="576"/>
      <c r="G120" s="577"/>
      <c r="H120" s="641"/>
      <c r="I120" s="333"/>
      <c r="J120" s="313"/>
      <c r="K120" s="313"/>
      <c r="L120" s="313"/>
      <c r="M120" s="313"/>
      <c r="N120" s="333"/>
      <c r="O120" s="299"/>
    </row>
    <row r="121" spans="1:16" ht="12" customHeight="1" x14ac:dyDescent="0.2">
      <c r="A121" s="256">
        <v>1206</v>
      </c>
      <c r="B121" s="834" t="s">
        <v>647</v>
      </c>
      <c r="C121" s="834"/>
      <c r="D121" s="834"/>
      <c r="E121" s="834"/>
      <c r="F121" s="834"/>
      <c r="G121" s="137"/>
      <c r="H121" s="641"/>
      <c r="I121" s="333"/>
      <c r="J121" s="313"/>
      <c r="K121" s="313"/>
      <c r="L121" s="313"/>
      <c r="M121" s="313"/>
      <c r="N121" s="333"/>
      <c r="O121" s="299"/>
    </row>
    <row r="122" spans="1:16" ht="14.25" customHeight="1" x14ac:dyDescent="0.2">
      <c r="A122" s="256" t="s">
        <v>545</v>
      </c>
      <c r="B122" s="837" t="s">
        <v>1050</v>
      </c>
      <c r="C122" s="837"/>
      <c r="D122" s="837"/>
      <c r="E122" s="837"/>
      <c r="F122" s="837"/>
      <c r="G122" s="163" t="s">
        <v>31</v>
      </c>
      <c r="H122" s="293">
        <f>H14*1.1</f>
        <v>5667.2000000000007</v>
      </c>
      <c r="I122" s="323">
        <v>3</v>
      </c>
      <c r="J122" s="323">
        <v>3</v>
      </c>
      <c r="K122" s="308">
        <f>H122*J122</f>
        <v>17001.600000000002</v>
      </c>
      <c r="L122" s="323"/>
      <c r="M122" s="308"/>
      <c r="N122" s="308">
        <f>H122*I122</f>
        <v>17001.600000000002</v>
      </c>
      <c r="O122" s="192">
        <f>N122/N124</f>
        <v>1</v>
      </c>
      <c r="P122" s="51" t="s">
        <v>634</v>
      </c>
    </row>
    <row r="123" spans="1:16" ht="12" customHeight="1" x14ac:dyDescent="0.2">
      <c r="A123" s="292"/>
      <c r="B123" s="254"/>
      <c r="C123" s="254"/>
      <c r="D123" s="254"/>
      <c r="E123" s="254"/>
      <c r="F123" s="254"/>
      <c r="G123" s="164"/>
      <c r="H123" s="293"/>
      <c r="I123" s="293"/>
      <c r="J123" s="313"/>
      <c r="K123" s="313"/>
      <c r="L123" s="313"/>
      <c r="M123" s="313"/>
      <c r="N123" s="293"/>
      <c r="O123" s="320"/>
    </row>
    <row r="124" spans="1:16" ht="12" customHeight="1" x14ac:dyDescent="0.2">
      <c r="A124" s="291"/>
      <c r="B124" s="155" t="s">
        <v>18</v>
      </c>
      <c r="C124" s="160"/>
      <c r="D124" s="160"/>
      <c r="E124" s="160"/>
      <c r="F124" s="144"/>
      <c r="G124" s="161"/>
      <c r="H124" s="656"/>
      <c r="I124" s="334"/>
      <c r="J124" s="334"/>
      <c r="K124" s="334"/>
      <c r="L124" s="334"/>
      <c r="M124" s="334"/>
      <c r="N124" s="315">
        <f>SUM(N122:N123)</f>
        <v>17001.600000000002</v>
      </c>
      <c r="O124" s="301">
        <f>N124/N126</f>
        <v>0.75646292129690207</v>
      </c>
    </row>
    <row r="125" spans="1:16" ht="12" customHeight="1" x14ac:dyDescent="0.2">
      <c r="A125" s="291"/>
      <c r="B125" s="834"/>
      <c r="C125" s="834"/>
      <c r="D125" s="834"/>
      <c r="E125" s="834"/>
      <c r="F125" s="834"/>
      <c r="G125" s="137"/>
      <c r="H125" s="641"/>
      <c r="I125" s="333"/>
      <c r="J125" s="313"/>
      <c r="K125" s="313"/>
      <c r="L125" s="313"/>
      <c r="M125" s="313"/>
      <c r="N125" s="189"/>
      <c r="O125" s="300"/>
    </row>
    <row r="126" spans="1:16" s="132" customFormat="1" ht="12" customHeight="1" x14ac:dyDescent="0.2">
      <c r="A126" s="294"/>
      <c r="B126" s="165" t="s">
        <v>20</v>
      </c>
      <c r="C126" s="166"/>
      <c r="D126" s="166"/>
      <c r="E126" s="166"/>
      <c r="F126" s="167"/>
      <c r="G126" s="168"/>
      <c r="H126" s="659"/>
      <c r="I126" s="368"/>
      <c r="J126" s="368"/>
      <c r="K126" s="368"/>
      <c r="L126" s="368"/>
      <c r="M126" s="368"/>
      <c r="N126" s="369">
        <f>N124+N119</f>
        <v>22475.126700000001</v>
      </c>
      <c r="O126" s="321">
        <f>N126/N151</f>
        <v>4.7625749708509198E-2</v>
      </c>
    </row>
    <row r="127" spans="1:16" s="132" customFormat="1" ht="12" customHeight="1" x14ac:dyDescent="0.2">
      <c r="A127" s="294"/>
      <c r="B127" s="165"/>
      <c r="C127" s="165"/>
      <c r="D127" s="165"/>
      <c r="E127" s="165"/>
      <c r="F127" s="480"/>
      <c r="G127" s="481"/>
      <c r="H127" s="661"/>
      <c r="I127" s="482"/>
      <c r="J127" s="482"/>
      <c r="K127" s="482"/>
      <c r="L127" s="482"/>
      <c r="M127" s="482"/>
      <c r="N127" s="369"/>
      <c r="O127" s="321"/>
    </row>
    <row r="128" spans="1:16" s="132" customFormat="1" ht="12" customHeight="1" x14ac:dyDescent="0.2">
      <c r="A128" s="140">
        <v>1418</v>
      </c>
      <c r="B128" s="834" t="s">
        <v>443</v>
      </c>
      <c r="C128" s="834"/>
      <c r="D128" s="834"/>
      <c r="E128" s="834"/>
      <c r="F128" s="834"/>
      <c r="G128" s="158"/>
      <c r="H128" s="672"/>
      <c r="I128" s="376"/>
      <c r="J128" s="313"/>
      <c r="K128" s="313"/>
      <c r="L128" s="313"/>
      <c r="M128" s="313"/>
      <c r="N128" s="376"/>
      <c r="O128" s="220"/>
    </row>
    <row r="129" spans="1:15" s="132" customFormat="1" ht="12" customHeight="1" x14ac:dyDescent="0.2">
      <c r="A129" s="140" t="s">
        <v>731</v>
      </c>
      <c r="B129" s="142" t="s">
        <v>730</v>
      </c>
      <c r="C129" s="142"/>
      <c r="D129" s="142"/>
      <c r="E129" s="142"/>
      <c r="F129" s="142"/>
      <c r="G129" s="163" t="s">
        <v>17</v>
      </c>
      <c r="H129" s="189">
        <v>1</v>
      </c>
      <c r="I129" s="323">
        <f>VLOOKUP(A129,'[1]TAB OGU JUN18'!$A:$G,6,"falso")</f>
        <v>121.13</v>
      </c>
      <c r="J129" s="323">
        <f>VLOOKUP(A129,'[1]TAB OGU JUN18'!$A:$G,4,"falso")</f>
        <v>43.06</v>
      </c>
      <c r="K129" s="308">
        <f>H129*J129</f>
        <v>43.06</v>
      </c>
      <c r="L129" s="323">
        <f>VLOOKUP(A129,'[1]TAB OGU JUN18'!$A:$G,5,"falso")</f>
        <v>78.069999999999993</v>
      </c>
      <c r="M129" s="308">
        <f>H129*L129</f>
        <v>78.069999999999993</v>
      </c>
      <c r="N129" s="315">
        <f>H129*I129</f>
        <v>121.13</v>
      </c>
      <c r="O129" s="192">
        <f>N129/N131</f>
        <v>1</v>
      </c>
    </row>
    <row r="130" spans="1:15" s="132" customFormat="1" ht="12" customHeight="1" x14ac:dyDescent="0.2">
      <c r="A130" s="140"/>
      <c r="B130" s="138"/>
      <c r="C130" s="138"/>
      <c r="D130" s="138"/>
      <c r="E130" s="138"/>
      <c r="F130" s="138"/>
      <c r="G130" s="163"/>
      <c r="H130" s="221"/>
      <c r="I130" s="221"/>
      <c r="J130" s="313"/>
      <c r="K130" s="313"/>
      <c r="L130" s="313"/>
      <c r="M130" s="313"/>
      <c r="N130" s="221"/>
      <c r="O130" s="220"/>
    </row>
    <row r="131" spans="1:15" s="132" customFormat="1" ht="12" customHeight="1" x14ac:dyDescent="0.2">
      <c r="A131" s="202"/>
      <c r="B131" s="142" t="s">
        <v>18</v>
      </c>
      <c r="C131" s="143"/>
      <c r="D131" s="143"/>
      <c r="E131" s="143"/>
      <c r="F131" s="143"/>
      <c r="G131" s="222"/>
      <c r="H131" s="675"/>
      <c r="I131" s="378"/>
      <c r="J131" s="378"/>
      <c r="K131" s="378"/>
      <c r="L131" s="378"/>
      <c r="M131" s="378"/>
      <c r="N131" s="221">
        <f>SUM(N129:N130)</f>
        <v>121.13</v>
      </c>
      <c r="O131" s="220">
        <f>N131/N133</f>
        <v>1</v>
      </c>
    </row>
    <row r="132" spans="1:15" s="132" customFormat="1" ht="12" customHeight="1" x14ac:dyDescent="0.2">
      <c r="A132" s="202"/>
      <c r="B132" s="138"/>
      <c r="C132" s="138"/>
      <c r="D132" s="138"/>
      <c r="E132" s="138"/>
      <c r="F132" s="138"/>
      <c r="G132" s="158"/>
      <c r="H132" s="672"/>
      <c r="I132" s="376"/>
      <c r="J132" s="313"/>
      <c r="K132" s="313"/>
      <c r="L132" s="313"/>
      <c r="M132" s="313"/>
      <c r="N132" s="221"/>
      <c r="O132" s="220"/>
    </row>
    <row r="133" spans="1:15" ht="12" customHeight="1" x14ac:dyDescent="0.2">
      <c r="A133" s="203"/>
      <c r="B133" s="175" t="s">
        <v>20</v>
      </c>
      <c r="C133" s="176"/>
      <c r="D133" s="176"/>
      <c r="E133" s="176"/>
      <c r="F133" s="176"/>
      <c r="G133" s="223"/>
      <c r="H133" s="677"/>
      <c r="I133" s="379"/>
      <c r="J133" s="379"/>
      <c r="K133" s="379"/>
      <c r="L133" s="379"/>
      <c r="M133" s="379"/>
      <c r="N133" s="224">
        <f>N131</f>
        <v>121.13</v>
      </c>
      <c r="O133" s="218">
        <f>N133/N151</f>
        <v>2.5667962362106364E-4</v>
      </c>
    </row>
    <row r="134" spans="1:15" ht="12" customHeight="1" x14ac:dyDescent="0.2">
      <c r="A134" s="203"/>
      <c r="B134" s="175"/>
      <c r="C134" s="175"/>
      <c r="D134" s="175"/>
      <c r="E134" s="175"/>
      <c r="F134" s="175"/>
      <c r="G134" s="484"/>
      <c r="H134" s="679"/>
      <c r="I134" s="485"/>
      <c r="J134" s="485"/>
      <c r="K134" s="485"/>
      <c r="L134" s="485"/>
      <c r="M134" s="485"/>
      <c r="N134" s="224"/>
      <c r="O134" s="218"/>
    </row>
    <row r="135" spans="1:15" ht="12" customHeight="1" x14ac:dyDescent="0.2">
      <c r="A135" s="256">
        <v>15</v>
      </c>
      <c r="B135" s="834" t="s">
        <v>449</v>
      </c>
      <c r="C135" s="834"/>
      <c r="D135" s="834"/>
      <c r="E135" s="834"/>
      <c r="F135" s="834"/>
      <c r="G135" s="137"/>
      <c r="H135" s="641"/>
      <c r="I135" s="330"/>
      <c r="J135" s="311"/>
      <c r="K135" s="311"/>
      <c r="L135" s="311"/>
      <c r="M135" s="311"/>
      <c r="N135" s="330"/>
      <c r="O135" s="297"/>
    </row>
    <row r="136" spans="1:15" ht="12" customHeight="1" x14ac:dyDescent="0.2">
      <c r="A136" s="256">
        <v>1503</v>
      </c>
      <c r="B136" s="834" t="s">
        <v>459</v>
      </c>
      <c r="C136" s="834"/>
      <c r="D136" s="834"/>
      <c r="E136" s="834"/>
      <c r="F136" s="834"/>
      <c r="G136" s="137"/>
      <c r="H136" s="641"/>
      <c r="I136" s="330"/>
      <c r="J136" s="311"/>
      <c r="K136" s="311"/>
      <c r="L136" s="370"/>
      <c r="M136" s="311"/>
      <c r="N136" s="330"/>
      <c r="O136" s="297"/>
    </row>
    <row r="137" spans="1:15" ht="12" customHeight="1" x14ac:dyDescent="0.2">
      <c r="A137" s="256" t="s">
        <v>545</v>
      </c>
      <c r="B137" s="200" t="s">
        <v>1432</v>
      </c>
      <c r="C137" s="153"/>
      <c r="D137" s="153"/>
      <c r="E137" s="153"/>
      <c r="F137" s="153"/>
      <c r="G137" s="97" t="s">
        <v>31</v>
      </c>
      <c r="H137" s="189">
        <v>1500</v>
      </c>
      <c r="I137" s="323">
        <v>3</v>
      </c>
      <c r="J137" s="323">
        <v>3</v>
      </c>
      <c r="K137" s="308">
        <f>H137*J137</f>
        <v>4500</v>
      </c>
      <c r="L137" s="323">
        <v>0</v>
      </c>
      <c r="M137" s="308"/>
      <c r="N137" s="308">
        <f>H137*I137</f>
        <v>4500</v>
      </c>
      <c r="O137" s="297">
        <f>N137/N139</f>
        <v>1</v>
      </c>
    </row>
    <row r="138" spans="1:15" ht="12" customHeight="1" x14ac:dyDescent="0.2">
      <c r="A138" s="256"/>
      <c r="B138" s="138"/>
      <c r="C138" s="138"/>
      <c r="D138" s="138"/>
      <c r="E138" s="138"/>
      <c r="F138" s="138"/>
      <c r="G138" s="190"/>
      <c r="H138" s="189"/>
      <c r="I138" s="296"/>
      <c r="J138" s="311"/>
      <c r="K138" s="311"/>
      <c r="L138" s="370"/>
      <c r="M138" s="311"/>
      <c r="N138" s="189"/>
      <c r="O138" s="297"/>
    </row>
    <row r="139" spans="1:15" ht="12" customHeight="1" x14ac:dyDescent="0.2">
      <c r="A139" s="291"/>
      <c r="B139" s="142" t="s">
        <v>18</v>
      </c>
      <c r="C139" s="143"/>
      <c r="D139" s="143"/>
      <c r="E139" s="143"/>
      <c r="F139" s="143"/>
      <c r="G139" s="188"/>
      <c r="H139" s="663"/>
      <c r="I139" s="336"/>
      <c r="J139" s="336"/>
      <c r="K139" s="336"/>
      <c r="L139" s="336"/>
      <c r="M139" s="336"/>
      <c r="N139" s="189">
        <f>SUM(N137:N138)</f>
        <v>4500</v>
      </c>
      <c r="O139" s="297">
        <f>N139/N141</f>
        <v>1</v>
      </c>
    </row>
    <row r="140" spans="1:15" ht="12" customHeight="1" x14ac:dyDescent="0.2">
      <c r="A140" s="202"/>
      <c r="B140" s="138"/>
      <c r="C140" s="138"/>
      <c r="D140" s="138"/>
      <c r="E140" s="138"/>
      <c r="F140" s="138"/>
      <c r="G140" s="137"/>
      <c r="H140" s="641"/>
      <c r="I140" s="330"/>
      <c r="J140" s="311"/>
      <c r="K140" s="311"/>
      <c r="L140" s="370"/>
      <c r="M140" s="311"/>
      <c r="N140" s="189"/>
      <c r="O140" s="297"/>
    </row>
    <row r="141" spans="1:15" s="132" customFormat="1" ht="12" customHeight="1" x14ac:dyDescent="0.2">
      <c r="A141" s="203"/>
      <c r="B141" s="175" t="s">
        <v>20</v>
      </c>
      <c r="C141" s="176"/>
      <c r="D141" s="176"/>
      <c r="E141" s="176"/>
      <c r="F141" s="176"/>
      <c r="G141" s="191"/>
      <c r="H141" s="666"/>
      <c r="I141" s="338"/>
      <c r="J141" s="338"/>
      <c r="K141" s="338"/>
      <c r="L141" s="338"/>
      <c r="M141" s="338"/>
      <c r="N141" s="295">
        <f>N139</f>
        <v>4500</v>
      </c>
      <c r="O141" s="186">
        <f>N141/$N$151</f>
        <v>9.5356914578947124E-3</v>
      </c>
    </row>
    <row r="142" spans="1:15" s="132" customFormat="1" ht="12" customHeight="1" x14ac:dyDescent="0.2">
      <c r="A142" s="203"/>
      <c r="B142" s="175"/>
      <c r="C142" s="175"/>
      <c r="D142" s="175"/>
      <c r="E142" s="175"/>
      <c r="F142" s="175"/>
      <c r="G142" s="318"/>
      <c r="H142" s="669"/>
      <c r="I142" s="372"/>
      <c r="J142" s="372"/>
      <c r="K142" s="372"/>
      <c r="L142" s="372"/>
      <c r="M142" s="372"/>
      <c r="N142" s="295"/>
      <c r="O142" s="186"/>
    </row>
    <row r="143" spans="1:15" ht="12" customHeight="1" x14ac:dyDescent="0.2">
      <c r="A143" s="98" t="s">
        <v>169</v>
      </c>
      <c r="B143" s="88" t="s">
        <v>172</v>
      </c>
      <c r="G143" s="137"/>
      <c r="H143" s="641"/>
      <c r="I143" s="330"/>
      <c r="J143" s="311"/>
      <c r="K143" s="311"/>
      <c r="L143" s="311"/>
      <c r="M143" s="311"/>
      <c r="N143" s="333"/>
      <c r="O143" s="297"/>
    </row>
    <row r="144" spans="1:15" ht="12" customHeight="1" x14ac:dyDescent="0.2">
      <c r="A144" s="98" t="s">
        <v>170</v>
      </c>
      <c r="B144" s="88" t="s">
        <v>173</v>
      </c>
      <c r="G144" s="137"/>
      <c r="H144" s="641"/>
      <c r="I144" s="330"/>
      <c r="J144" s="311"/>
      <c r="K144" s="311"/>
      <c r="L144" s="370"/>
      <c r="M144" s="311"/>
      <c r="N144" s="333"/>
      <c r="O144" s="297"/>
    </row>
    <row r="145" spans="1:16" ht="12" customHeight="1" x14ac:dyDescent="0.2">
      <c r="A145" s="98" t="s">
        <v>480</v>
      </c>
      <c r="B145" s="834" t="s">
        <v>481</v>
      </c>
      <c r="C145" s="834"/>
      <c r="D145" s="834"/>
      <c r="E145" s="834"/>
      <c r="F145" s="834"/>
      <c r="G145" s="97" t="s">
        <v>31</v>
      </c>
      <c r="H145" s="189">
        <f>H14</f>
        <v>5152</v>
      </c>
      <c r="I145" s="323">
        <f>VLOOKUP(A145,'[1]TAB OGU JUN18'!$A:$G,6,"falso")</f>
        <v>2.46</v>
      </c>
      <c r="J145" s="323">
        <f>VLOOKUP(A145,'[1]TAB OGU JUN18'!$A:$G,4,"falso")</f>
        <v>2.34</v>
      </c>
      <c r="K145" s="308">
        <f>H145*J145</f>
        <v>12055.679999999998</v>
      </c>
      <c r="L145" s="323">
        <f>VLOOKUP(A145,'[1]TAB OGU JUN18'!$A:$G,5,"falso")</f>
        <v>0.12</v>
      </c>
      <c r="M145" s="308">
        <f>H145*L145</f>
        <v>618.24</v>
      </c>
      <c r="N145" s="308">
        <f>H145*I145</f>
        <v>12673.92</v>
      </c>
      <c r="O145" s="297">
        <f>N145/N147</f>
        <v>1</v>
      </c>
    </row>
    <row r="146" spans="1:16" ht="12" customHeight="1" x14ac:dyDescent="0.2">
      <c r="A146" s="256"/>
      <c r="B146" s="138"/>
      <c r="C146" s="138"/>
      <c r="D146" s="138"/>
      <c r="E146" s="138"/>
      <c r="F146" s="138"/>
      <c r="G146" s="190"/>
      <c r="H146" s="189"/>
      <c r="I146" s="296"/>
      <c r="J146" s="311"/>
      <c r="K146" s="311"/>
      <c r="L146" s="370"/>
      <c r="M146" s="311"/>
      <c r="N146" s="189"/>
      <c r="O146" s="297"/>
    </row>
    <row r="147" spans="1:16" ht="12" customHeight="1" x14ac:dyDescent="0.2">
      <c r="A147" s="291"/>
      <c r="B147" s="142" t="s">
        <v>18</v>
      </c>
      <c r="C147" s="143"/>
      <c r="D147" s="143"/>
      <c r="E147" s="143"/>
      <c r="F147" s="143"/>
      <c r="G147" s="188"/>
      <c r="H147" s="335"/>
      <c r="I147" s="336"/>
      <c r="J147" s="336"/>
      <c r="K147" s="336"/>
      <c r="L147" s="336"/>
      <c r="M147" s="336"/>
      <c r="N147" s="189">
        <f>SUM(N145:N146)</f>
        <v>12673.92</v>
      </c>
      <c r="O147" s="297">
        <f>N147/N149</f>
        <v>1</v>
      </c>
    </row>
    <row r="148" spans="1:16" ht="12" customHeight="1" x14ac:dyDescent="0.2">
      <c r="A148" s="202"/>
      <c r="B148" s="138"/>
      <c r="C148" s="138"/>
      <c r="D148" s="138"/>
      <c r="E148" s="138"/>
      <c r="F148" s="138"/>
      <c r="G148" s="137"/>
      <c r="H148" s="333"/>
      <c r="I148" s="330"/>
      <c r="J148" s="311"/>
      <c r="K148" s="311"/>
      <c r="L148" s="370"/>
      <c r="M148" s="311"/>
      <c r="N148" s="189"/>
      <c r="O148" s="297"/>
    </row>
    <row r="149" spans="1:16" s="132" customFormat="1" ht="12" customHeight="1" x14ac:dyDescent="0.2">
      <c r="A149" s="203"/>
      <c r="B149" s="175" t="s">
        <v>20</v>
      </c>
      <c r="C149" s="176"/>
      <c r="D149" s="176"/>
      <c r="E149" s="176"/>
      <c r="F149" s="176"/>
      <c r="G149" s="191"/>
      <c r="H149" s="337"/>
      <c r="I149" s="338"/>
      <c r="J149" s="338"/>
      <c r="K149" s="338"/>
      <c r="L149" s="338"/>
      <c r="M149" s="338"/>
      <c r="N149" s="295">
        <f>N147</f>
        <v>12673.92</v>
      </c>
      <c r="O149" s="186">
        <f>N149/N151</f>
        <v>2.6856575707120214E-2</v>
      </c>
    </row>
    <row r="150" spans="1:16" ht="6.75" customHeight="1" x14ac:dyDescent="0.2">
      <c r="A150" s="202"/>
      <c r="B150" s="138"/>
      <c r="C150" s="138"/>
      <c r="D150" s="138"/>
      <c r="E150" s="138"/>
      <c r="F150" s="138"/>
      <c r="G150" s="137"/>
      <c r="H150" s="333"/>
      <c r="I150" s="330"/>
      <c r="J150" s="296"/>
      <c r="K150" s="339"/>
      <c r="L150" s="311"/>
      <c r="M150" s="311"/>
      <c r="N150" s="311"/>
      <c r="O150" s="219"/>
    </row>
    <row r="151" spans="1:16" ht="12" customHeight="1" x14ac:dyDescent="0.2">
      <c r="A151" s="206"/>
      <c r="B151" s="147" t="s">
        <v>30</v>
      </c>
      <c r="C151" s="146"/>
      <c r="D151" s="146"/>
      <c r="E151" s="146"/>
      <c r="F151" s="146"/>
      <c r="G151" s="146"/>
      <c r="H151" s="342"/>
      <c r="I151" s="345"/>
      <c r="J151" s="345"/>
      <c r="K151" s="285">
        <f>SUM(K14:K150)</f>
        <v>408387.92434389301</v>
      </c>
      <c r="L151" s="285"/>
      <c r="M151" s="285">
        <f>SUM(M14:M150)</f>
        <v>63644.447737497569</v>
      </c>
      <c r="N151" s="316">
        <f>N70+N62+N23+N141+N126+N104+N149+N112</f>
        <v>471911.24208139058</v>
      </c>
      <c r="O151" s="29"/>
      <c r="P151" s="149"/>
    </row>
    <row r="152" spans="1:16" ht="6.75" customHeight="1" x14ac:dyDescent="0.2">
      <c r="H152" s="311"/>
      <c r="I152" s="311"/>
      <c r="J152" s="311"/>
      <c r="K152" s="311"/>
      <c r="L152" s="311"/>
      <c r="M152" s="311"/>
      <c r="N152" s="311"/>
      <c r="P152" s="149"/>
    </row>
    <row r="153" spans="1:16" ht="12" customHeight="1" x14ac:dyDescent="0.2">
      <c r="A153" s="206"/>
      <c r="B153" s="147" t="s">
        <v>265</v>
      </c>
      <c r="C153" s="146"/>
      <c r="D153" s="146"/>
      <c r="E153" s="146"/>
      <c r="F153" s="146"/>
      <c r="G153" s="146"/>
      <c r="H153" s="342"/>
      <c r="I153" s="345"/>
      <c r="J153" s="345"/>
      <c r="K153" s="285">
        <f>K151+(K151*O5)</f>
        <v>521021.31387793872</v>
      </c>
      <c r="L153" s="285"/>
      <c r="M153" s="285">
        <f>M151+(M151*O7)</f>
        <v>74922.243876582143</v>
      </c>
      <c r="N153" s="316">
        <f>K153+M153</f>
        <v>595943.55775452091</v>
      </c>
      <c r="O153" s="29">
        <f>N153/RESUMO!H95</f>
        <v>8.2295773952311302E-2</v>
      </c>
      <c r="P153" s="149"/>
    </row>
    <row r="158" spans="1:16" s="150" customFormat="1" ht="12" customHeight="1" x14ac:dyDescent="0.2">
      <c r="A158" s="156"/>
      <c r="B158" s="51"/>
      <c r="C158" s="51"/>
      <c r="D158" s="51"/>
      <c r="E158" s="51"/>
      <c r="F158" s="51"/>
      <c r="G158" s="51"/>
      <c r="H158" s="51"/>
      <c r="I158" s="51"/>
      <c r="J158" s="51"/>
      <c r="K158" s="51"/>
      <c r="L158" s="51"/>
      <c r="M158" s="51"/>
      <c r="N158" s="51"/>
      <c r="O158" s="52"/>
    </row>
    <row r="159" spans="1:16" s="150" customFormat="1" ht="12" customHeight="1" x14ac:dyDescent="0.2">
      <c r="A159" s="156"/>
      <c r="B159" s="51"/>
      <c r="C159" s="51"/>
      <c r="D159" s="51"/>
      <c r="E159" s="51"/>
      <c r="F159" s="51"/>
      <c r="G159" s="51"/>
      <c r="H159" s="51"/>
      <c r="I159" s="51"/>
      <c r="J159" s="51"/>
      <c r="K159" s="51"/>
      <c r="L159" s="51"/>
      <c r="M159" s="51"/>
      <c r="N159" s="51"/>
      <c r="O159" s="52"/>
    </row>
  </sheetData>
  <mergeCells count="30">
    <mergeCell ref="B116:F116"/>
    <mergeCell ref="B117:F117"/>
    <mergeCell ref="B145:F145"/>
    <mergeCell ref="B122:F122"/>
    <mergeCell ref="B125:F125"/>
    <mergeCell ref="B135:F135"/>
    <mergeCell ref="B136:F136"/>
    <mergeCell ref="B103:F103"/>
    <mergeCell ref="B115:F115"/>
    <mergeCell ref="B73:F73"/>
    <mergeCell ref="B94:F94"/>
    <mergeCell ref="B106:F106"/>
    <mergeCell ref="B107:F107"/>
    <mergeCell ref="B108:F108"/>
    <mergeCell ref="V103:Z103"/>
    <mergeCell ref="B128:F128"/>
    <mergeCell ref="B31:F31"/>
    <mergeCell ref="A2:O2"/>
    <mergeCell ref="N4:O4"/>
    <mergeCell ref="A5:B6"/>
    <mergeCell ref="B14:F14"/>
    <mergeCell ref="B26:F26"/>
    <mergeCell ref="B121:F121"/>
    <mergeCell ref="B47:F47"/>
    <mergeCell ref="B48:F48"/>
    <mergeCell ref="B72:F72"/>
    <mergeCell ref="B93:F93"/>
    <mergeCell ref="B95:F95"/>
    <mergeCell ref="B99:F99"/>
    <mergeCell ref="B100:F100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rowBreaks count="1" manualBreakCount="1">
    <brk id="24" max="14" man="1"/>
  </rowBreaks>
  <legacyDrawingHF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tabColor theme="6" tint="0.39997558519241921"/>
    <pageSetUpPr fitToPage="1"/>
  </sheetPr>
  <dimension ref="A1:P54"/>
  <sheetViews>
    <sheetView view="pageBreakPreview" zoomScale="90" zoomScaleNormal="90" zoomScaleSheetLayoutView="90" workbookViewId="0">
      <selection activeCell="H31" sqref="H31"/>
    </sheetView>
  </sheetViews>
  <sheetFormatPr defaultColWidth="11.42578125" defaultRowHeight="12.75" customHeight="1" x14ac:dyDescent="0.2"/>
  <cols>
    <col min="1" max="5" width="11.42578125" style="51" customWidth="1"/>
    <col min="6" max="6" width="28.5703125" style="51" customWidth="1"/>
    <col min="7" max="7" width="11.42578125" style="51" customWidth="1"/>
    <col min="8" max="8" width="11.42578125" style="52" customWidth="1"/>
    <col min="9" max="9" width="11.42578125" style="51" customWidth="1"/>
    <col min="10" max="10" width="5.42578125" style="51" hidden="1" customWidth="1"/>
    <col min="11" max="11" width="14.28515625" style="51" customWidth="1"/>
    <col min="12" max="12" width="8.7109375" style="51" hidden="1" customWidth="1"/>
    <col min="13" max="13" width="14.28515625" style="51" customWidth="1"/>
    <col min="14" max="14" width="17.140625" style="51" customWidth="1"/>
    <col min="15" max="15" width="11.42578125" style="52" customWidth="1"/>
    <col min="16" max="16384" width="11.42578125" style="51"/>
  </cols>
  <sheetData>
    <row r="1" spans="1:15" ht="8.25" customHeight="1" x14ac:dyDescent="0.2"/>
    <row r="2" spans="1:15" ht="12.75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5" ht="8.25" customHeight="1" thickBot="1" x14ac:dyDescent="0.25">
      <c r="A3" s="123"/>
      <c r="B3" s="123"/>
      <c r="C3" s="123"/>
      <c r="D3" s="123"/>
      <c r="E3" s="123"/>
      <c r="F3" s="123"/>
      <c r="G3" s="123"/>
      <c r="H3" s="195"/>
      <c r="I3" s="123"/>
      <c r="J3" s="123"/>
      <c r="K3" s="123"/>
      <c r="L3" s="123"/>
      <c r="M3" s="123"/>
      <c r="N3" s="123"/>
      <c r="O3" s="195"/>
    </row>
    <row r="4" spans="1:15" ht="12.75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H4" s="51"/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5" ht="12.75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H5" s="51"/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5" ht="12.75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H6" s="51"/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5" ht="12.75" customHeight="1" x14ac:dyDescent="0.2">
      <c r="A7" s="253"/>
      <c r="B7" s="253"/>
      <c r="C7" s="260" t="s">
        <v>6</v>
      </c>
      <c r="D7" s="263" t="str">
        <f>RESUMO!A47</f>
        <v>U.C. : 13</v>
      </c>
      <c r="E7" s="258"/>
      <c r="F7" s="258"/>
      <c r="G7" s="260" t="s">
        <v>9</v>
      </c>
      <c r="H7" s="51"/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5" ht="12.75" customHeight="1" thickBot="1" x14ac:dyDescent="0.25">
      <c r="A8" s="124"/>
      <c r="B8" s="125"/>
      <c r="C8" s="266" t="s">
        <v>8</v>
      </c>
      <c r="D8" s="267" t="str">
        <f>RESUMO!B47</f>
        <v>ESTAÇÃO DE TRATAMENTO DE ESGOTO - ETE</v>
      </c>
      <c r="E8" s="268"/>
      <c r="F8" s="268"/>
      <c r="G8" s="266"/>
      <c r="H8" s="123"/>
      <c r="I8" s="278"/>
      <c r="J8" s="278"/>
      <c r="K8" s="278"/>
      <c r="L8" s="278"/>
      <c r="M8" s="278" t="s">
        <v>654</v>
      </c>
      <c r="N8" s="271"/>
      <c r="O8" s="427"/>
    </row>
    <row r="9" spans="1:15" ht="12.75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5" ht="8.25" customHeight="1" x14ac:dyDescent="0.2">
      <c r="O10" s="19"/>
    </row>
    <row r="11" spans="1:15" ht="12.75" customHeight="1" x14ac:dyDescent="0.2">
      <c r="A11" s="93">
        <f>RESUMO!A62</f>
        <v>15</v>
      </c>
      <c r="B11" s="93" t="str">
        <f>RESUMO!B62</f>
        <v>LAGOA FACULTATIVA 1 - MATERIAIS</v>
      </c>
      <c r="H11" s="704"/>
      <c r="O11" s="19"/>
    </row>
    <row r="12" spans="1:15" ht="12.75" hidden="1" customHeight="1" x14ac:dyDescent="0.2">
      <c r="A12" s="182">
        <v>24</v>
      </c>
      <c r="B12" s="837" t="s">
        <v>563</v>
      </c>
      <c r="C12" s="837"/>
      <c r="D12" s="837"/>
      <c r="E12" s="837"/>
      <c r="F12" s="837"/>
      <c r="G12" s="137"/>
      <c r="H12" s="640"/>
      <c r="I12" s="137"/>
      <c r="N12" s="317"/>
      <c r="O12" s="68"/>
    </row>
    <row r="13" spans="1:15" ht="12.75" hidden="1" customHeight="1" x14ac:dyDescent="0.2">
      <c r="A13" s="182">
        <v>2405</v>
      </c>
      <c r="B13" s="142" t="s">
        <v>34</v>
      </c>
      <c r="C13" s="153"/>
      <c r="D13" s="153"/>
      <c r="E13" s="153"/>
      <c r="F13" s="153"/>
      <c r="G13" s="162"/>
      <c r="H13" s="640"/>
      <c r="I13" s="137"/>
      <c r="N13" s="317"/>
      <c r="O13" s="68"/>
    </row>
    <row r="14" spans="1:15" ht="12.75" hidden="1" customHeight="1" x14ac:dyDescent="0.2">
      <c r="A14" s="140" t="s">
        <v>490</v>
      </c>
      <c r="B14" s="200" t="s">
        <v>564</v>
      </c>
      <c r="C14" s="153"/>
      <c r="D14" s="153"/>
      <c r="E14" s="153"/>
      <c r="F14" s="153"/>
      <c r="G14" s="139" t="s">
        <v>24</v>
      </c>
      <c r="H14" s="189">
        <v>0</v>
      </c>
      <c r="I14" s="323">
        <f>VLOOKUP(A14,'[1]TAB OGU JUN18'!$A:$G,6,"falso")</f>
        <v>1.33</v>
      </c>
      <c r="J14" s="314"/>
      <c r="K14" s="314"/>
      <c r="L14" s="323">
        <f>VLOOKUP(A14,'[1]TAB OGU JUN18'!$A:$G,5,"falso")</f>
        <v>1.33</v>
      </c>
      <c r="M14" s="308">
        <f>H14*L14</f>
        <v>0</v>
      </c>
      <c r="N14" s="296">
        <f>H14*I14</f>
        <v>0</v>
      </c>
      <c r="O14" s="214" t="e">
        <f>N14/$N$17</f>
        <v>#DIV/0!</v>
      </c>
    </row>
    <row r="15" spans="1:15" ht="12.75" hidden="1" customHeight="1" x14ac:dyDescent="0.2">
      <c r="A15" s="140" t="s">
        <v>491</v>
      </c>
      <c r="B15" s="200" t="s">
        <v>565</v>
      </c>
      <c r="C15" s="153"/>
      <c r="D15" s="153"/>
      <c r="E15" s="153"/>
      <c r="F15" s="153"/>
      <c r="G15" s="139" t="s">
        <v>24</v>
      </c>
      <c r="H15" s="189">
        <v>0</v>
      </c>
      <c r="I15" s="323">
        <f>VLOOKUP(A15,'[1]TAB OGU JUN18'!$A:$G,6,"falso")</f>
        <v>1.67</v>
      </c>
      <c r="J15" s="314"/>
      <c r="K15" s="314"/>
      <c r="L15" s="323">
        <f>VLOOKUP(A15,'[1]TAB OGU JUN18'!$A:$G,5,"falso")</f>
        <v>1.67</v>
      </c>
      <c r="M15" s="308">
        <f>H15*L15</f>
        <v>0</v>
      </c>
      <c r="N15" s="296">
        <f>H15*I15</f>
        <v>0</v>
      </c>
      <c r="O15" s="214" t="e">
        <f>N15/$N$17</f>
        <v>#DIV/0!</v>
      </c>
    </row>
    <row r="16" spans="1:15" ht="12.75" hidden="1" customHeight="1" x14ac:dyDescent="0.2">
      <c r="A16" s="182"/>
      <c r="B16" s="138"/>
      <c r="C16" s="138"/>
      <c r="D16" s="138"/>
      <c r="E16" s="138"/>
      <c r="F16" s="138"/>
      <c r="G16" s="139"/>
      <c r="H16" s="189"/>
      <c r="I16" s="296"/>
      <c r="J16" s="311"/>
      <c r="K16" s="311"/>
      <c r="L16" s="311"/>
      <c r="M16" s="311"/>
      <c r="N16" s="296"/>
      <c r="O16" s="234"/>
    </row>
    <row r="17" spans="1:16" ht="12.75" hidden="1" customHeight="1" x14ac:dyDescent="0.2">
      <c r="A17" s="137"/>
      <c r="B17" s="142" t="s">
        <v>18</v>
      </c>
      <c r="C17" s="143"/>
      <c r="D17" s="143"/>
      <c r="E17" s="143"/>
      <c r="F17" s="143"/>
      <c r="G17" s="173"/>
      <c r="H17" s="663"/>
      <c r="I17" s="336"/>
      <c r="J17" s="336"/>
      <c r="K17" s="336"/>
      <c r="L17" s="336"/>
      <c r="M17" s="336"/>
      <c r="N17" s="296">
        <f>SUM(N14:N16)</f>
        <v>0</v>
      </c>
      <c r="O17" s="234" t="e">
        <f>N17/$N$24</f>
        <v>#DIV/0!</v>
      </c>
    </row>
    <row r="18" spans="1:16" s="150" customFormat="1" ht="12.75" hidden="1" customHeight="1" x14ac:dyDescent="0.2">
      <c r="A18" s="137"/>
      <c r="B18" s="138"/>
      <c r="C18" s="138"/>
      <c r="D18" s="138"/>
      <c r="E18" s="138"/>
      <c r="F18" s="138"/>
      <c r="G18" s="162"/>
      <c r="H18" s="641"/>
      <c r="I18" s="330"/>
      <c r="J18" s="370"/>
      <c r="K18" s="370"/>
      <c r="L18" s="370"/>
      <c r="M18" s="370"/>
      <c r="N18" s="296"/>
      <c r="O18" s="234"/>
    </row>
    <row r="19" spans="1:16" ht="12.75" hidden="1" customHeight="1" x14ac:dyDescent="0.2">
      <c r="A19" s="182">
        <v>2411</v>
      </c>
      <c r="B19" s="142" t="s">
        <v>36</v>
      </c>
      <c r="C19" s="153"/>
      <c r="D19" s="153"/>
      <c r="E19" s="153"/>
      <c r="F19" s="153"/>
      <c r="G19" s="162"/>
      <c r="H19" s="641"/>
      <c r="I19" s="330"/>
      <c r="J19" s="311"/>
      <c r="K19" s="311"/>
      <c r="L19" s="311"/>
      <c r="M19" s="311"/>
      <c r="N19" s="330"/>
      <c r="O19" s="68"/>
    </row>
    <row r="20" spans="1:16" ht="12.75" hidden="1" customHeight="1" x14ac:dyDescent="0.2">
      <c r="A20" s="140" t="s">
        <v>499</v>
      </c>
      <c r="B20" s="200" t="s">
        <v>511</v>
      </c>
      <c r="C20" s="153"/>
      <c r="D20" s="153"/>
      <c r="E20" s="153"/>
      <c r="F20" s="153"/>
      <c r="G20" s="139" t="s">
        <v>24</v>
      </c>
      <c r="H20" s="189">
        <v>0</v>
      </c>
      <c r="I20" s="323">
        <f>VLOOKUP(A20,'[1]TAB OGU JUN18'!$A:$G,6,"falso")</f>
        <v>2.19</v>
      </c>
      <c r="J20" s="314"/>
      <c r="K20" s="314"/>
      <c r="L20" s="323">
        <f>VLOOKUP(A20,'[1]TAB OGU JUN18'!$A:$G,5,"falso")</f>
        <v>2.19</v>
      </c>
      <c r="M20" s="308">
        <f t="shared" ref="M20" si="0">H20*L20</f>
        <v>0</v>
      </c>
      <c r="N20" s="296">
        <f t="shared" ref="N20" si="1">H20*I20</f>
        <v>0</v>
      </c>
      <c r="O20" s="214" t="e">
        <f>N20/N22</f>
        <v>#DIV/0!</v>
      </c>
    </row>
    <row r="21" spans="1:16" ht="12.75" hidden="1" customHeight="1" x14ac:dyDescent="0.2">
      <c r="A21" s="182"/>
      <c r="B21" s="138"/>
      <c r="C21" s="138"/>
      <c r="D21" s="138"/>
      <c r="E21" s="138"/>
      <c r="F21" s="138"/>
      <c r="G21" s="139"/>
      <c r="H21" s="189"/>
      <c r="I21" s="296"/>
      <c r="J21" s="311"/>
      <c r="K21" s="311"/>
      <c r="L21" s="311"/>
      <c r="M21" s="311"/>
      <c r="N21" s="296"/>
      <c r="O21" s="234"/>
    </row>
    <row r="22" spans="1:16" ht="12.75" hidden="1" customHeight="1" x14ac:dyDescent="0.2">
      <c r="A22" s="137"/>
      <c r="B22" s="142" t="s">
        <v>18</v>
      </c>
      <c r="C22" s="143"/>
      <c r="D22" s="143"/>
      <c r="E22" s="143"/>
      <c r="F22" s="143"/>
      <c r="G22" s="173"/>
      <c r="H22" s="663"/>
      <c r="I22" s="336"/>
      <c r="J22" s="336"/>
      <c r="K22" s="336"/>
      <c r="L22" s="336"/>
      <c r="M22" s="336"/>
      <c r="N22" s="296">
        <f>SUM(N20:N21)</f>
        <v>0</v>
      </c>
      <c r="O22" s="234" t="e">
        <f>N22/$N$24</f>
        <v>#DIV/0!</v>
      </c>
    </row>
    <row r="23" spans="1:16" s="150" customFormat="1" ht="12.75" hidden="1" customHeight="1" x14ac:dyDescent="0.2">
      <c r="A23" s="137"/>
      <c r="B23" s="138"/>
      <c r="C23" s="138"/>
      <c r="D23" s="138"/>
      <c r="E23" s="138"/>
      <c r="F23" s="138"/>
      <c r="G23" s="162"/>
      <c r="H23" s="641"/>
      <c r="I23" s="330"/>
      <c r="J23" s="370"/>
      <c r="K23" s="370"/>
      <c r="L23" s="370"/>
      <c r="M23" s="370"/>
      <c r="N23" s="296"/>
      <c r="O23" s="234"/>
    </row>
    <row r="24" spans="1:16" s="132" customFormat="1" ht="12.75" hidden="1" customHeight="1" x14ac:dyDescent="0.2">
      <c r="A24" s="318"/>
      <c r="B24" s="175" t="s">
        <v>20</v>
      </c>
      <c r="C24" s="176"/>
      <c r="D24" s="176"/>
      <c r="E24" s="176"/>
      <c r="F24" s="176"/>
      <c r="G24" s="178"/>
      <c r="H24" s="666"/>
      <c r="I24" s="338"/>
      <c r="J24" s="338"/>
      <c r="K24" s="338"/>
      <c r="L24" s="338"/>
      <c r="M24" s="338"/>
      <c r="N24" s="373">
        <f>N17+N22</f>
        <v>0</v>
      </c>
      <c r="O24" s="235">
        <f>N24/$N$39</f>
        <v>0</v>
      </c>
    </row>
    <row r="25" spans="1:16" s="132" customFormat="1" ht="12.75" hidden="1" customHeight="1" x14ac:dyDescent="0.2">
      <c r="A25" s="318"/>
      <c r="B25" s="175"/>
      <c r="C25" s="175"/>
      <c r="D25" s="175"/>
      <c r="E25" s="175"/>
      <c r="F25" s="175"/>
      <c r="G25" s="425"/>
      <c r="H25" s="669"/>
      <c r="I25" s="372"/>
      <c r="J25" s="372"/>
      <c r="K25" s="372"/>
      <c r="L25" s="372"/>
      <c r="M25" s="372"/>
      <c r="N25" s="373"/>
      <c r="O25" s="235"/>
    </row>
    <row r="26" spans="1:16" ht="12.75" customHeight="1" x14ac:dyDescent="0.2">
      <c r="A26" s="182"/>
      <c r="B26" s="837" t="s">
        <v>556</v>
      </c>
      <c r="C26" s="837"/>
      <c r="D26" s="837"/>
      <c r="E26" s="837"/>
      <c r="F26" s="837"/>
      <c r="G26" s="162"/>
      <c r="H26" s="640"/>
      <c r="I26" s="137"/>
      <c r="N26" s="317"/>
      <c r="O26" s="68"/>
    </row>
    <row r="27" spans="1:16" ht="12.75" customHeight="1" x14ac:dyDescent="0.2">
      <c r="A27" s="182"/>
      <c r="B27" s="142" t="s">
        <v>557</v>
      </c>
      <c r="C27" s="153"/>
      <c r="D27" s="153"/>
      <c r="E27" s="153"/>
      <c r="F27" s="153"/>
      <c r="G27" s="162"/>
      <c r="H27" s="641"/>
      <c r="I27" s="330"/>
      <c r="J27" s="311"/>
      <c r="K27" s="311"/>
      <c r="L27" s="311"/>
      <c r="M27" s="311"/>
      <c r="N27" s="330"/>
      <c r="O27" s="68"/>
    </row>
    <row r="28" spans="1:16" ht="12.75" customHeight="1" x14ac:dyDescent="0.2">
      <c r="A28" s="140" t="s">
        <v>545</v>
      </c>
      <c r="B28" s="426" t="str">
        <f>'23'!B131:F131</f>
        <v>Geomembrana PEAD espessura de 1,00 mm texturizada</v>
      </c>
      <c r="C28" s="153"/>
      <c r="D28" s="153"/>
      <c r="E28" s="153"/>
      <c r="F28" s="153"/>
      <c r="G28" s="139" t="s">
        <v>31</v>
      </c>
      <c r="H28" s="189">
        <f>'25'!H122</f>
        <v>5667.2000000000007</v>
      </c>
      <c r="I28" s="323">
        <v>12.4237</v>
      </c>
      <c r="J28" s="314"/>
      <c r="K28" s="314"/>
      <c r="L28" s="323">
        <v>15</v>
      </c>
      <c r="M28" s="308">
        <f>H28*I28</f>
        <v>70407.592640000017</v>
      </c>
      <c r="N28" s="296">
        <f t="shared" ref="N28:N33" si="2">H28*I28</f>
        <v>70407.592640000017</v>
      </c>
      <c r="O28" s="214">
        <f>N28/$N$35</f>
        <v>0.60737641090255512</v>
      </c>
    </row>
    <row r="29" spans="1:16" ht="12.75" customHeight="1" x14ac:dyDescent="0.2">
      <c r="A29" s="140" t="s">
        <v>545</v>
      </c>
      <c r="B29" s="711" t="s">
        <v>1432</v>
      </c>
      <c r="C29" s="153"/>
      <c r="D29" s="153"/>
      <c r="E29" s="153"/>
      <c r="F29" s="153"/>
      <c r="G29" s="139" t="s">
        <v>31</v>
      </c>
      <c r="H29" s="189">
        <f>'25'!H137</f>
        <v>1500</v>
      </c>
      <c r="I29" s="323">
        <v>20.65</v>
      </c>
      <c r="J29" s="314"/>
      <c r="K29" s="314"/>
      <c r="L29" s="323">
        <v>20.65</v>
      </c>
      <c r="M29" s="308">
        <f t="shared" ref="M29:M33" si="3">H29*I29</f>
        <v>30974.999999999996</v>
      </c>
      <c r="N29" s="296">
        <f t="shared" si="2"/>
        <v>30974.999999999996</v>
      </c>
      <c r="O29" s="214">
        <f>N29/$N$35</f>
        <v>0.26720817488962562</v>
      </c>
    </row>
    <row r="30" spans="1:16" ht="12.75" customHeight="1" x14ac:dyDescent="0.2">
      <c r="A30" s="140" t="s">
        <v>545</v>
      </c>
      <c r="B30" s="426" t="s">
        <v>914</v>
      </c>
      <c r="C30" s="153"/>
      <c r="D30" s="153"/>
      <c r="E30" s="153"/>
      <c r="F30" s="153"/>
      <c r="G30" s="139" t="s">
        <v>24</v>
      </c>
      <c r="H30" s="189">
        <v>38</v>
      </c>
      <c r="I30" s="323">
        <v>235</v>
      </c>
      <c r="J30" s="314"/>
      <c r="K30" s="314"/>
      <c r="L30" s="323">
        <v>235</v>
      </c>
      <c r="M30" s="308">
        <f t="shared" si="3"/>
        <v>8930</v>
      </c>
      <c r="N30" s="296">
        <f t="shared" si="2"/>
        <v>8930</v>
      </c>
      <c r="O30" s="214">
        <f>N30/$N$35</f>
        <v>7.7035318862448979E-2</v>
      </c>
    </row>
    <row r="31" spans="1:16" ht="12.75" customHeight="1" x14ac:dyDescent="0.2">
      <c r="A31" s="140" t="s">
        <v>545</v>
      </c>
      <c r="B31" s="426" t="s">
        <v>915</v>
      </c>
      <c r="C31" s="153"/>
      <c r="D31" s="153"/>
      <c r="E31" s="153"/>
      <c r="F31" s="153"/>
      <c r="G31" s="139" t="s">
        <v>31</v>
      </c>
      <c r="H31" s="189">
        <v>0.52</v>
      </c>
      <c r="I31" s="323">
        <v>8785.85</v>
      </c>
      <c r="J31" s="314"/>
      <c r="K31" s="314"/>
      <c r="L31" s="323">
        <v>8785.85</v>
      </c>
      <c r="M31" s="308">
        <f t="shared" si="3"/>
        <v>4568.6420000000007</v>
      </c>
      <c r="N31" s="296">
        <f t="shared" si="2"/>
        <v>4568.6420000000007</v>
      </c>
      <c r="O31" s="214">
        <f>N31/$N$35</f>
        <v>3.9411734965103772E-2</v>
      </c>
    </row>
    <row r="32" spans="1:16" ht="12.75" customHeight="1" x14ac:dyDescent="0.2">
      <c r="A32" s="140" t="s">
        <v>545</v>
      </c>
      <c r="B32" s="426" t="s">
        <v>916</v>
      </c>
      <c r="C32" s="426"/>
      <c r="D32" s="426"/>
      <c r="E32" s="426"/>
      <c r="F32" s="426"/>
      <c r="G32" s="139" t="s">
        <v>31</v>
      </c>
      <c r="H32" s="189">
        <v>2.76</v>
      </c>
      <c r="I32" s="323">
        <v>350</v>
      </c>
      <c r="J32" s="314"/>
      <c r="K32" s="314"/>
      <c r="L32" s="323">
        <v>350</v>
      </c>
      <c r="M32" s="308">
        <f t="shared" si="3"/>
        <v>965.99999999999989</v>
      </c>
      <c r="N32" s="296">
        <f t="shared" si="2"/>
        <v>965.99999999999989</v>
      </c>
      <c r="O32" s="214">
        <f>N32/$N$35</f>
        <v>8.3332718948629005E-3</v>
      </c>
      <c r="P32" s="51">
        <v>25888</v>
      </c>
    </row>
    <row r="33" spans="1:16" ht="12.75" customHeight="1" x14ac:dyDescent="0.2">
      <c r="A33" s="140" t="s">
        <v>1399</v>
      </c>
      <c r="B33" s="426" t="s">
        <v>917</v>
      </c>
      <c r="C33" s="153"/>
      <c r="D33" s="153"/>
      <c r="E33" s="153"/>
      <c r="F33" s="153"/>
      <c r="G33" s="139" t="s">
        <v>31</v>
      </c>
      <c r="H33" s="189">
        <v>1.5</v>
      </c>
      <c r="I33" s="323">
        <v>49.08</v>
      </c>
      <c r="J33" s="314"/>
      <c r="K33" s="314"/>
      <c r="L33" s="323">
        <v>250</v>
      </c>
      <c r="M33" s="308">
        <f t="shared" si="3"/>
        <v>73.62</v>
      </c>
      <c r="N33" s="296">
        <f t="shared" si="2"/>
        <v>73.62</v>
      </c>
      <c r="O33" s="214">
        <f t="shared" ref="O33" si="4">N33/$N$35</f>
        <v>6.3508848540352685E-4</v>
      </c>
    </row>
    <row r="34" spans="1:16" ht="12.75" customHeight="1" x14ac:dyDescent="0.2">
      <c r="A34" s="182"/>
      <c r="B34" s="513"/>
      <c r="C34" s="513"/>
      <c r="D34" s="513"/>
      <c r="E34" s="513"/>
      <c r="F34" s="513"/>
      <c r="G34" s="139"/>
      <c r="H34" s="189"/>
      <c r="I34" s="296"/>
      <c r="J34" s="311"/>
      <c r="K34" s="311"/>
      <c r="L34" s="311"/>
      <c r="M34" s="311"/>
      <c r="N34" s="296"/>
      <c r="O34" s="234"/>
    </row>
    <row r="35" spans="1:16" ht="12.75" customHeight="1" x14ac:dyDescent="0.2">
      <c r="A35" s="137"/>
      <c r="B35" s="142" t="s">
        <v>18</v>
      </c>
      <c r="C35" s="143"/>
      <c r="D35" s="143"/>
      <c r="E35" s="143"/>
      <c r="F35" s="143"/>
      <c r="G35" s="173"/>
      <c r="H35" s="335"/>
      <c r="I35" s="336"/>
      <c r="J35" s="336"/>
      <c r="K35" s="336"/>
      <c r="L35" s="336"/>
      <c r="M35" s="336"/>
      <c r="N35" s="296">
        <f>SUM(N28:N34)</f>
        <v>115920.85464000002</v>
      </c>
      <c r="O35" s="234">
        <f>N35/N37</f>
        <v>1</v>
      </c>
    </row>
    <row r="36" spans="1:16" s="150" customFormat="1" ht="12.75" customHeight="1" x14ac:dyDescent="0.2">
      <c r="A36" s="137"/>
      <c r="B36" s="138"/>
      <c r="C36" s="138"/>
      <c r="D36" s="138"/>
      <c r="E36" s="138"/>
      <c r="F36" s="138"/>
      <c r="G36" s="137"/>
      <c r="H36" s="333"/>
      <c r="I36" s="330"/>
      <c r="J36" s="370"/>
      <c r="K36" s="370"/>
      <c r="L36" s="370"/>
      <c r="M36" s="370"/>
      <c r="N36" s="296"/>
      <c r="O36" s="234"/>
    </row>
    <row r="37" spans="1:16" s="132" customFormat="1" ht="12.75" customHeight="1" x14ac:dyDescent="0.2">
      <c r="A37" s="318"/>
      <c r="B37" s="175" t="s">
        <v>20</v>
      </c>
      <c r="C37" s="176"/>
      <c r="D37" s="176"/>
      <c r="E37" s="176"/>
      <c r="F37" s="176"/>
      <c r="G37" s="191"/>
      <c r="H37" s="337"/>
      <c r="I37" s="338"/>
      <c r="J37" s="338"/>
      <c r="K37" s="338"/>
      <c r="L37" s="338"/>
      <c r="M37" s="338"/>
      <c r="N37" s="373">
        <f>N35</f>
        <v>115920.85464000002</v>
      </c>
      <c r="O37" s="235">
        <f>N37/$N$39</f>
        <v>1</v>
      </c>
    </row>
    <row r="38" spans="1:16" ht="8.25" customHeight="1" x14ac:dyDescent="0.2">
      <c r="G38" s="52"/>
      <c r="H38" s="313"/>
      <c r="I38" s="313"/>
      <c r="J38" s="313"/>
      <c r="K38" s="313"/>
      <c r="L38" s="313"/>
      <c r="M38" s="313"/>
      <c r="N38" s="313"/>
      <c r="O38" s="187"/>
    </row>
    <row r="39" spans="1:16" ht="12.75" customHeight="1" x14ac:dyDescent="0.2">
      <c r="A39" s="146"/>
      <c r="B39" s="147" t="s">
        <v>30</v>
      </c>
      <c r="C39" s="146"/>
      <c r="D39" s="146"/>
      <c r="E39" s="146"/>
      <c r="F39" s="146"/>
      <c r="G39" s="146"/>
      <c r="H39" s="350"/>
      <c r="I39" s="345"/>
      <c r="J39" s="345"/>
      <c r="K39" s="345"/>
      <c r="L39" s="345"/>
      <c r="M39" s="275">
        <f>SUM(M12:M38)</f>
        <v>115920.85464000002</v>
      </c>
      <c r="N39" s="316">
        <f>N24+N37</f>
        <v>115920.85464000002</v>
      </c>
      <c r="O39" s="29"/>
      <c r="P39" s="149"/>
    </row>
    <row r="40" spans="1:16" ht="8.25" customHeight="1" x14ac:dyDescent="0.2">
      <c r="H40" s="313"/>
      <c r="I40" s="311"/>
      <c r="J40" s="311"/>
      <c r="K40" s="311"/>
      <c r="L40" s="311"/>
      <c r="M40" s="311"/>
      <c r="N40" s="311"/>
      <c r="O40" s="219"/>
      <c r="P40" s="149"/>
    </row>
    <row r="41" spans="1:16" ht="12.75" customHeight="1" x14ac:dyDescent="0.2">
      <c r="A41" s="146"/>
      <c r="B41" s="147" t="s">
        <v>265</v>
      </c>
      <c r="C41" s="146"/>
      <c r="D41" s="146"/>
      <c r="E41" s="146"/>
      <c r="F41" s="146"/>
      <c r="G41" s="146"/>
      <c r="H41" s="350"/>
      <c r="I41" s="345"/>
      <c r="J41" s="345"/>
      <c r="K41" s="345"/>
      <c r="L41" s="345"/>
      <c r="M41" s="275">
        <f>M39+(M39*O7)</f>
        <v>136462.03008220802</v>
      </c>
      <c r="N41" s="316">
        <f>M41</f>
        <v>136462.03008220802</v>
      </c>
      <c r="O41" s="29">
        <f>N41/RESUMO!H95</f>
        <v>1.8844483230985479E-2</v>
      </c>
      <c r="P41" s="149"/>
    </row>
    <row r="53" spans="1:15" ht="12.75" customHeight="1" x14ac:dyDescent="0.2">
      <c r="A53" s="150"/>
      <c r="B53" s="150"/>
      <c r="C53" s="150"/>
      <c r="D53" s="150"/>
      <c r="E53" s="150"/>
      <c r="F53" s="150"/>
      <c r="G53" s="150"/>
      <c r="H53" s="209"/>
      <c r="I53" s="150"/>
      <c r="J53" s="150"/>
      <c r="K53" s="150"/>
      <c r="L53" s="150"/>
      <c r="M53" s="150"/>
      <c r="N53" s="211"/>
      <c r="O53" s="210"/>
    </row>
    <row r="54" spans="1:15" ht="12.75" customHeight="1" x14ac:dyDescent="0.2">
      <c r="A54" s="88"/>
      <c r="C54" s="184"/>
      <c r="D54" s="184"/>
      <c r="E54" s="184"/>
      <c r="F54" s="184"/>
      <c r="G54" s="184"/>
      <c r="H54" s="212"/>
      <c r="I54" s="184"/>
      <c r="J54" s="184"/>
      <c r="K54" s="184"/>
      <c r="L54" s="184"/>
      <c r="M54" s="184"/>
      <c r="N54" s="184"/>
      <c r="O54" s="437"/>
    </row>
  </sheetData>
  <mergeCells count="5">
    <mergeCell ref="A2:O2"/>
    <mergeCell ref="N4:O4"/>
    <mergeCell ref="A5:B6"/>
    <mergeCell ref="B12:F12"/>
    <mergeCell ref="B26:F26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legacyDrawingHF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tabColor theme="6" tint="0.39997558519241921"/>
    <pageSetUpPr fitToPage="1"/>
  </sheetPr>
  <dimension ref="A1:P153"/>
  <sheetViews>
    <sheetView view="pageBreakPreview" zoomScale="80" zoomScaleNormal="90" zoomScaleSheetLayoutView="80" workbookViewId="0">
      <selection activeCell="I145" sqref="I145"/>
    </sheetView>
  </sheetViews>
  <sheetFormatPr defaultColWidth="11.42578125" defaultRowHeight="12" customHeight="1" x14ac:dyDescent="0.2"/>
  <cols>
    <col min="1" max="1" width="11.42578125" style="156"/>
    <col min="2" max="5" width="11.42578125" style="51"/>
    <col min="6" max="6" width="28.5703125" style="51" customWidth="1"/>
    <col min="7" max="7" width="11.42578125" style="51"/>
    <col min="8" max="9" width="11.42578125" style="51" customWidth="1"/>
    <col min="10" max="10" width="7.85546875" style="51" hidden="1" customWidth="1"/>
    <col min="11" max="11" width="14.28515625" style="51" customWidth="1"/>
    <col min="12" max="12" width="7.85546875" style="51" hidden="1" customWidth="1"/>
    <col min="13" max="13" width="14.28515625" style="51" customWidth="1"/>
    <col min="14" max="14" width="17.140625" style="51" customWidth="1"/>
    <col min="15" max="15" width="11.42578125" style="52" customWidth="1"/>
    <col min="16" max="16384" width="11.42578125" style="51"/>
  </cols>
  <sheetData>
    <row r="1" spans="1:15" ht="7.5" customHeight="1" x14ac:dyDescent="0.2"/>
    <row r="2" spans="1:15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5" ht="7.5" customHeight="1" thickBot="1" x14ac:dyDescent="0.25">
      <c r="A3" s="194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95"/>
    </row>
    <row r="4" spans="1:15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5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5" ht="12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5" ht="12" customHeight="1" x14ac:dyDescent="0.2">
      <c r="A7" s="196"/>
      <c r="B7" s="253"/>
      <c r="C7" s="260" t="s">
        <v>6</v>
      </c>
      <c r="D7" s="263" t="str">
        <f>RESUMO!A47</f>
        <v>U.C. : 13</v>
      </c>
      <c r="E7" s="258"/>
      <c r="F7" s="258"/>
      <c r="G7" s="260" t="s">
        <v>9</v>
      </c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5" ht="12" customHeight="1" thickBot="1" x14ac:dyDescent="0.25">
      <c r="A8" s="197"/>
      <c r="B8" s="125"/>
      <c r="C8" s="266" t="s">
        <v>8</v>
      </c>
      <c r="D8" s="267" t="str">
        <f>RESUMO!B47</f>
        <v>ESTAÇÃO DE TRATAMENTO DE ESGOTO - ETE</v>
      </c>
      <c r="E8" s="268"/>
      <c r="F8" s="268"/>
      <c r="G8" s="266"/>
      <c r="H8" s="123"/>
      <c r="I8" s="278"/>
      <c r="J8" s="278"/>
      <c r="K8" s="278"/>
      <c r="L8" s="278"/>
      <c r="M8" s="278" t="s">
        <v>774</v>
      </c>
      <c r="N8" s="271"/>
      <c r="O8" s="427"/>
    </row>
    <row r="9" spans="1:15" ht="12" customHeight="1" thickTop="1" x14ac:dyDescent="0.2">
      <c r="A9" s="198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5" ht="7.5" customHeight="1" x14ac:dyDescent="0.2">
      <c r="O10" s="19"/>
    </row>
    <row r="11" spans="1:15" ht="12" customHeight="1" x14ac:dyDescent="0.2">
      <c r="A11" s="93">
        <f>RESUMO!A63</f>
        <v>16</v>
      </c>
      <c r="B11" s="93" t="str">
        <f>RESUMO!B63</f>
        <v>LAGOA FACULTATIVA 2 - SERVIÇOS</v>
      </c>
      <c r="H11" s="19"/>
      <c r="O11" s="19"/>
    </row>
    <row r="12" spans="1:15" ht="12" customHeight="1" x14ac:dyDescent="0.2">
      <c r="A12" s="129" t="s">
        <v>48</v>
      </c>
      <c r="B12" s="88" t="s">
        <v>16</v>
      </c>
      <c r="H12" s="19"/>
      <c r="O12" s="19"/>
    </row>
    <row r="13" spans="1:15" ht="12" customHeight="1" x14ac:dyDescent="0.2">
      <c r="A13" s="129" t="s">
        <v>79</v>
      </c>
      <c r="B13" s="88" t="s">
        <v>80</v>
      </c>
      <c r="H13" s="704"/>
      <c r="O13" s="19"/>
    </row>
    <row r="14" spans="1:15" ht="12" customHeight="1" x14ac:dyDescent="0.2">
      <c r="A14" s="140" t="s">
        <v>286</v>
      </c>
      <c r="B14" s="834" t="s">
        <v>636</v>
      </c>
      <c r="C14" s="834"/>
      <c r="D14" s="834"/>
      <c r="E14" s="834"/>
      <c r="F14" s="834"/>
      <c r="G14" s="97" t="s">
        <v>31</v>
      </c>
      <c r="H14" s="308"/>
      <c r="I14" s="323">
        <f>VLOOKUP(A14,'[1]TAB OGU JUN18'!$A:$G,6,"falso")</f>
        <v>16.329999999999998</v>
      </c>
      <c r="J14" s="323">
        <f>VLOOKUP(A14,'[1]TAB OGU JUN18'!$A:$G,4,"falso")</f>
        <v>9.6300000000000008</v>
      </c>
      <c r="K14" s="308">
        <f>H14*J14</f>
        <v>0</v>
      </c>
      <c r="L14" s="323">
        <f>VLOOKUP(A14,'[1]TAB OGU JUN18'!$A:$G,5,"falso")</f>
        <v>6.7</v>
      </c>
      <c r="M14" s="308">
        <f>H14*L14</f>
        <v>0</v>
      </c>
      <c r="N14" s="308">
        <f>H14*I14</f>
        <v>0</v>
      </c>
      <c r="O14" s="185" t="e">
        <f>(N14*1)/$N$16</f>
        <v>#DIV/0!</v>
      </c>
    </row>
    <row r="15" spans="1:15" ht="12" customHeight="1" x14ac:dyDescent="0.2">
      <c r="G15" s="52"/>
      <c r="H15" s="324"/>
      <c r="I15" s="313"/>
      <c r="J15" s="313"/>
      <c r="K15" s="313"/>
      <c r="L15" s="313"/>
      <c r="M15" s="313"/>
      <c r="N15" s="309"/>
      <c r="O15" s="185"/>
    </row>
    <row r="16" spans="1:15" ht="12" customHeight="1" x14ac:dyDescent="0.2">
      <c r="B16" s="130" t="s">
        <v>18</v>
      </c>
      <c r="C16" s="131"/>
      <c r="D16" s="131"/>
      <c r="E16" s="131"/>
      <c r="F16" s="131"/>
      <c r="G16" s="53"/>
      <c r="H16" s="325"/>
      <c r="I16" s="326"/>
      <c r="J16" s="326"/>
      <c r="K16" s="326"/>
      <c r="L16" s="326"/>
      <c r="M16" s="326"/>
      <c r="N16" s="308">
        <f>SUM(N14:N14)</f>
        <v>0</v>
      </c>
      <c r="O16" s="185" t="e">
        <f>N16/N23</f>
        <v>#DIV/0!</v>
      </c>
    </row>
    <row r="17" spans="1:15" ht="12" customHeight="1" x14ac:dyDescent="0.2">
      <c r="B17" s="130"/>
      <c r="G17" s="52"/>
      <c r="H17" s="324"/>
      <c r="I17" s="313"/>
      <c r="J17" s="313"/>
      <c r="K17" s="313"/>
      <c r="L17" s="313"/>
      <c r="M17" s="313"/>
      <c r="N17" s="308"/>
      <c r="O17" s="185"/>
    </row>
    <row r="18" spans="1:15" ht="12" customHeight="1" x14ac:dyDescent="0.2">
      <c r="A18" s="129" t="s">
        <v>779</v>
      </c>
      <c r="B18" s="88" t="s">
        <v>780</v>
      </c>
      <c r="H18" s="704"/>
      <c r="N18" s="303"/>
      <c r="O18" s="187"/>
    </row>
    <row r="19" spans="1:15" ht="12" customHeight="1" x14ac:dyDescent="0.2">
      <c r="A19" s="140" t="s">
        <v>789</v>
      </c>
      <c r="B19" s="142" t="s">
        <v>636</v>
      </c>
      <c r="C19" s="153"/>
      <c r="D19" s="153"/>
      <c r="E19" s="153"/>
      <c r="F19" s="153"/>
      <c r="G19" s="97" t="s">
        <v>31</v>
      </c>
      <c r="H19" s="308"/>
      <c r="I19" s="323">
        <f>VLOOKUP(A19,'[1]TAB OGU JUN18'!$A:$G,6,"falso")</f>
        <v>0.47</v>
      </c>
      <c r="J19" s="323">
        <f>VLOOKUP(A19,'[1]TAB OGU JUN18'!$A:$G,4,"falso")</f>
        <v>0.47</v>
      </c>
      <c r="K19" s="308">
        <f>H19*J19</f>
        <v>0</v>
      </c>
      <c r="L19" s="323">
        <f>VLOOKUP(A19,'[1]TAB OGU JUN18'!$A:$G,5,"falso")</f>
        <v>0</v>
      </c>
      <c r="M19" s="308"/>
      <c r="N19" s="308">
        <f>H19*I19</f>
        <v>0</v>
      </c>
      <c r="O19" s="185" t="e">
        <f>N19/N21</f>
        <v>#DIV/0!</v>
      </c>
    </row>
    <row r="20" spans="1:15" ht="12" customHeight="1" x14ac:dyDescent="0.2">
      <c r="G20" s="52"/>
      <c r="H20" s="324"/>
      <c r="I20" s="313"/>
      <c r="J20" s="313"/>
      <c r="K20" s="313"/>
      <c r="L20" s="313"/>
      <c r="M20" s="313"/>
      <c r="N20" s="309"/>
      <c r="O20" s="185"/>
    </row>
    <row r="21" spans="1:15" ht="12" customHeight="1" x14ac:dyDescent="0.2">
      <c r="B21" s="130" t="s">
        <v>18</v>
      </c>
      <c r="C21" s="131"/>
      <c r="D21" s="131"/>
      <c r="E21" s="131"/>
      <c r="F21" s="131"/>
      <c r="G21" s="53"/>
      <c r="H21" s="325"/>
      <c r="I21" s="326"/>
      <c r="J21" s="326"/>
      <c r="K21" s="326"/>
      <c r="L21" s="326"/>
      <c r="M21" s="326"/>
      <c r="N21" s="308">
        <f>SUM(N19:N19)</f>
        <v>0</v>
      </c>
      <c r="O21" s="185" t="e">
        <f>N21/N23</f>
        <v>#DIV/0!</v>
      </c>
    </row>
    <row r="22" spans="1:15" ht="12" customHeight="1" x14ac:dyDescent="0.2">
      <c r="B22" s="130"/>
      <c r="G22" s="52"/>
      <c r="H22" s="324"/>
      <c r="I22" s="313"/>
      <c r="J22" s="313"/>
      <c r="K22" s="313"/>
      <c r="L22" s="313"/>
      <c r="M22" s="313"/>
      <c r="N22" s="308"/>
      <c r="O22" s="185"/>
    </row>
    <row r="23" spans="1:15" s="132" customFormat="1" ht="12" customHeight="1" x14ac:dyDescent="0.2">
      <c r="A23" s="157"/>
      <c r="B23" s="133" t="s">
        <v>20</v>
      </c>
      <c r="C23" s="134"/>
      <c r="D23" s="134"/>
      <c r="E23" s="134"/>
      <c r="F23" s="134"/>
      <c r="G23" s="78"/>
      <c r="H23" s="327"/>
      <c r="I23" s="328"/>
      <c r="J23" s="328"/>
      <c r="K23" s="328"/>
      <c r="L23" s="328"/>
      <c r="M23" s="328"/>
      <c r="N23" s="310">
        <f>N16+N21</f>
        <v>0</v>
      </c>
      <c r="O23" s="186" t="e">
        <f>N23/N151</f>
        <v>#DIV/0!</v>
      </c>
    </row>
    <row r="24" spans="1:15" ht="12" hidden="1" customHeight="1" x14ac:dyDescent="0.2">
      <c r="B24" s="130"/>
      <c r="G24" s="52"/>
      <c r="H24" s="324"/>
      <c r="I24" s="313"/>
      <c r="J24" s="313"/>
      <c r="K24" s="313"/>
      <c r="L24" s="313"/>
      <c r="M24" s="313"/>
      <c r="N24" s="308"/>
      <c r="O24" s="185"/>
    </row>
    <row r="25" spans="1:15" ht="12" hidden="1" customHeight="1" x14ac:dyDescent="0.2">
      <c r="A25" s="129" t="s">
        <v>93</v>
      </c>
      <c r="B25" s="88" t="s">
        <v>96</v>
      </c>
      <c r="H25" s="324"/>
      <c r="I25" s="311"/>
      <c r="J25" s="311"/>
      <c r="K25" s="311"/>
      <c r="L25" s="311"/>
      <c r="M25" s="311"/>
      <c r="N25" s="311"/>
      <c r="O25" s="187"/>
    </row>
    <row r="26" spans="1:15" ht="12" hidden="1" customHeight="1" x14ac:dyDescent="0.2">
      <c r="A26" s="252" t="s">
        <v>540</v>
      </c>
      <c r="B26" s="835" t="s">
        <v>644</v>
      </c>
      <c r="C26" s="835"/>
      <c r="D26" s="835"/>
      <c r="E26" s="835"/>
      <c r="F26" s="835"/>
      <c r="H26" s="329"/>
      <c r="I26" s="311"/>
      <c r="J26" s="308"/>
      <c r="K26" s="311"/>
      <c r="L26" s="311"/>
      <c r="M26" s="311"/>
      <c r="N26" s="313"/>
      <c r="O26" s="187"/>
    </row>
    <row r="27" spans="1:15" ht="12" hidden="1" customHeight="1" x14ac:dyDescent="0.2">
      <c r="A27" s="129" t="s">
        <v>293</v>
      </c>
      <c r="B27" s="88" t="s">
        <v>541</v>
      </c>
      <c r="G27" s="97" t="s">
        <v>32</v>
      </c>
      <c r="H27" s="308"/>
      <c r="I27" s="323">
        <f>VLOOKUP(A27,'[1]TAB OGU JUN18'!$A:$G,6,"falso")</f>
        <v>31.26</v>
      </c>
      <c r="J27" s="323">
        <f>VLOOKUP(A27,'[1]TAB OGU JUN18'!$A:$G,4,"falso")</f>
        <v>31.26</v>
      </c>
      <c r="K27" s="308">
        <f>H27*J27</f>
        <v>0</v>
      </c>
      <c r="L27" s="323">
        <f>VLOOKUP(A27,'[1]TAB OGU JUN18'!$A:$G,5,"falso")</f>
        <v>0</v>
      </c>
      <c r="M27" s="308"/>
      <c r="N27" s="308">
        <f>H27*I27</f>
        <v>0</v>
      </c>
      <c r="O27" s="185" t="e">
        <f>N27/N29</f>
        <v>#DIV/0!</v>
      </c>
    </row>
    <row r="28" spans="1:15" ht="12" hidden="1" customHeight="1" x14ac:dyDescent="0.2">
      <c r="G28" s="52"/>
      <c r="H28" s="324"/>
      <c r="I28" s="313"/>
      <c r="J28" s="308"/>
      <c r="K28" s="313"/>
      <c r="L28" s="313"/>
      <c r="M28" s="313"/>
      <c r="N28" s="309"/>
      <c r="O28" s="185"/>
    </row>
    <row r="29" spans="1:15" ht="12" hidden="1" customHeight="1" x14ac:dyDescent="0.2">
      <c r="B29" s="130" t="s">
        <v>18</v>
      </c>
      <c r="C29" s="131"/>
      <c r="D29" s="131"/>
      <c r="E29" s="131"/>
      <c r="F29" s="131"/>
      <c r="G29" s="53"/>
      <c r="H29" s="325"/>
      <c r="I29" s="325"/>
      <c r="J29" s="325"/>
      <c r="K29" s="325"/>
      <c r="L29" s="326"/>
      <c r="M29" s="326"/>
      <c r="N29" s="308">
        <f>SUM(N27:N27)</f>
        <v>0</v>
      </c>
      <c r="O29" s="185" t="e">
        <f>N29/N62</f>
        <v>#DIV/0!</v>
      </c>
    </row>
    <row r="30" spans="1:15" ht="12" customHeight="1" x14ac:dyDescent="0.2">
      <c r="B30" s="130"/>
      <c r="G30" s="52"/>
      <c r="H30" s="324"/>
      <c r="I30" s="313"/>
      <c r="J30" s="308"/>
      <c r="K30" s="311"/>
      <c r="L30" s="311"/>
      <c r="M30" s="311"/>
      <c r="N30" s="308"/>
      <c r="O30" s="185"/>
    </row>
    <row r="31" spans="1:15" ht="12" customHeight="1" x14ac:dyDescent="0.2">
      <c r="A31" s="252" t="s">
        <v>543</v>
      </c>
      <c r="B31" s="835" t="s">
        <v>645</v>
      </c>
      <c r="C31" s="835"/>
      <c r="D31" s="835"/>
      <c r="E31" s="835"/>
      <c r="F31" s="835"/>
      <c r="G31" s="52"/>
      <c r="H31" s="324"/>
      <c r="I31" s="313"/>
      <c r="J31" s="313"/>
      <c r="K31" s="313"/>
      <c r="L31" s="313"/>
      <c r="M31" s="313"/>
      <c r="N31" s="313"/>
      <c r="O31" s="187"/>
    </row>
    <row r="32" spans="1:15" ht="12" customHeight="1" x14ac:dyDescent="0.2">
      <c r="A32" s="98" t="s">
        <v>295</v>
      </c>
      <c r="B32" s="88" t="s">
        <v>229</v>
      </c>
      <c r="G32" s="97" t="s">
        <v>32</v>
      </c>
      <c r="H32" s="308"/>
      <c r="I32" s="323">
        <f>VLOOKUP(A32,'[1]TAB OGU JUN18'!$A:$G,6,"falso")</f>
        <v>7.1</v>
      </c>
      <c r="J32" s="323">
        <f>VLOOKUP(A32,'[1]TAB OGU JUN18'!$A:$G,4,"falso")</f>
        <v>7.1</v>
      </c>
      <c r="K32" s="308">
        <f>H32*J32</f>
        <v>0</v>
      </c>
      <c r="L32" s="323">
        <f>VLOOKUP(A32,'[1]TAB OGU JUN18'!$A:$G,5,"falso")</f>
        <v>0</v>
      </c>
      <c r="M32" s="308"/>
      <c r="N32" s="308">
        <f>H32*I32</f>
        <v>0</v>
      </c>
      <c r="O32" s="185" t="e">
        <f>N32/N34</f>
        <v>#DIV/0!</v>
      </c>
    </row>
    <row r="33" spans="1:15" ht="12" customHeight="1" x14ac:dyDescent="0.2">
      <c r="G33" s="52"/>
      <c r="H33" s="324"/>
      <c r="I33" s="313"/>
      <c r="J33" s="313"/>
      <c r="K33" s="313"/>
      <c r="L33" s="313"/>
      <c r="M33" s="313"/>
      <c r="N33" s="313"/>
      <c r="O33" s="187"/>
    </row>
    <row r="34" spans="1:15" ht="12" customHeight="1" x14ac:dyDescent="0.2">
      <c r="B34" s="130" t="s">
        <v>18</v>
      </c>
      <c r="C34" s="131"/>
      <c r="D34" s="131"/>
      <c r="E34" s="131"/>
      <c r="F34" s="131"/>
      <c r="G34" s="53"/>
      <c r="H34" s="325"/>
      <c r="I34" s="326"/>
      <c r="J34" s="326"/>
      <c r="K34" s="326"/>
      <c r="L34" s="326"/>
      <c r="M34" s="326"/>
      <c r="N34" s="308">
        <f>N32</f>
        <v>0</v>
      </c>
      <c r="O34" s="185" t="e">
        <f>N34/$N$62</f>
        <v>#DIV/0!</v>
      </c>
    </row>
    <row r="35" spans="1:15" ht="12" customHeight="1" x14ac:dyDescent="0.2">
      <c r="B35" s="130"/>
      <c r="G35" s="52"/>
      <c r="H35" s="324"/>
      <c r="I35" s="313"/>
      <c r="J35" s="313"/>
      <c r="K35" s="313"/>
      <c r="L35" s="313"/>
      <c r="M35" s="313"/>
      <c r="N35" s="308"/>
      <c r="O35" s="185"/>
    </row>
    <row r="36" spans="1:15" ht="12" customHeight="1" x14ac:dyDescent="0.2">
      <c r="A36" s="256" t="s">
        <v>297</v>
      </c>
      <c r="B36" s="142" t="s">
        <v>298</v>
      </c>
      <c r="C36" s="142"/>
      <c r="D36" s="142"/>
      <c r="E36" s="142"/>
      <c r="F36" s="142"/>
      <c r="G36" s="97"/>
      <c r="H36" s="308"/>
      <c r="I36" s="308"/>
      <c r="J36" s="308"/>
      <c r="K36" s="308"/>
      <c r="L36" s="308"/>
      <c r="M36" s="308"/>
      <c r="N36" s="308"/>
      <c r="O36" s="185"/>
    </row>
    <row r="37" spans="1:15" ht="12" customHeight="1" x14ac:dyDescent="0.2">
      <c r="A37" s="256" t="s">
        <v>299</v>
      </c>
      <c r="B37" s="142" t="s">
        <v>300</v>
      </c>
      <c r="C37" s="142"/>
      <c r="D37" s="142"/>
      <c r="E37" s="142"/>
      <c r="F37" s="142"/>
      <c r="G37" s="97" t="s">
        <v>32</v>
      </c>
      <c r="H37" s="308"/>
      <c r="I37" s="323">
        <f>VLOOKUP(A37,'[1]TAB OGU JUN18'!$A:$G,6,"falso")</f>
        <v>9.8699999999999992</v>
      </c>
      <c r="J37" s="323">
        <f>VLOOKUP(A37,'[1]TAB OGU JUN18'!$A:$G,4,"falso")</f>
        <v>9.8699999999999992</v>
      </c>
      <c r="K37" s="308">
        <f>H37*J37</f>
        <v>0</v>
      </c>
      <c r="L37" s="323">
        <f>VLOOKUP(A37,'[1]TAB OGU JUN18'!$A:$G,5,"falso")</f>
        <v>0</v>
      </c>
      <c r="M37" s="308"/>
      <c r="N37" s="308">
        <f>H37*I37</f>
        <v>0</v>
      </c>
      <c r="O37" s="185" t="e">
        <f>N37/N39</f>
        <v>#DIV/0!</v>
      </c>
    </row>
    <row r="38" spans="1:15" ht="12" customHeight="1" x14ac:dyDescent="0.2">
      <c r="B38" s="130"/>
      <c r="G38" s="52"/>
      <c r="H38" s="324"/>
      <c r="I38" s="313"/>
      <c r="J38" s="308"/>
      <c r="K38" s="313"/>
      <c r="L38" s="313"/>
      <c r="M38" s="313"/>
      <c r="N38" s="308"/>
      <c r="O38" s="185"/>
    </row>
    <row r="39" spans="1:15" ht="12" customHeight="1" x14ac:dyDescent="0.2">
      <c r="B39" s="130" t="s">
        <v>18</v>
      </c>
      <c r="C39" s="131"/>
      <c r="D39" s="131"/>
      <c r="E39" s="131"/>
      <c r="F39" s="131"/>
      <c r="G39" s="53"/>
      <c r="H39" s="325"/>
      <c r="I39" s="325"/>
      <c r="J39" s="325"/>
      <c r="K39" s="325"/>
      <c r="L39" s="326"/>
      <c r="M39" s="326"/>
      <c r="N39" s="308">
        <f>N37</f>
        <v>0</v>
      </c>
      <c r="O39" s="185" t="e">
        <f>N39/$N$62</f>
        <v>#DIV/0!</v>
      </c>
    </row>
    <row r="40" spans="1:15" ht="12" customHeight="1" x14ac:dyDescent="0.2">
      <c r="B40" s="130"/>
      <c r="G40" s="52"/>
      <c r="H40" s="324"/>
      <c r="I40" s="313"/>
      <c r="J40" s="308"/>
      <c r="K40" s="313"/>
      <c r="L40" s="313"/>
      <c r="M40" s="313"/>
      <c r="N40" s="308"/>
      <c r="O40" s="185"/>
    </row>
    <row r="41" spans="1:15" ht="12" customHeight="1" x14ac:dyDescent="0.2">
      <c r="A41" s="98" t="s">
        <v>101</v>
      </c>
      <c r="B41" s="88" t="s">
        <v>21</v>
      </c>
      <c r="G41" s="97"/>
      <c r="H41" s="308"/>
      <c r="I41" s="308"/>
      <c r="J41" s="308"/>
      <c r="K41" s="308"/>
      <c r="L41" s="308"/>
      <c r="M41" s="308"/>
      <c r="N41" s="308"/>
      <c r="O41" s="185"/>
    </row>
    <row r="42" spans="1:15" ht="12" hidden="1" customHeight="1" x14ac:dyDescent="0.2">
      <c r="A42" s="98" t="s">
        <v>102</v>
      </c>
      <c r="B42" s="88" t="s">
        <v>104</v>
      </c>
      <c r="G42" s="97" t="s">
        <v>32</v>
      </c>
      <c r="H42" s="308"/>
      <c r="I42" s="323">
        <f>VLOOKUP(A42,'[1]TAB OGU JUN18'!$A:$G,6,"falso")</f>
        <v>7.4</v>
      </c>
      <c r="J42" s="323">
        <f>VLOOKUP(A42,'[1]TAB OGU JUN18'!$A:$G,4,"falso")</f>
        <v>7.4</v>
      </c>
      <c r="K42" s="308">
        <f>H42*J42</f>
        <v>0</v>
      </c>
      <c r="L42" s="323">
        <f>VLOOKUP(A42,'[1]TAB OGU JUN18'!$A:$G,5,"falso")</f>
        <v>0</v>
      </c>
      <c r="M42" s="308"/>
      <c r="N42" s="308">
        <f>H42*I42</f>
        <v>0</v>
      </c>
      <c r="O42" s="185" t="e">
        <f>N42/N45</f>
        <v>#DIV/0!</v>
      </c>
    </row>
    <row r="43" spans="1:15" ht="12" customHeight="1" x14ac:dyDescent="0.2">
      <c r="A43" s="98" t="s">
        <v>103</v>
      </c>
      <c r="B43" s="88" t="s">
        <v>105</v>
      </c>
      <c r="G43" s="97" t="s">
        <v>32</v>
      </c>
      <c r="H43" s="308"/>
      <c r="I43" s="323">
        <f>VLOOKUP(A43,'[1]TAB OGU JUN18'!$A:$G,6,"falso")</f>
        <v>1.32</v>
      </c>
      <c r="J43" s="323">
        <f>VLOOKUP(A43,'[1]TAB OGU JUN18'!$A:$G,4,"falso")</f>
        <v>1.32</v>
      </c>
      <c r="K43" s="308">
        <f>H43*J43</f>
        <v>0</v>
      </c>
      <c r="L43" s="323">
        <f>VLOOKUP(A43,'[1]TAB OGU JUN18'!$A:$G,5,"falso")</f>
        <v>0</v>
      </c>
      <c r="M43" s="308"/>
      <c r="N43" s="308">
        <f>H43*I43</f>
        <v>0</v>
      </c>
      <c r="O43" s="185" t="e">
        <f>N43/N45</f>
        <v>#DIV/0!</v>
      </c>
    </row>
    <row r="44" spans="1:15" ht="12" customHeight="1" x14ac:dyDescent="0.2">
      <c r="B44" s="130"/>
      <c r="G44" s="52"/>
      <c r="H44" s="324"/>
      <c r="I44" s="313"/>
      <c r="J44" s="313"/>
      <c r="K44" s="313"/>
      <c r="L44" s="313"/>
      <c r="M44" s="313"/>
      <c r="N44" s="308"/>
      <c r="O44" s="185"/>
    </row>
    <row r="45" spans="1:15" ht="12" customHeight="1" x14ac:dyDescent="0.2">
      <c r="B45" s="130" t="s">
        <v>18</v>
      </c>
      <c r="C45" s="131"/>
      <c r="D45" s="131"/>
      <c r="E45" s="131"/>
      <c r="F45" s="131"/>
      <c r="G45" s="53"/>
      <c r="H45" s="325"/>
      <c r="I45" s="326"/>
      <c r="J45" s="326"/>
      <c r="K45" s="326"/>
      <c r="L45" s="326"/>
      <c r="M45" s="326"/>
      <c r="N45" s="308">
        <f>SUM(N42:N44)</f>
        <v>0</v>
      </c>
      <c r="O45" s="185" t="e">
        <f>N45/$N$62</f>
        <v>#DIV/0!</v>
      </c>
    </row>
    <row r="46" spans="1:15" ht="12" customHeight="1" x14ac:dyDescent="0.2">
      <c r="B46" s="130"/>
      <c r="G46" s="52"/>
      <c r="H46" s="324"/>
      <c r="I46" s="313"/>
      <c r="J46" s="313"/>
      <c r="K46" s="313"/>
      <c r="L46" s="313"/>
      <c r="M46" s="313"/>
      <c r="N46" s="308"/>
      <c r="O46" s="185"/>
    </row>
    <row r="47" spans="1:15" ht="12" customHeight="1" x14ac:dyDescent="0.2">
      <c r="A47" s="256" t="s">
        <v>301</v>
      </c>
      <c r="B47" s="834" t="s">
        <v>669</v>
      </c>
      <c r="C47" s="834"/>
      <c r="D47" s="834"/>
      <c r="E47" s="834"/>
      <c r="F47" s="834"/>
      <c r="G47" s="97"/>
      <c r="H47" s="308"/>
      <c r="I47" s="308"/>
      <c r="J47" s="308"/>
      <c r="K47" s="308"/>
      <c r="L47" s="308"/>
      <c r="M47" s="308"/>
      <c r="N47" s="308"/>
      <c r="O47" s="185"/>
    </row>
    <row r="48" spans="1:15" ht="12" customHeight="1" x14ac:dyDescent="0.2">
      <c r="A48" s="256" t="s">
        <v>302</v>
      </c>
      <c r="B48" s="834" t="s">
        <v>303</v>
      </c>
      <c r="C48" s="834"/>
      <c r="D48" s="834"/>
      <c r="E48" s="834"/>
      <c r="F48" s="834"/>
      <c r="G48" s="97" t="s">
        <v>32</v>
      </c>
      <c r="H48" s="308"/>
      <c r="I48" s="323">
        <f>VLOOKUP(A48,'[1]TAB OGU JUN18'!$A:$G,6,"falso")</f>
        <v>4.16</v>
      </c>
      <c r="J48" s="323">
        <f>VLOOKUP(A48,'[1]TAB OGU JUN18'!$A:$G,4,"falso")</f>
        <v>4.16</v>
      </c>
      <c r="K48" s="308">
        <f>H48*J48</f>
        <v>0</v>
      </c>
      <c r="L48" s="323">
        <f>VLOOKUP(A48,'[1]TAB OGU JUN18'!$A:$G,5,"falso")</f>
        <v>0</v>
      </c>
      <c r="M48" s="308"/>
      <c r="N48" s="308">
        <f>H48*I48</f>
        <v>0</v>
      </c>
      <c r="O48" s="185" t="e">
        <f>N48/N50</f>
        <v>#DIV/0!</v>
      </c>
    </row>
    <row r="49" spans="1:15" ht="12" customHeight="1" x14ac:dyDescent="0.2">
      <c r="B49" s="130"/>
      <c r="G49" s="52"/>
      <c r="H49" s="324"/>
      <c r="I49" s="313"/>
      <c r="J49" s="308"/>
      <c r="K49" s="313"/>
      <c r="L49" s="313"/>
      <c r="M49" s="313"/>
      <c r="N49" s="308"/>
      <c r="O49" s="185"/>
    </row>
    <row r="50" spans="1:15" ht="12" customHeight="1" x14ac:dyDescent="0.2">
      <c r="B50" s="130" t="s">
        <v>18</v>
      </c>
      <c r="C50" s="131"/>
      <c r="D50" s="131"/>
      <c r="E50" s="131"/>
      <c r="F50" s="131"/>
      <c r="G50" s="53"/>
      <c r="H50" s="325"/>
      <c r="I50" s="325"/>
      <c r="J50" s="325"/>
      <c r="K50" s="325"/>
      <c r="L50" s="326"/>
      <c r="M50" s="326"/>
      <c r="N50" s="308">
        <f>N48</f>
        <v>0</v>
      </c>
      <c r="O50" s="185" t="e">
        <f>N50/$N$62</f>
        <v>#DIV/0!</v>
      </c>
    </row>
    <row r="51" spans="1:15" ht="12" customHeight="1" x14ac:dyDescent="0.2">
      <c r="B51" s="130"/>
      <c r="G51" s="52"/>
      <c r="H51" s="324"/>
      <c r="I51" s="313"/>
      <c r="J51" s="308"/>
      <c r="K51" s="313"/>
      <c r="L51" s="313"/>
      <c r="M51" s="313"/>
      <c r="N51" s="308"/>
      <c r="O51" s="185"/>
    </row>
    <row r="52" spans="1:15" ht="12" customHeight="1" x14ac:dyDescent="0.2">
      <c r="A52" s="98" t="s">
        <v>110</v>
      </c>
      <c r="B52" s="88" t="s">
        <v>112</v>
      </c>
      <c r="G52" s="52"/>
      <c r="H52" s="324"/>
      <c r="I52" s="313"/>
      <c r="J52" s="313"/>
      <c r="K52" s="313"/>
      <c r="L52" s="313"/>
      <c r="M52" s="313"/>
      <c r="N52" s="313"/>
      <c r="O52" s="187"/>
    </row>
    <row r="53" spans="1:15" ht="12" customHeight="1" x14ac:dyDescent="0.2">
      <c r="A53" s="98" t="s">
        <v>111</v>
      </c>
      <c r="B53" s="88" t="s">
        <v>113</v>
      </c>
      <c r="G53" s="97" t="s">
        <v>32</v>
      </c>
      <c r="H53" s="308"/>
      <c r="I53" s="323">
        <f>VLOOKUP(A53,'[1]TAB OGU JUN18'!$A:$G,6,"falso")</f>
        <v>1.85</v>
      </c>
      <c r="J53" s="323">
        <f>VLOOKUP(A53,'[1]TAB OGU JUN18'!$A:$G,4,"falso")</f>
        <v>1.85</v>
      </c>
      <c r="K53" s="308">
        <f>H53*J53</f>
        <v>0</v>
      </c>
      <c r="L53" s="323">
        <f>VLOOKUP(A53,'[1]TAB OGU JUN18'!$A:$G,5,"falso")</f>
        <v>0</v>
      </c>
      <c r="M53" s="308"/>
      <c r="N53" s="308">
        <f>H53*I53</f>
        <v>0</v>
      </c>
      <c r="O53" s="185" t="e">
        <f>N53/N55</f>
        <v>#DIV/0!</v>
      </c>
    </row>
    <row r="54" spans="1:15" ht="12" customHeight="1" x14ac:dyDescent="0.2">
      <c r="G54" s="52"/>
      <c r="H54" s="324"/>
      <c r="I54" s="313"/>
      <c r="J54" s="313"/>
      <c r="K54" s="313"/>
      <c r="L54" s="313"/>
      <c r="M54" s="313"/>
      <c r="N54" s="313"/>
      <c r="O54" s="187"/>
    </row>
    <row r="55" spans="1:15" ht="12" customHeight="1" x14ac:dyDescent="0.2">
      <c r="B55" s="130" t="s">
        <v>18</v>
      </c>
      <c r="C55" s="131"/>
      <c r="D55" s="131"/>
      <c r="E55" s="131"/>
      <c r="F55" s="131"/>
      <c r="G55" s="53"/>
      <c r="H55" s="325"/>
      <c r="I55" s="326"/>
      <c r="J55" s="326"/>
      <c r="K55" s="326"/>
      <c r="L55" s="326"/>
      <c r="M55" s="326"/>
      <c r="N55" s="308">
        <f>N53</f>
        <v>0</v>
      </c>
      <c r="O55" s="185" t="e">
        <f>N55/N62</f>
        <v>#DIV/0!</v>
      </c>
    </row>
    <row r="56" spans="1:15" ht="12" customHeight="1" x14ac:dyDescent="0.2">
      <c r="B56" s="130"/>
      <c r="G56" s="52"/>
      <c r="H56" s="324"/>
      <c r="I56" s="313"/>
      <c r="J56" s="313"/>
      <c r="K56" s="313"/>
      <c r="L56" s="313"/>
      <c r="M56" s="313"/>
      <c r="N56" s="308"/>
      <c r="O56" s="185"/>
    </row>
    <row r="57" spans="1:15" ht="12" customHeight="1" x14ac:dyDescent="0.2">
      <c r="A57" s="98" t="s">
        <v>114</v>
      </c>
      <c r="B57" s="88" t="s">
        <v>737</v>
      </c>
      <c r="G57" s="52"/>
      <c r="H57" s="324"/>
      <c r="I57" s="313"/>
      <c r="J57" s="313"/>
      <c r="K57" s="313"/>
      <c r="L57" s="313"/>
      <c r="M57" s="313"/>
      <c r="N57" s="313"/>
      <c r="O57" s="187"/>
    </row>
    <row r="58" spans="1:15" ht="12" customHeight="1" x14ac:dyDescent="0.2">
      <c r="A58" s="98" t="s">
        <v>115</v>
      </c>
      <c r="B58" s="88" t="s">
        <v>116</v>
      </c>
      <c r="G58" s="97" t="s">
        <v>180</v>
      </c>
      <c r="H58" s="308"/>
      <c r="I58" s="323">
        <f>VLOOKUP(A58,'[1]TAB OGU JUN18'!$A:$G,6,"falso")</f>
        <v>1</v>
      </c>
      <c r="J58" s="323">
        <f>VLOOKUP(A58,'[1]TAB OGU JUN18'!$A:$G,4,"falso")</f>
        <v>1</v>
      </c>
      <c r="K58" s="308">
        <f>H58*J58</f>
        <v>0</v>
      </c>
      <c r="L58" s="323">
        <f>VLOOKUP(A58,'[1]TAB OGU JUN18'!$A:$G,5,"falso")</f>
        <v>0</v>
      </c>
      <c r="M58" s="308"/>
      <c r="N58" s="308">
        <f>H58*I58</f>
        <v>0</v>
      </c>
      <c r="O58" s="185" t="e">
        <f>N58/N60</f>
        <v>#DIV/0!</v>
      </c>
    </row>
    <row r="59" spans="1:15" ht="12" customHeight="1" x14ac:dyDescent="0.2">
      <c r="G59" s="52"/>
      <c r="H59" s="324"/>
      <c r="I59" s="313"/>
      <c r="J59" s="313"/>
      <c r="K59" s="313"/>
      <c r="L59" s="313"/>
      <c r="M59" s="313"/>
      <c r="N59" s="313"/>
      <c r="O59" s="187"/>
    </row>
    <row r="60" spans="1:15" ht="12" customHeight="1" x14ac:dyDescent="0.2">
      <c r="B60" s="130" t="s">
        <v>18</v>
      </c>
      <c r="C60" s="131"/>
      <c r="D60" s="131"/>
      <c r="E60" s="131"/>
      <c r="F60" s="131"/>
      <c r="G60" s="53"/>
      <c r="H60" s="325"/>
      <c r="I60" s="326"/>
      <c r="J60" s="326"/>
      <c r="K60" s="326"/>
      <c r="L60" s="326"/>
      <c r="M60" s="326"/>
      <c r="N60" s="308">
        <f>N58</f>
        <v>0</v>
      </c>
      <c r="O60" s="185" t="e">
        <f>N60/N62</f>
        <v>#DIV/0!</v>
      </c>
    </row>
    <row r="61" spans="1:15" ht="12" customHeight="1" x14ac:dyDescent="0.2">
      <c r="B61" s="130"/>
      <c r="G61" s="52"/>
      <c r="H61" s="324"/>
      <c r="I61" s="313"/>
      <c r="J61" s="313"/>
      <c r="K61" s="313"/>
      <c r="L61" s="313"/>
      <c r="M61" s="313"/>
      <c r="N61" s="308"/>
      <c r="O61" s="185"/>
    </row>
    <row r="62" spans="1:15" s="132" customFormat="1" ht="12" customHeight="1" x14ac:dyDescent="0.2">
      <c r="A62" s="157"/>
      <c r="B62" s="133" t="s">
        <v>20</v>
      </c>
      <c r="C62" s="134"/>
      <c r="D62" s="134"/>
      <c r="E62" s="134"/>
      <c r="F62" s="134"/>
      <c r="G62" s="78"/>
      <c r="H62" s="327"/>
      <c r="I62" s="328"/>
      <c r="J62" s="328"/>
      <c r="K62" s="328"/>
      <c r="L62" s="328"/>
      <c r="M62" s="328"/>
      <c r="N62" s="310">
        <f>N60+N55+N50+N34+N45+N39+N29</f>
        <v>0</v>
      </c>
      <c r="O62" s="186" t="e">
        <f>N62/N151</f>
        <v>#DIV/0!</v>
      </c>
    </row>
    <row r="63" spans="1:15" ht="12" customHeight="1" x14ac:dyDescent="0.2">
      <c r="B63" s="130"/>
      <c r="G63" s="52"/>
      <c r="H63" s="324"/>
      <c r="I63" s="313"/>
      <c r="J63" s="313"/>
      <c r="K63" s="313"/>
      <c r="L63" s="313"/>
      <c r="M63" s="313"/>
      <c r="N63" s="308"/>
      <c r="O63" s="185"/>
    </row>
    <row r="64" spans="1:15" ht="12" customHeight="1" x14ac:dyDescent="0.2">
      <c r="A64" s="129" t="s">
        <v>124</v>
      </c>
      <c r="B64" s="88" t="s">
        <v>121</v>
      </c>
      <c r="H64" s="324"/>
      <c r="I64" s="311"/>
      <c r="J64" s="311"/>
      <c r="K64" s="311"/>
      <c r="L64" s="311"/>
      <c r="M64" s="311"/>
      <c r="N64" s="311"/>
      <c r="O64" s="187"/>
    </row>
    <row r="65" spans="1:15" ht="12" customHeight="1" x14ac:dyDescent="0.2">
      <c r="A65" s="129" t="s">
        <v>125</v>
      </c>
      <c r="B65" s="88" t="s">
        <v>122</v>
      </c>
      <c r="H65" s="324"/>
      <c r="I65" s="311"/>
      <c r="J65" s="311"/>
      <c r="K65" s="311"/>
      <c r="L65" s="311"/>
      <c r="M65" s="311"/>
      <c r="N65" s="311"/>
      <c r="O65" s="187"/>
    </row>
    <row r="66" spans="1:15" ht="12" customHeight="1" x14ac:dyDescent="0.2">
      <c r="A66" s="129" t="s">
        <v>126</v>
      </c>
      <c r="B66" s="88" t="s">
        <v>189</v>
      </c>
      <c r="G66" s="97" t="s">
        <v>123</v>
      </c>
      <c r="H66" s="308"/>
      <c r="I66" s="323">
        <f>VLOOKUP(A66,'[1]TAB OGU JUN18'!$A:$G,6,"falso")</f>
        <v>5.52</v>
      </c>
      <c r="J66" s="323">
        <f>VLOOKUP(A66,'[1]TAB OGU JUN18'!$A:$G,4,"falso")</f>
        <v>5.52</v>
      </c>
      <c r="K66" s="308">
        <f>H66*J66</f>
        <v>0</v>
      </c>
      <c r="L66" s="323">
        <f>VLOOKUP(A66,'[1]TAB OGU JUN18'!$A:$G,5,"falso")</f>
        <v>0</v>
      </c>
      <c r="M66" s="308"/>
      <c r="N66" s="308">
        <f>H66*I66</f>
        <v>0</v>
      </c>
      <c r="O66" s="185" t="e">
        <f>N66/N68</f>
        <v>#DIV/0!</v>
      </c>
    </row>
    <row r="67" spans="1:15" ht="12" customHeight="1" x14ac:dyDescent="0.2">
      <c r="B67" s="130"/>
      <c r="G67" s="52"/>
      <c r="H67" s="324"/>
      <c r="I67" s="313"/>
      <c r="J67" s="313"/>
      <c r="K67" s="313"/>
      <c r="L67" s="313"/>
      <c r="M67" s="313"/>
      <c r="N67" s="308"/>
      <c r="O67" s="185"/>
    </row>
    <row r="68" spans="1:15" ht="12" customHeight="1" x14ac:dyDescent="0.2">
      <c r="B68" s="130" t="s">
        <v>18</v>
      </c>
      <c r="C68" s="131"/>
      <c r="D68" s="131"/>
      <c r="E68" s="131"/>
      <c r="F68" s="131"/>
      <c r="G68" s="53"/>
      <c r="H68" s="325"/>
      <c r="I68" s="326"/>
      <c r="J68" s="326"/>
      <c r="K68" s="326"/>
      <c r="L68" s="326"/>
      <c r="M68" s="326"/>
      <c r="N68" s="308">
        <f>N66</f>
        <v>0</v>
      </c>
      <c r="O68" s="185" t="e">
        <f>N68/N70</f>
        <v>#DIV/0!</v>
      </c>
    </row>
    <row r="69" spans="1:15" ht="12" customHeight="1" x14ac:dyDescent="0.2">
      <c r="B69" s="130"/>
      <c r="G69" s="52"/>
      <c r="H69" s="324"/>
      <c r="I69" s="313"/>
      <c r="J69" s="313"/>
      <c r="K69" s="313"/>
      <c r="L69" s="313"/>
      <c r="M69" s="313"/>
      <c r="N69" s="308"/>
      <c r="O69" s="185"/>
    </row>
    <row r="70" spans="1:15" s="132" customFormat="1" ht="12" customHeight="1" x14ac:dyDescent="0.2">
      <c r="A70" s="157"/>
      <c r="B70" s="133" t="s">
        <v>20</v>
      </c>
      <c r="C70" s="134"/>
      <c r="D70" s="134"/>
      <c r="E70" s="134"/>
      <c r="F70" s="134"/>
      <c r="G70" s="78"/>
      <c r="H70" s="327"/>
      <c r="I70" s="328"/>
      <c r="J70" s="328"/>
      <c r="K70" s="328"/>
      <c r="L70" s="328"/>
      <c r="M70" s="328"/>
      <c r="N70" s="310">
        <f>N68</f>
        <v>0</v>
      </c>
      <c r="O70" s="186" t="e">
        <f>N70/N151</f>
        <v>#DIV/0!</v>
      </c>
    </row>
    <row r="71" spans="1:15" ht="12" customHeight="1" x14ac:dyDescent="0.2">
      <c r="A71" s="291"/>
      <c r="B71" s="576"/>
      <c r="C71" s="576"/>
      <c r="D71" s="576"/>
      <c r="E71" s="576"/>
      <c r="F71" s="576"/>
      <c r="G71" s="577"/>
      <c r="H71" s="641"/>
      <c r="I71" s="330"/>
      <c r="J71" s="311"/>
      <c r="K71" s="311"/>
      <c r="L71" s="311"/>
      <c r="M71" s="311"/>
      <c r="N71" s="296"/>
      <c r="O71" s="297"/>
    </row>
    <row r="72" spans="1:15" ht="12" customHeight="1" x14ac:dyDescent="0.2">
      <c r="A72" s="256" t="s">
        <v>308</v>
      </c>
      <c r="B72" s="834" t="s">
        <v>309</v>
      </c>
      <c r="C72" s="834"/>
      <c r="D72" s="834"/>
      <c r="E72" s="834"/>
      <c r="F72" s="834"/>
      <c r="G72" s="577"/>
      <c r="H72" s="652"/>
      <c r="I72" s="367"/>
      <c r="J72" s="367"/>
      <c r="K72" s="367"/>
      <c r="L72" s="311"/>
      <c r="M72" s="311"/>
      <c r="N72" s="311"/>
      <c r="O72" s="219"/>
    </row>
    <row r="73" spans="1:15" ht="11.25" customHeight="1" x14ac:dyDescent="0.2">
      <c r="A73" s="256" t="s">
        <v>310</v>
      </c>
      <c r="B73" s="834" t="s">
        <v>311</v>
      </c>
      <c r="C73" s="834"/>
      <c r="D73" s="834"/>
      <c r="E73" s="834"/>
      <c r="F73" s="834"/>
      <c r="G73" s="577"/>
      <c r="H73" s="652"/>
      <c r="I73" s="333"/>
      <c r="J73" s="313"/>
      <c r="K73" s="313"/>
      <c r="L73" s="313"/>
      <c r="M73" s="313"/>
      <c r="N73" s="333"/>
      <c r="O73" s="299"/>
    </row>
    <row r="74" spans="1:15" ht="12.75" x14ac:dyDescent="0.2">
      <c r="A74" s="140" t="s">
        <v>312</v>
      </c>
      <c r="B74" s="200" t="s">
        <v>313</v>
      </c>
      <c r="C74" s="200"/>
      <c r="D74" s="200"/>
      <c r="E74" s="200"/>
      <c r="F74" s="200"/>
      <c r="G74" s="163" t="s">
        <v>17</v>
      </c>
      <c r="H74" s="293"/>
      <c r="I74" s="323">
        <f>VLOOKUP(A74,'[1]TAB OGU JUN18'!$A:$G,6,"falso")</f>
        <v>51.95</v>
      </c>
      <c r="J74" s="323">
        <f>VLOOKUP(A74,'[1]TAB OGU JUN18'!$A:$G,4,"falso")</f>
        <v>51.95</v>
      </c>
      <c r="K74" s="308">
        <f>H74*J74</f>
        <v>0</v>
      </c>
      <c r="L74" s="323">
        <f>VLOOKUP(A74,'[1]TAB OGU JUN18'!$A:$G,5,"falso")</f>
        <v>0</v>
      </c>
      <c r="M74" s="374"/>
      <c r="N74" s="308">
        <f>H74*I74</f>
        <v>0</v>
      </c>
      <c r="O74" s="424" t="e">
        <f>N74/N76</f>
        <v>#DIV/0!</v>
      </c>
    </row>
    <row r="75" spans="1:15" ht="11.25" customHeight="1" x14ac:dyDescent="0.2">
      <c r="A75" s="256"/>
      <c r="B75" s="576"/>
      <c r="C75" s="576"/>
      <c r="D75" s="576"/>
      <c r="E75" s="576"/>
      <c r="F75" s="576"/>
      <c r="G75" s="139"/>
      <c r="H75" s="293"/>
      <c r="I75" s="189"/>
      <c r="J75" s="308"/>
      <c r="K75" s="308"/>
      <c r="L75" s="308"/>
      <c r="M75" s="308"/>
      <c r="N75" s="189"/>
      <c r="O75" s="300"/>
    </row>
    <row r="76" spans="1:15" ht="11.25" customHeight="1" x14ac:dyDescent="0.2">
      <c r="A76" s="291"/>
      <c r="B76" s="155" t="s">
        <v>18</v>
      </c>
      <c r="C76" s="160"/>
      <c r="D76" s="160"/>
      <c r="E76" s="160"/>
      <c r="F76" s="144"/>
      <c r="G76" s="161"/>
      <c r="H76" s="656"/>
      <c r="I76" s="334"/>
      <c r="J76" s="334"/>
      <c r="K76" s="334"/>
      <c r="L76" s="334"/>
      <c r="M76" s="334"/>
      <c r="N76" s="315">
        <f>SUM(N74:N75)</f>
        <v>0</v>
      </c>
      <c r="O76" s="301" t="e">
        <f>N76/N104</f>
        <v>#DIV/0!</v>
      </c>
    </row>
    <row r="77" spans="1:15" ht="11.25" customHeight="1" x14ac:dyDescent="0.2">
      <c r="A77" s="291"/>
      <c r="B77" s="576"/>
      <c r="C77" s="576"/>
      <c r="D77" s="576"/>
      <c r="E77" s="576"/>
      <c r="F77" s="576"/>
      <c r="G77" s="577"/>
      <c r="H77" s="652"/>
      <c r="I77" s="333"/>
      <c r="J77" s="313"/>
      <c r="K77" s="313"/>
      <c r="L77" s="313"/>
      <c r="M77" s="313"/>
      <c r="N77" s="189"/>
      <c r="O77" s="300"/>
    </row>
    <row r="78" spans="1:15" ht="11.25" customHeight="1" x14ac:dyDescent="0.2">
      <c r="A78" s="256" t="s">
        <v>626</v>
      </c>
      <c r="B78" s="142" t="s">
        <v>627</v>
      </c>
      <c r="C78" s="142"/>
      <c r="D78" s="142"/>
      <c r="E78" s="142"/>
      <c r="F78" s="142"/>
      <c r="G78" s="577"/>
      <c r="H78" s="652"/>
      <c r="I78" s="333"/>
      <c r="J78" s="313"/>
      <c r="K78" s="313"/>
      <c r="L78" s="313"/>
      <c r="M78" s="313"/>
      <c r="N78" s="333"/>
      <c r="O78" s="299"/>
    </row>
    <row r="79" spans="1:15" ht="11.25" customHeight="1" x14ac:dyDescent="0.2">
      <c r="A79" s="256" t="s">
        <v>628</v>
      </c>
      <c r="B79" s="200" t="s">
        <v>629</v>
      </c>
      <c r="C79" s="142"/>
      <c r="D79" s="142"/>
      <c r="E79" s="142"/>
      <c r="F79" s="142"/>
      <c r="G79" s="139" t="s">
        <v>24</v>
      </c>
      <c r="H79" s="293"/>
      <c r="I79" s="323">
        <f>VLOOKUP(A79,'[1]TAB OGU JUN18'!$A:$G,6,"falso")</f>
        <v>59.33</v>
      </c>
      <c r="J79" s="323">
        <f>VLOOKUP(A79,'[1]TAB OGU JUN18'!$A:$G,4,"falso")</f>
        <v>59.33</v>
      </c>
      <c r="K79" s="308">
        <f>H79*J79</f>
        <v>0</v>
      </c>
      <c r="L79" s="323">
        <f>VLOOKUP(A79,'[1]TAB OGU JUN18'!$A:$G,5,"falso")</f>
        <v>0</v>
      </c>
      <c r="M79" s="308"/>
      <c r="N79" s="315">
        <f>H79*I79</f>
        <v>0</v>
      </c>
      <c r="O79" s="192" t="e">
        <f>N79/N81</f>
        <v>#DIV/0!</v>
      </c>
    </row>
    <row r="80" spans="1:15" ht="11.25" customHeight="1" x14ac:dyDescent="0.2">
      <c r="A80" s="256"/>
      <c r="B80" s="576"/>
      <c r="C80" s="576"/>
      <c r="D80" s="576"/>
      <c r="E80" s="576"/>
      <c r="F80" s="576"/>
      <c r="G80" s="139"/>
      <c r="H80" s="293"/>
      <c r="I80" s="189"/>
      <c r="J80" s="308"/>
      <c r="K80" s="308"/>
      <c r="L80" s="308"/>
      <c r="M80" s="308"/>
      <c r="N80" s="189"/>
      <c r="O80" s="300"/>
    </row>
    <row r="81" spans="1:15" ht="11.25" customHeight="1" x14ac:dyDescent="0.2">
      <c r="A81" s="291"/>
      <c r="B81" s="155" t="s">
        <v>18</v>
      </c>
      <c r="C81" s="160"/>
      <c r="D81" s="160"/>
      <c r="E81" s="160"/>
      <c r="F81" s="144"/>
      <c r="G81" s="161"/>
      <c r="H81" s="656"/>
      <c r="I81" s="334"/>
      <c r="J81" s="334"/>
      <c r="K81" s="334"/>
      <c r="L81" s="334"/>
      <c r="M81" s="334"/>
      <c r="N81" s="315">
        <f>SUM(N79:N80)</f>
        <v>0</v>
      </c>
      <c r="O81" s="301" t="e">
        <f>N81/N104</f>
        <v>#DIV/0!</v>
      </c>
    </row>
    <row r="82" spans="1:15" ht="11.25" customHeight="1" x14ac:dyDescent="0.2">
      <c r="A82" s="291"/>
      <c r="B82" s="576"/>
      <c r="C82" s="576"/>
      <c r="D82" s="576"/>
      <c r="E82" s="576"/>
      <c r="F82" s="576"/>
      <c r="G82" s="577"/>
      <c r="H82" s="652"/>
      <c r="I82" s="333"/>
      <c r="J82" s="313"/>
      <c r="K82" s="313"/>
      <c r="L82" s="313"/>
      <c r="M82" s="313"/>
      <c r="N82" s="189"/>
      <c r="O82" s="300"/>
    </row>
    <row r="83" spans="1:15" ht="12" customHeight="1" x14ac:dyDescent="0.2">
      <c r="A83" s="256" t="s">
        <v>679</v>
      </c>
      <c r="B83" s="142" t="s">
        <v>681</v>
      </c>
      <c r="C83" s="142"/>
      <c r="D83" s="142"/>
      <c r="E83" s="142"/>
      <c r="F83" s="142"/>
      <c r="G83" s="577"/>
      <c r="H83" s="652"/>
      <c r="I83" s="333"/>
      <c r="J83" s="313"/>
      <c r="K83" s="313"/>
      <c r="L83" s="313"/>
      <c r="M83" s="313"/>
      <c r="N83" s="333"/>
      <c r="O83" s="299"/>
    </row>
    <row r="84" spans="1:15" ht="12" customHeight="1" x14ac:dyDescent="0.2">
      <c r="A84" s="256" t="s">
        <v>680</v>
      </c>
      <c r="B84" s="142" t="s">
        <v>682</v>
      </c>
      <c r="C84" s="142"/>
      <c r="D84" s="142"/>
      <c r="E84" s="142"/>
      <c r="F84" s="142"/>
      <c r="G84" s="139" t="s">
        <v>31</v>
      </c>
      <c r="H84" s="293"/>
      <c r="I84" s="323">
        <f>VLOOKUP(A84,'[1]TAB OGU JUN18'!$A:$G,6,"falso")</f>
        <v>50.16</v>
      </c>
      <c r="J84" s="323">
        <f>VLOOKUP(A84,'[1]TAB OGU JUN18'!$A:$G,4,"falso")</f>
        <v>41.18</v>
      </c>
      <c r="K84" s="308">
        <f>H84*J84</f>
        <v>0</v>
      </c>
      <c r="L84" s="323">
        <f>VLOOKUP(A84,'[1]TAB OGU JUN18'!$A:$G,5,"falso")</f>
        <v>8.98</v>
      </c>
      <c r="M84" s="308">
        <f>H84*L84</f>
        <v>0</v>
      </c>
      <c r="N84" s="308">
        <f>H84*I84</f>
        <v>0</v>
      </c>
      <c r="O84" s="192" t="e">
        <f>N84/N86</f>
        <v>#DIV/0!</v>
      </c>
    </row>
    <row r="85" spans="1:15" ht="12" customHeight="1" x14ac:dyDescent="0.2">
      <c r="A85" s="256"/>
      <c r="B85" s="576"/>
      <c r="C85" s="576"/>
      <c r="D85" s="576"/>
      <c r="E85" s="576"/>
      <c r="F85" s="576"/>
      <c r="G85" s="139"/>
      <c r="H85" s="293"/>
      <c r="I85" s="189"/>
      <c r="J85" s="308"/>
      <c r="K85" s="308"/>
      <c r="L85" s="308"/>
      <c r="M85" s="308"/>
      <c r="N85" s="189"/>
      <c r="O85" s="300"/>
    </row>
    <row r="86" spans="1:15" ht="12" customHeight="1" x14ac:dyDescent="0.2">
      <c r="A86" s="291"/>
      <c r="B86" s="155" t="s">
        <v>18</v>
      </c>
      <c r="C86" s="160"/>
      <c r="D86" s="160"/>
      <c r="E86" s="160"/>
      <c r="F86" s="144"/>
      <c r="G86" s="161"/>
      <c r="H86" s="656"/>
      <c r="I86" s="334"/>
      <c r="J86" s="334"/>
      <c r="K86" s="334"/>
      <c r="L86" s="334"/>
      <c r="M86" s="334"/>
      <c r="N86" s="315">
        <f>SUM(N84:N85)</f>
        <v>0</v>
      </c>
      <c r="O86" s="301" t="e">
        <f>N86/N104</f>
        <v>#DIV/0!</v>
      </c>
    </row>
    <row r="87" spans="1:15" ht="12" customHeight="1" x14ac:dyDescent="0.2">
      <c r="A87" s="291"/>
      <c r="B87" s="576"/>
      <c r="C87" s="576"/>
      <c r="D87" s="576"/>
      <c r="E87" s="576"/>
      <c r="F87" s="576"/>
      <c r="G87" s="577"/>
      <c r="H87" s="652"/>
      <c r="I87" s="333"/>
      <c r="J87" s="313"/>
      <c r="K87" s="313"/>
      <c r="L87" s="313"/>
      <c r="M87" s="313"/>
      <c r="N87" s="189"/>
      <c r="O87" s="300"/>
    </row>
    <row r="88" spans="1:15" ht="11.25" customHeight="1" x14ac:dyDescent="0.2">
      <c r="A88" s="256" t="s">
        <v>314</v>
      </c>
      <c r="B88" s="142" t="s">
        <v>315</v>
      </c>
      <c r="C88" s="142"/>
      <c r="D88" s="142"/>
      <c r="E88" s="142"/>
      <c r="F88" s="142"/>
      <c r="G88" s="577"/>
      <c r="H88" s="652"/>
      <c r="I88" s="333"/>
      <c r="J88" s="313"/>
      <c r="K88" s="313"/>
      <c r="L88" s="313"/>
      <c r="M88" s="313"/>
      <c r="N88" s="333"/>
      <c r="O88" s="299"/>
    </row>
    <row r="89" spans="1:15" ht="11.25" customHeight="1" x14ac:dyDescent="0.2">
      <c r="A89" s="256" t="s">
        <v>685</v>
      </c>
      <c r="B89" s="200" t="s">
        <v>640</v>
      </c>
      <c r="C89" s="142"/>
      <c r="D89" s="142"/>
      <c r="E89" s="142"/>
      <c r="F89" s="142"/>
      <c r="G89" s="139" t="s">
        <v>31</v>
      </c>
      <c r="H89" s="293"/>
      <c r="I89" s="323">
        <f>VLOOKUP(A89,'[1]TAB OGU JUN18'!$A:$G,6,"falso")</f>
        <v>67.22</v>
      </c>
      <c r="J89" s="323">
        <f>VLOOKUP(A89,'[1]TAB OGU JUN18'!$A:$G,4,"falso")</f>
        <v>41.18</v>
      </c>
      <c r="K89" s="308">
        <f>H89*J89</f>
        <v>0</v>
      </c>
      <c r="L89" s="323">
        <f>VLOOKUP(A89,'[1]TAB OGU JUN18'!$A:$G,5,"falso")</f>
        <v>26.04</v>
      </c>
      <c r="M89" s="374">
        <f>H89*L89</f>
        <v>0</v>
      </c>
      <c r="N89" s="315">
        <f>H89*I89</f>
        <v>0</v>
      </c>
      <c r="O89" s="192" t="e">
        <f>N89/N91</f>
        <v>#DIV/0!</v>
      </c>
    </row>
    <row r="90" spans="1:15" ht="11.25" customHeight="1" x14ac:dyDescent="0.2">
      <c r="A90" s="256"/>
      <c r="B90" s="576"/>
      <c r="C90" s="576"/>
      <c r="D90" s="576"/>
      <c r="E90" s="576"/>
      <c r="F90" s="576"/>
      <c r="G90" s="139"/>
      <c r="H90" s="293"/>
      <c r="I90" s="189"/>
      <c r="J90" s="308"/>
      <c r="K90" s="308"/>
      <c r="L90" s="308"/>
      <c r="M90" s="308"/>
      <c r="N90" s="189"/>
      <c r="O90" s="300"/>
    </row>
    <row r="91" spans="1:15" ht="11.25" customHeight="1" x14ac:dyDescent="0.2">
      <c r="A91" s="291"/>
      <c r="B91" s="155" t="s">
        <v>18</v>
      </c>
      <c r="C91" s="160"/>
      <c r="D91" s="160"/>
      <c r="E91" s="160"/>
      <c r="F91" s="144"/>
      <c r="G91" s="161"/>
      <c r="H91" s="656"/>
      <c r="I91" s="334"/>
      <c r="J91" s="334"/>
      <c r="K91" s="334"/>
      <c r="L91" s="334"/>
      <c r="M91" s="334"/>
      <c r="N91" s="315">
        <f>SUM(N89:N90)</f>
        <v>0</v>
      </c>
      <c r="O91" s="301" t="e">
        <f>N91/N104</f>
        <v>#DIV/0!</v>
      </c>
    </row>
    <row r="92" spans="1:15" ht="11.25" customHeight="1" x14ac:dyDescent="0.2">
      <c r="A92" s="291"/>
      <c r="B92" s="576"/>
      <c r="C92" s="576"/>
      <c r="D92" s="576"/>
      <c r="E92" s="576"/>
      <c r="F92" s="576"/>
      <c r="G92" s="577"/>
      <c r="H92" s="652"/>
      <c r="I92" s="333"/>
      <c r="J92" s="313"/>
      <c r="K92" s="313"/>
      <c r="L92" s="313"/>
      <c r="M92" s="313"/>
      <c r="N92" s="189"/>
      <c r="O92" s="300"/>
    </row>
    <row r="93" spans="1:15" ht="12" customHeight="1" x14ac:dyDescent="0.2">
      <c r="A93" s="256" t="s">
        <v>321</v>
      </c>
      <c r="B93" s="834" t="s">
        <v>322</v>
      </c>
      <c r="C93" s="834"/>
      <c r="D93" s="834"/>
      <c r="E93" s="834"/>
      <c r="F93" s="834"/>
      <c r="G93" s="577"/>
      <c r="H93" s="652"/>
      <c r="I93" s="333"/>
      <c r="J93" s="313"/>
      <c r="K93" s="313"/>
      <c r="L93" s="313"/>
      <c r="M93" s="313"/>
      <c r="N93" s="333"/>
      <c r="O93" s="299"/>
    </row>
    <row r="94" spans="1:15" ht="12" customHeight="1" x14ac:dyDescent="0.2">
      <c r="A94" s="256" t="s">
        <v>323</v>
      </c>
      <c r="B94" s="834" t="s">
        <v>324</v>
      </c>
      <c r="C94" s="834"/>
      <c r="D94" s="834"/>
      <c r="E94" s="834"/>
      <c r="F94" s="834"/>
      <c r="G94" s="139" t="s">
        <v>325</v>
      </c>
      <c r="H94" s="293"/>
      <c r="I94" s="323">
        <f>VLOOKUP(A94,'[1]TAB OGU JUN18'!$A:$G,6,"falso")</f>
        <v>5.01</v>
      </c>
      <c r="J94" s="323">
        <f>VLOOKUP(A94,'[1]TAB OGU JUN18'!$A:$G,4,"falso")</f>
        <v>2.4500000000000002</v>
      </c>
      <c r="K94" s="308">
        <f>H94*J94</f>
        <v>0</v>
      </c>
      <c r="L94" s="323">
        <f>VLOOKUP(A94,'[1]TAB OGU JUN18'!$A:$G,5,"falso")</f>
        <v>2.56</v>
      </c>
      <c r="M94" s="308">
        <f>H94*L94</f>
        <v>0</v>
      </c>
      <c r="N94" s="308">
        <f>H94*I94</f>
        <v>0</v>
      </c>
      <c r="O94" s="192" t="e">
        <f>N94/N97</f>
        <v>#DIV/0!</v>
      </c>
    </row>
    <row r="95" spans="1:15" ht="12" customHeight="1" x14ac:dyDescent="0.2">
      <c r="A95" s="256" t="s">
        <v>326</v>
      </c>
      <c r="B95" s="834" t="s">
        <v>327</v>
      </c>
      <c r="C95" s="834"/>
      <c r="D95" s="834"/>
      <c r="E95" s="834"/>
      <c r="F95" s="834"/>
      <c r="G95" s="139" t="s">
        <v>325</v>
      </c>
      <c r="H95" s="293"/>
      <c r="I95" s="323">
        <f>VLOOKUP(A95,'[1]TAB OGU JUN18'!$A:$G,6,"falso")</f>
        <v>8.01</v>
      </c>
      <c r="J95" s="323">
        <f>VLOOKUP(A95,'[1]TAB OGU JUN18'!$A:$G,4,"falso")</f>
        <v>3.68</v>
      </c>
      <c r="K95" s="308">
        <f>H95*J95</f>
        <v>0</v>
      </c>
      <c r="L95" s="323">
        <f>VLOOKUP(A95,'[1]TAB OGU JUN18'!$A:$G,5,"falso")</f>
        <v>4.33</v>
      </c>
      <c r="M95" s="308">
        <f>H95*L95</f>
        <v>0</v>
      </c>
      <c r="N95" s="308">
        <f>H95*I95</f>
        <v>0</v>
      </c>
      <c r="O95" s="192" t="e">
        <f>N95/N97</f>
        <v>#DIV/0!</v>
      </c>
    </row>
    <row r="96" spans="1:15" ht="12" customHeight="1" x14ac:dyDescent="0.2">
      <c r="A96" s="256"/>
      <c r="B96" s="576"/>
      <c r="C96" s="576"/>
      <c r="D96" s="576"/>
      <c r="E96" s="576"/>
      <c r="F96" s="576"/>
      <c r="G96" s="139"/>
      <c r="H96" s="293"/>
      <c r="I96" s="189"/>
      <c r="J96" s="308"/>
      <c r="K96" s="308"/>
      <c r="L96" s="308"/>
      <c r="M96" s="308"/>
      <c r="N96" s="189"/>
      <c r="O96" s="300"/>
    </row>
    <row r="97" spans="1:16" ht="12" customHeight="1" x14ac:dyDescent="0.2">
      <c r="A97" s="291"/>
      <c r="B97" s="155" t="s">
        <v>18</v>
      </c>
      <c r="C97" s="160"/>
      <c r="D97" s="160"/>
      <c r="E97" s="160"/>
      <c r="F97" s="144"/>
      <c r="G97" s="161"/>
      <c r="H97" s="656"/>
      <c r="I97" s="334"/>
      <c r="J97" s="334"/>
      <c r="K97" s="334"/>
      <c r="L97" s="334"/>
      <c r="M97" s="334"/>
      <c r="N97" s="315">
        <f>SUM(N94:N96)</f>
        <v>0</v>
      </c>
      <c r="O97" s="301" t="e">
        <f>N97/N104</f>
        <v>#DIV/0!</v>
      </c>
    </row>
    <row r="98" spans="1:16" ht="12" customHeight="1" x14ac:dyDescent="0.2">
      <c r="A98" s="291"/>
      <c r="B98" s="576"/>
      <c r="C98" s="576"/>
      <c r="D98" s="576"/>
      <c r="E98" s="576"/>
      <c r="F98" s="576"/>
      <c r="G98" s="162"/>
      <c r="H98" s="641"/>
      <c r="I98" s="333"/>
      <c r="J98" s="313"/>
      <c r="K98" s="313"/>
      <c r="L98" s="313"/>
      <c r="M98" s="313"/>
      <c r="N98" s="189"/>
      <c r="O98" s="300"/>
    </row>
    <row r="99" spans="1:16" ht="12" customHeight="1" x14ac:dyDescent="0.2">
      <c r="A99" s="256" t="s">
        <v>328</v>
      </c>
      <c r="B99" s="834" t="s">
        <v>329</v>
      </c>
      <c r="C99" s="834"/>
      <c r="D99" s="834"/>
      <c r="E99" s="834"/>
      <c r="F99" s="834"/>
      <c r="G99" s="162"/>
      <c r="H99" s="641"/>
      <c r="I99" s="333"/>
      <c r="J99" s="313"/>
      <c r="K99" s="313"/>
      <c r="L99" s="313"/>
      <c r="M99" s="313"/>
      <c r="N99" s="333"/>
      <c r="O99" s="299"/>
    </row>
    <row r="100" spans="1:16" ht="12" customHeight="1" x14ac:dyDescent="0.2">
      <c r="A100" s="256" t="s">
        <v>677</v>
      </c>
      <c r="B100" s="834" t="s">
        <v>1435</v>
      </c>
      <c r="C100" s="834"/>
      <c r="D100" s="834"/>
      <c r="E100" s="834"/>
      <c r="F100" s="834"/>
      <c r="G100" s="139" t="s">
        <v>32</v>
      </c>
      <c r="H100" s="189"/>
      <c r="I100" s="323">
        <f>VLOOKUP(A100,'[1]TAB OGU JUN18'!$A:$G,6,"falso")</f>
        <v>542.5</v>
      </c>
      <c r="J100" s="323">
        <f>VLOOKUP(A100,'[1]TAB OGU JUN18'!$A:$G,4,"falso")</f>
        <v>284.58999999999997</v>
      </c>
      <c r="K100" s="308">
        <f>H100*J100</f>
        <v>0</v>
      </c>
      <c r="L100" s="323">
        <f>VLOOKUP(A100,'[1]TAB OGU JUN18'!$A:$G,5,"falso")</f>
        <v>257.91000000000003</v>
      </c>
      <c r="M100" s="308">
        <f>H100*L100</f>
        <v>0</v>
      </c>
      <c r="N100" s="308">
        <f>H100*I100</f>
        <v>0</v>
      </c>
      <c r="O100" s="192" t="e">
        <f>N100/N102</f>
        <v>#DIV/0!</v>
      </c>
    </row>
    <row r="101" spans="1:16" ht="12" customHeight="1" x14ac:dyDescent="0.2">
      <c r="A101" s="292"/>
      <c r="B101" s="578"/>
      <c r="C101" s="578"/>
      <c r="D101" s="578"/>
      <c r="E101" s="578"/>
      <c r="F101" s="578"/>
      <c r="G101" s="163"/>
      <c r="H101" s="293"/>
      <c r="I101" s="293"/>
      <c r="J101" s="308"/>
      <c r="K101" s="308"/>
      <c r="L101" s="308"/>
      <c r="M101" s="308"/>
      <c r="N101" s="293"/>
      <c r="O101" s="320"/>
    </row>
    <row r="102" spans="1:16" ht="12" customHeight="1" x14ac:dyDescent="0.2">
      <c r="A102" s="291"/>
      <c r="B102" s="155" t="s">
        <v>18</v>
      </c>
      <c r="C102" s="160"/>
      <c r="D102" s="160"/>
      <c r="E102" s="160"/>
      <c r="F102" s="144"/>
      <c r="G102" s="161"/>
      <c r="H102" s="656"/>
      <c r="I102" s="334"/>
      <c r="J102" s="334"/>
      <c r="K102" s="334"/>
      <c r="L102" s="334"/>
      <c r="M102" s="334"/>
      <c r="N102" s="315">
        <f>SUM(N100:N101)</f>
        <v>0</v>
      </c>
      <c r="O102" s="301" t="e">
        <f>N102/N104</f>
        <v>#DIV/0!</v>
      </c>
    </row>
    <row r="103" spans="1:16" ht="12" customHeight="1" x14ac:dyDescent="0.2">
      <c r="A103" s="291"/>
      <c r="B103" s="834"/>
      <c r="C103" s="834"/>
      <c r="D103" s="834"/>
      <c r="E103" s="834"/>
      <c r="F103" s="834"/>
      <c r="G103" s="577"/>
      <c r="H103" s="641"/>
      <c r="I103" s="333"/>
      <c r="J103" s="313"/>
      <c r="K103" s="313"/>
      <c r="L103" s="313"/>
      <c r="M103" s="313"/>
      <c r="N103" s="189"/>
      <c r="O103" s="300"/>
    </row>
    <row r="104" spans="1:16" ht="12" customHeight="1" x14ac:dyDescent="0.2">
      <c r="A104" s="294"/>
      <c r="B104" s="165" t="s">
        <v>20</v>
      </c>
      <c r="C104" s="166"/>
      <c r="D104" s="166"/>
      <c r="E104" s="166"/>
      <c r="F104" s="167"/>
      <c r="G104" s="168"/>
      <c r="H104" s="659"/>
      <c r="I104" s="368"/>
      <c r="J104" s="368"/>
      <c r="K104" s="368"/>
      <c r="L104" s="368"/>
      <c r="M104" s="368"/>
      <c r="N104" s="369">
        <f>N76+N81+N86+N91+N97+N102</f>
        <v>0</v>
      </c>
      <c r="O104" s="321" t="e">
        <f>N104/N151</f>
        <v>#DIV/0!</v>
      </c>
    </row>
    <row r="105" spans="1:16" ht="12" customHeight="1" x14ac:dyDescent="0.2">
      <c r="A105" s="294"/>
      <c r="B105" s="165"/>
      <c r="C105" s="165"/>
      <c r="D105" s="165"/>
      <c r="E105" s="165"/>
      <c r="F105" s="480"/>
      <c r="G105" s="481"/>
      <c r="H105" s="661"/>
      <c r="I105" s="482"/>
      <c r="J105" s="482"/>
      <c r="K105" s="482"/>
      <c r="L105" s="482"/>
      <c r="M105" s="482"/>
      <c r="N105" s="369"/>
      <c r="O105" s="321"/>
    </row>
    <row r="106" spans="1:16" ht="12" customHeight="1" x14ac:dyDescent="0.2">
      <c r="A106" s="256" t="s">
        <v>127</v>
      </c>
      <c r="B106" s="834" t="s">
        <v>953</v>
      </c>
      <c r="C106" s="834"/>
      <c r="D106" s="834"/>
      <c r="E106" s="834"/>
      <c r="F106" s="834"/>
      <c r="G106" s="162"/>
      <c r="H106" s="641"/>
      <c r="I106" s="333"/>
      <c r="J106" s="313"/>
      <c r="K106" s="313"/>
      <c r="L106" s="313"/>
      <c r="M106" s="313"/>
      <c r="N106" s="333"/>
      <c r="O106" s="299"/>
    </row>
    <row r="107" spans="1:16" ht="12" customHeight="1" x14ac:dyDescent="0.2">
      <c r="A107" s="256" t="s">
        <v>128</v>
      </c>
      <c r="B107" s="834" t="s">
        <v>943</v>
      </c>
      <c r="C107" s="834"/>
      <c r="D107" s="834"/>
      <c r="E107" s="834"/>
      <c r="F107" s="834"/>
      <c r="G107" s="577"/>
      <c r="H107" s="641"/>
      <c r="I107" s="330"/>
      <c r="J107" s="330"/>
      <c r="K107" s="331"/>
      <c r="L107" s="311"/>
      <c r="M107" s="311"/>
      <c r="N107" s="313"/>
      <c r="O107" s="219"/>
    </row>
    <row r="108" spans="1:16" ht="12.75" x14ac:dyDescent="0.2">
      <c r="A108" s="256" t="s">
        <v>207</v>
      </c>
      <c r="B108" s="834" t="s">
        <v>944</v>
      </c>
      <c r="C108" s="834"/>
      <c r="D108" s="834"/>
      <c r="E108" s="834"/>
      <c r="F108" s="834"/>
      <c r="G108" s="97" t="s">
        <v>17</v>
      </c>
      <c r="H108" s="189"/>
      <c r="I108" s="323">
        <f>VLOOKUP(A108,'[1]TAB OGU JUN18'!$A:$G,6,"falso")</f>
        <v>3.14</v>
      </c>
      <c r="J108" s="323">
        <f>VLOOKUP(A108,'[1]TAB OGU JUN18'!$A:$G,4,"falso")</f>
        <v>3.01</v>
      </c>
      <c r="K108" s="308">
        <f>H108*J108</f>
        <v>0</v>
      </c>
      <c r="L108" s="323">
        <f>VLOOKUP(A108,'[1]TAB OGU JUN18'!$A:$G,5,"falso")</f>
        <v>0.13</v>
      </c>
      <c r="M108" s="308">
        <f>H108*L108</f>
        <v>0</v>
      </c>
      <c r="N108" s="308">
        <f>H108*I108</f>
        <v>0</v>
      </c>
      <c r="O108" s="297" t="e">
        <f>N108/N110</f>
        <v>#DIV/0!</v>
      </c>
      <c r="P108" s="51" t="s">
        <v>634</v>
      </c>
    </row>
    <row r="109" spans="1:16" ht="12" customHeight="1" x14ac:dyDescent="0.2">
      <c r="A109" s="256"/>
      <c r="B109" s="576"/>
      <c r="C109" s="576"/>
      <c r="D109" s="576"/>
      <c r="E109" s="576"/>
      <c r="F109" s="576"/>
      <c r="G109" s="139"/>
      <c r="H109" s="189"/>
      <c r="I109" s="296"/>
      <c r="J109" s="296"/>
      <c r="K109" s="296"/>
      <c r="L109" s="296"/>
      <c r="M109" s="296"/>
      <c r="N109" s="189"/>
      <c r="O109" s="297"/>
    </row>
    <row r="110" spans="1:16" ht="12" customHeight="1" x14ac:dyDescent="0.2">
      <c r="A110" s="291"/>
      <c r="B110" s="142" t="s">
        <v>18</v>
      </c>
      <c r="C110" s="143"/>
      <c r="D110" s="143"/>
      <c r="E110" s="143"/>
      <c r="F110" s="143"/>
      <c r="G110" s="173"/>
      <c r="H110" s="663"/>
      <c r="I110" s="336"/>
      <c r="J110" s="336"/>
      <c r="K110" s="336"/>
      <c r="L110" s="336"/>
      <c r="M110" s="336"/>
      <c r="N110" s="189">
        <f>SUM(N108:N109)</f>
        <v>0</v>
      </c>
      <c r="O110" s="297" t="e">
        <f>N110/N112</f>
        <v>#DIV/0!</v>
      </c>
    </row>
    <row r="111" spans="1:16" ht="12" customHeight="1" x14ac:dyDescent="0.2">
      <c r="A111" s="291"/>
      <c r="B111" s="576"/>
      <c r="C111" s="576"/>
      <c r="D111" s="576"/>
      <c r="E111" s="576"/>
      <c r="F111" s="576"/>
      <c r="G111" s="162"/>
      <c r="H111" s="641"/>
      <c r="I111" s="330"/>
      <c r="J111" s="311"/>
      <c r="K111" s="311"/>
      <c r="L111" s="311"/>
      <c r="M111" s="311"/>
      <c r="N111" s="189"/>
      <c r="O111" s="297"/>
    </row>
    <row r="112" spans="1:16" s="132" customFormat="1" ht="12" customHeight="1" x14ac:dyDescent="0.2">
      <c r="A112" s="294"/>
      <c r="B112" s="175" t="s">
        <v>20</v>
      </c>
      <c r="C112" s="176"/>
      <c r="D112" s="176"/>
      <c r="E112" s="176"/>
      <c r="F112" s="176"/>
      <c r="G112" s="178"/>
      <c r="H112" s="666"/>
      <c r="I112" s="338"/>
      <c r="J112" s="338"/>
      <c r="K112" s="338"/>
      <c r="L112" s="338"/>
      <c r="M112" s="338"/>
      <c r="N112" s="295">
        <f>N110</f>
        <v>0</v>
      </c>
      <c r="O112" s="186" t="e">
        <f>N112/N151</f>
        <v>#DIV/0!</v>
      </c>
    </row>
    <row r="113" spans="1:15" ht="12" customHeight="1" x14ac:dyDescent="0.2">
      <c r="A113" s="294"/>
      <c r="B113" s="175"/>
      <c r="C113" s="630"/>
      <c r="D113" s="630"/>
      <c r="E113" s="630"/>
      <c r="F113" s="630"/>
      <c r="G113" s="631"/>
      <c r="H113" s="710"/>
      <c r="I113" s="632"/>
      <c r="J113" s="632"/>
      <c r="K113" s="632"/>
      <c r="L113" s="632"/>
      <c r="M113" s="632"/>
      <c r="N113" s="295"/>
      <c r="O113" s="186"/>
    </row>
    <row r="114" spans="1:15" ht="12" customHeight="1" x14ac:dyDescent="0.2">
      <c r="A114" s="294"/>
      <c r="B114" s="175"/>
      <c r="C114" s="175"/>
      <c r="D114" s="175"/>
      <c r="E114" s="175"/>
      <c r="F114" s="175"/>
      <c r="G114" s="425"/>
      <c r="H114" s="669"/>
      <c r="I114" s="372"/>
      <c r="J114" s="372"/>
      <c r="K114" s="372"/>
      <c r="L114" s="372"/>
      <c r="M114" s="372"/>
      <c r="N114" s="295"/>
      <c r="O114" s="186"/>
    </row>
    <row r="115" spans="1:15" ht="12" hidden="1" customHeight="1" x14ac:dyDescent="0.2">
      <c r="A115" s="256">
        <v>12</v>
      </c>
      <c r="B115" s="834" t="s">
        <v>377</v>
      </c>
      <c r="C115" s="834"/>
      <c r="D115" s="834"/>
      <c r="E115" s="834"/>
      <c r="F115" s="834"/>
      <c r="G115" s="577"/>
      <c r="H115" s="641"/>
      <c r="I115" s="333"/>
      <c r="J115" s="313"/>
      <c r="K115" s="313"/>
      <c r="L115" s="313"/>
      <c r="M115" s="313"/>
      <c r="N115" s="333"/>
      <c r="O115" s="299"/>
    </row>
    <row r="116" spans="1:15" ht="16.5" customHeight="1" x14ac:dyDescent="0.2">
      <c r="A116" s="644" t="s">
        <v>344</v>
      </c>
      <c r="B116" s="837" t="s">
        <v>1376</v>
      </c>
      <c r="C116" s="837"/>
      <c r="D116" s="837"/>
      <c r="E116" s="837"/>
      <c r="F116" s="837"/>
      <c r="G116" s="139"/>
      <c r="H116" s="641"/>
      <c r="I116" s="330"/>
      <c r="J116" s="311"/>
      <c r="K116" s="311"/>
      <c r="L116" s="370"/>
      <c r="M116" s="311"/>
      <c r="N116" s="189"/>
      <c r="O116" s="297"/>
    </row>
    <row r="117" spans="1:15" ht="12" customHeight="1" x14ac:dyDescent="0.2">
      <c r="A117" s="644" t="s">
        <v>346</v>
      </c>
      <c r="B117" s="834" t="s">
        <v>347</v>
      </c>
      <c r="C117" s="834"/>
      <c r="D117" s="834"/>
      <c r="E117" s="834"/>
      <c r="F117" s="834"/>
      <c r="G117" s="139" t="s">
        <v>31</v>
      </c>
      <c r="H117" s="286"/>
      <c r="I117" s="645">
        <f>VLOOKUP($A$117,'[1]TAB OGU JUN18'!$A:$G,6,"falso")</f>
        <v>70.69</v>
      </c>
      <c r="J117" s="645">
        <f>VLOOKUP($A$117,'[1]TAB OGU JUN18'!$A:$G,4,"falso")</f>
        <v>12.86</v>
      </c>
      <c r="K117" s="645">
        <f>J117*H117</f>
        <v>0</v>
      </c>
      <c r="L117" s="645">
        <f>VLOOKUP($A$117,'[1]TAB OGU JUN18'!$A:$G,5,"falso")</f>
        <v>57.83</v>
      </c>
      <c r="M117" s="323">
        <f>L117*H117</f>
        <v>0</v>
      </c>
      <c r="N117" s="286">
        <f>I117*H117</f>
        <v>0</v>
      </c>
      <c r="O117" s="297" t="e">
        <f>N117/N119</f>
        <v>#DIV/0!</v>
      </c>
    </row>
    <row r="118" spans="1:15" ht="12" customHeight="1" x14ac:dyDescent="0.2">
      <c r="A118" s="291"/>
      <c r="B118" s="576"/>
      <c r="C118" s="576"/>
      <c r="D118" s="576"/>
      <c r="E118" s="576"/>
      <c r="F118" s="576"/>
      <c r="G118" s="162"/>
      <c r="H118" s="641"/>
      <c r="I118" s="349"/>
      <c r="J118" s="346"/>
      <c r="K118" s="346"/>
      <c r="L118" s="370"/>
      <c r="M118" s="346"/>
      <c r="N118" s="286"/>
      <c r="O118" s="297"/>
    </row>
    <row r="119" spans="1:15" ht="12" customHeight="1" x14ac:dyDescent="0.2">
      <c r="A119" s="291"/>
      <c r="B119" s="142" t="s">
        <v>18</v>
      </c>
      <c r="C119" s="143"/>
      <c r="D119" s="143"/>
      <c r="E119" s="143"/>
      <c r="F119" s="143"/>
      <c r="G119" s="173"/>
      <c r="H119" s="663"/>
      <c r="I119" s="336"/>
      <c r="J119" s="336"/>
      <c r="K119" s="336"/>
      <c r="L119" s="336"/>
      <c r="M119" s="336"/>
      <c r="N119" s="189">
        <f>SUM(N117:N118)</f>
        <v>0</v>
      </c>
      <c r="O119" s="297" t="e">
        <f>N119/N126</f>
        <v>#DIV/0!</v>
      </c>
    </row>
    <row r="120" spans="1:15" s="132" customFormat="1" ht="12" customHeight="1" x14ac:dyDescent="0.2">
      <c r="A120" s="256"/>
      <c r="B120" s="576"/>
      <c r="C120" s="576"/>
      <c r="D120" s="576"/>
      <c r="E120" s="576"/>
      <c r="F120" s="576"/>
      <c r="G120" s="577"/>
      <c r="H120" s="641"/>
      <c r="I120" s="333"/>
      <c r="J120" s="313"/>
      <c r="K120" s="313"/>
      <c r="L120" s="313"/>
      <c r="M120" s="313"/>
      <c r="N120" s="333"/>
      <c r="O120" s="299"/>
    </row>
    <row r="121" spans="1:15" s="132" customFormat="1" ht="12" customHeight="1" x14ac:dyDescent="0.2">
      <c r="A121" s="256">
        <v>1206</v>
      </c>
      <c r="B121" s="834" t="s">
        <v>647</v>
      </c>
      <c r="C121" s="834"/>
      <c r="D121" s="834"/>
      <c r="E121" s="834"/>
      <c r="F121" s="834"/>
      <c r="G121" s="577"/>
      <c r="H121" s="641"/>
      <c r="I121" s="333"/>
      <c r="J121" s="313"/>
      <c r="K121" s="313"/>
      <c r="L121" s="313"/>
      <c r="M121" s="313"/>
      <c r="N121" s="333"/>
      <c r="O121" s="299"/>
    </row>
    <row r="122" spans="1:15" s="132" customFormat="1" ht="12" customHeight="1" x14ac:dyDescent="0.2">
      <c r="A122" s="256" t="s">
        <v>545</v>
      </c>
      <c r="B122" s="837" t="s">
        <v>1050</v>
      </c>
      <c r="C122" s="837"/>
      <c r="D122" s="837"/>
      <c r="E122" s="837"/>
      <c r="F122" s="837"/>
      <c r="G122" s="163" t="s">
        <v>678</v>
      </c>
      <c r="H122" s="293"/>
      <c r="I122" s="323">
        <v>3</v>
      </c>
      <c r="J122" s="323">
        <v>3</v>
      </c>
      <c r="K122" s="308">
        <f>H122*J122</f>
        <v>0</v>
      </c>
      <c r="L122" s="323"/>
      <c r="M122" s="308"/>
      <c r="N122" s="308">
        <f>H122*I122</f>
        <v>0</v>
      </c>
      <c r="O122" s="192" t="e">
        <f>N122/N124</f>
        <v>#DIV/0!</v>
      </c>
    </row>
    <row r="123" spans="1:15" s="132" customFormat="1" ht="12" customHeight="1" x14ac:dyDescent="0.2">
      <c r="A123" s="292"/>
      <c r="B123" s="578"/>
      <c r="C123" s="578"/>
      <c r="D123" s="578"/>
      <c r="E123" s="578"/>
      <c r="F123" s="578"/>
      <c r="G123" s="164"/>
      <c r="H123" s="293"/>
      <c r="I123" s="293"/>
      <c r="J123" s="313"/>
      <c r="K123" s="313"/>
      <c r="L123" s="313"/>
      <c r="M123" s="313"/>
      <c r="N123" s="293"/>
      <c r="O123" s="320"/>
    </row>
    <row r="124" spans="1:15" s="132" customFormat="1" ht="12" customHeight="1" x14ac:dyDescent="0.2">
      <c r="A124" s="291"/>
      <c r="B124" s="155" t="s">
        <v>18</v>
      </c>
      <c r="C124" s="160"/>
      <c r="D124" s="160"/>
      <c r="E124" s="160"/>
      <c r="F124" s="144"/>
      <c r="G124" s="161"/>
      <c r="H124" s="656"/>
      <c r="I124" s="334"/>
      <c r="J124" s="334"/>
      <c r="K124" s="334"/>
      <c r="L124" s="334"/>
      <c r="M124" s="334"/>
      <c r="N124" s="315">
        <f>SUM(N122:N123)</f>
        <v>0</v>
      </c>
      <c r="O124" s="301" t="e">
        <f>N124/N126</f>
        <v>#DIV/0!</v>
      </c>
    </row>
    <row r="125" spans="1:15" s="132" customFormat="1" ht="12" customHeight="1" x14ac:dyDescent="0.2">
      <c r="A125" s="291"/>
      <c r="B125" s="834"/>
      <c r="C125" s="834"/>
      <c r="D125" s="834"/>
      <c r="E125" s="834"/>
      <c r="F125" s="834"/>
      <c r="G125" s="577"/>
      <c r="H125" s="641"/>
      <c r="I125" s="333"/>
      <c r="J125" s="313"/>
      <c r="K125" s="313"/>
      <c r="L125" s="313"/>
      <c r="M125" s="313"/>
      <c r="N125" s="189"/>
      <c r="O125" s="300"/>
    </row>
    <row r="126" spans="1:15" s="132" customFormat="1" ht="12" customHeight="1" x14ac:dyDescent="0.2">
      <c r="A126" s="294"/>
      <c r="B126" s="165" t="s">
        <v>20</v>
      </c>
      <c r="C126" s="166"/>
      <c r="D126" s="166"/>
      <c r="E126" s="166"/>
      <c r="F126" s="167"/>
      <c r="G126" s="168"/>
      <c r="H126" s="659"/>
      <c r="I126" s="368"/>
      <c r="J126" s="368"/>
      <c r="K126" s="368"/>
      <c r="L126" s="368"/>
      <c r="M126" s="368"/>
      <c r="N126" s="369">
        <f>N124+N119</f>
        <v>0</v>
      </c>
      <c r="O126" s="321" t="e">
        <f>N126/N151</f>
        <v>#DIV/0!</v>
      </c>
    </row>
    <row r="127" spans="1:15" s="132" customFormat="1" ht="12" customHeight="1" x14ac:dyDescent="0.2">
      <c r="A127" s="294"/>
      <c r="B127" s="165"/>
      <c r="C127" s="165"/>
      <c r="D127" s="165"/>
      <c r="E127" s="165"/>
      <c r="F127" s="480"/>
      <c r="G127" s="481"/>
      <c r="H127" s="661"/>
      <c r="I127" s="482"/>
      <c r="J127" s="482"/>
      <c r="K127" s="482"/>
      <c r="L127" s="482"/>
      <c r="M127" s="482"/>
      <c r="N127" s="369"/>
      <c r="O127" s="321"/>
    </row>
    <row r="128" spans="1:15" s="132" customFormat="1" ht="12" customHeight="1" x14ac:dyDescent="0.2">
      <c r="A128" s="140">
        <v>1418</v>
      </c>
      <c r="B128" s="834" t="s">
        <v>443</v>
      </c>
      <c r="C128" s="834"/>
      <c r="D128" s="834"/>
      <c r="E128" s="834"/>
      <c r="F128" s="834"/>
      <c r="G128" s="158"/>
      <c r="H128" s="672"/>
      <c r="I128" s="376"/>
      <c r="J128" s="313"/>
      <c r="K128" s="313"/>
      <c r="L128" s="313"/>
      <c r="M128" s="313"/>
      <c r="N128" s="376"/>
      <c r="O128" s="220"/>
    </row>
    <row r="129" spans="1:16" ht="12" customHeight="1" x14ac:dyDescent="0.2">
      <c r="A129" s="140" t="s">
        <v>731</v>
      </c>
      <c r="B129" s="142" t="s">
        <v>730</v>
      </c>
      <c r="C129" s="142"/>
      <c r="D129" s="142"/>
      <c r="E129" s="142"/>
      <c r="F129" s="142"/>
      <c r="G129" s="163" t="s">
        <v>17</v>
      </c>
      <c r="H129" s="189"/>
      <c r="I129" s="323">
        <f>VLOOKUP(A129,'[1]TAB OGU JUN18'!$A:$G,6,"falso")</f>
        <v>121.13</v>
      </c>
      <c r="J129" s="323">
        <f>VLOOKUP(A129,'[1]TAB OGU JUN18'!$A:$G,4,"falso")</f>
        <v>43.06</v>
      </c>
      <c r="K129" s="308">
        <f>H129*J129</f>
        <v>0</v>
      </c>
      <c r="L129" s="323">
        <f>VLOOKUP(A129,'[1]TAB OGU JUN18'!$A:$G,5,"falso")</f>
        <v>78.069999999999993</v>
      </c>
      <c r="M129" s="308">
        <f>H129*L129</f>
        <v>0</v>
      </c>
      <c r="N129" s="315">
        <f>H129*I129</f>
        <v>0</v>
      </c>
      <c r="O129" s="192" t="e">
        <f>N129/N131</f>
        <v>#DIV/0!</v>
      </c>
    </row>
    <row r="130" spans="1:16" ht="12" customHeight="1" x14ac:dyDescent="0.2">
      <c r="A130" s="140"/>
      <c r="B130" s="576"/>
      <c r="C130" s="576"/>
      <c r="D130" s="576"/>
      <c r="E130" s="576"/>
      <c r="F130" s="576"/>
      <c r="G130" s="163"/>
      <c r="H130" s="221"/>
      <c r="I130" s="221"/>
      <c r="J130" s="313"/>
      <c r="K130" s="313"/>
      <c r="L130" s="313"/>
      <c r="M130" s="313"/>
      <c r="N130" s="221"/>
      <c r="O130" s="220"/>
    </row>
    <row r="131" spans="1:16" ht="12" customHeight="1" x14ac:dyDescent="0.2">
      <c r="A131" s="202"/>
      <c r="B131" s="142" t="s">
        <v>18</v>
      </c>
      <c r="C131" s="143"/>
      <c r="D131" s="143"/>
      <c r="E131" s="143"/>
      <c r="F131" s="143"/>
      <c r="G131" s="222"/>
      <c r="H131" s="675"/>
      <c r="I131" s="378"/>
      <c r="J131" s="378"/>
      <c r="K131" s="378"/>
      <c r="L131" s="378"/>
      <c r="M131" s="378"/>
      <c r="N131" s="221">
        <f>SUM(N129:N130)</f>
        <v>0</v>
      </c>
      <c r="O131" s="220" t="e">
        <f>N131/N133</f>
        <v>#DIV/0!</v>
      </c>
    </row>
    <row r="132" spans="1:16" ht="12" customHeight="1" x14ac:dyDescent="0.2">
      <c r="A132" s="202"/>
      <c r="B132" s="576"/>
      <c r="C132" s="576"/>
      <c r="D132" s="576"/>
      <c r="E132" s="576"/>
      <c r="F132" s="576"/>
      <c r="G132" s="158"/>
      <c r="H132" s="672"/>
      <c r="I132" s="376"/>
      <c r="J132" s="313"/>
      <c r="K132" s="313"/>
      <c r="L132" s="313"/>
      <c r="M132" s="313"/>
      <c r="N132" s="221"/>
      <c r="O132" s="220"/>
    </row>
    <row r="133" spans="1:16" ht="12" customHeight="1" x14ac:dyDescent="0.2">
      <c r="A133" s="203"/>
      <c r="B133" s="175" t="s">
        <v>20</v>
      </c>
      <c r="C133" s="176"/>
      <c r="D133" s="176"/>
      <c r="E133" s="176"/>
      <c r="F133" s="176"/>
      <c r="G133" s="223"/>
      <c r="H133" s="677"/>
      <c r="I133" s="379"/>
      <c r="J133" s="379"/>
      <c r="K133" s="379"/>
      <c r="L133" s="379"/>
      <c r="M133" s="379"/>
      <c r="N133" s="224">
        <f>N131</f>
        <v>0</v>
      </c>
      <c r="O133" s="218" t="e">
        <f>N133/N151</f>
        <v>#DIV/0!</v>
      </c>
    </row>
    <row r="134" spans="1:16" ht="12" customHeight="1" x14ac:dyDescent="0.2">
      <c r="A134" s="203"/>
      <c r="B134" s="175"/>
      <c r="C134" s="175"/>
      <c r="D134" s="175"/>
      <c r="E134" s="175"/>
      <c r="F134" s="175"/>
      <c r="G134" s="484"/>
      <c r="H134" s="679"/>
      <c r="I134" s="485"/>
      <c r="J134" s="485"/>
      <c r="K134" s="485"/>
      <c r="L134" s="485"/>
      <c r="M134" s="485"/>
      <c r="N134" s="224"/>
      <c r="O134" s="218"/>
    </row>
    <row r="135" spans="1:16" s="132" customFormat="1" ht="12" customHeight="1" x14ac:dyDescent="0.2">
      <c r="A135" s="256">
        <v>15</v>
      </c>
      <c r="B135" s="834" t="s">
        <v>449</v>
      </c>
      <c r="C135" s="834"/>
      <c r="D135" s="834"/>
      <c r="E135" s="834"/>
      <c r="F135" s="834"/>
      <c r="G135" s="577"/>
      <c r="H135" s="641"/>
      <c r="I135" s="330"/>
      <c r="J135" s="311"/>
      <c r="K135" s="311"/>
      <c r="L135" s="311"/>
      <c r="M135" s="311"/>
      <c r="N135" s="330"/>
      <c r="O135" s="297"/>
    </row>
    <row r="136" spans="1:16" ht="12" customHeight="1" x14ac:dyDescent="0.2">
      <c r="A136" s="256">
        <v>1503</v>
      </c>
      <c r="B136" s="834" t="s">
        <v>459</v>
      </c>
      <c r="C136" s="834"/>
      <c r="D136" s="834"/>
      <c r="E136" s="834"/>
      <c r="F136" s="834"/>
      <c r="G136" s="577"/>
      <c r="H136" s="641"/>
      <c r="I136" s="330"/>
      <c r="J136" s="311"/>
      <c r="K136" s="311"/>
      <c r="L136" s="370"/>
      <c r="M136" s="311"/>
      <c r="N136" s="330"/>
      <c r="O136" s="297"/>
    </row>
    <row r="137" spans="1:16" ht="12" customHeight="1" x14ac:dyDescent="0.2">
      <c r="A137" s="256" t="s">
        <v>545</v>
      </c>
      <c r="B137" s="200" t="s">
        <v>1432</v>
      </c>
      <c r="C137" s="153"/>
      <c r="D137" s="153"/>
      <c r="E137" s="153"/>
      <c r="F137" s="153"/>
      <c r="G137" s="97" t="s">
        <v>31</v>
      </c>
      <c r="H137" s="189"/>
      <c r="I137" s="323">
        <v>3</v>
      </c>
      <c r="J137" s="323">
        <v>3</v>
      </c>
      <c r="K137" s="308">
        <f>H137*J137</f>
        <v>0</v>
      </c>
      <c r="L137" s="323">
        <v>0</v>
      </c>
      <c r="M137" s="308"/>
      <c r="N137" s="308">
        <f>H137*I137</f>
        <v>0</v>
      </c>
      <c r="O137" s="297" t="e">
        <f>N137/N139</f>
        <v>#DIV/0!</v>
      </c>
      <c r="P137" s="149"/>
    </row>
    <row r="138" spans="1:16" ht="14.25" customHeight="1" x14ac:dyDescent="0.2">
      <c r="A138" s="256"/>
      <c r="B138" s="576"/>
      <c r="C138" s="576"/>
      <c r="D138" s="576"/>
      <c r="E138" s="576"/>
      <c r="F138" s="576"/>
      <c r="G138" s="190"/>
      <c r="H138" s="189"/>
      <c r="I138" s="296"/>
      <c r="J138" s="311"/>
      <c r="K138" s="311"/>
      <c r="L138" s="370"/>
      <c r="M138" s="311"/>
      <c r="N138" s="189"/>
      <c r="O138" s="297"/>
      <c r="P138" s="149"/>
    </row>
    <row r="139" spans="1:16" ht="12" customHeight="1" x14ac:dyDescent="0.2">
      <c r="A139" s="291"/>
      <c r="B139" s="142" t="s">
        <v>18</v>
      </c>
      <c r="C139" s="143"/>
      <c r="D139" s="143"/>
      <c r="E139" s="143"/>
      <c r="F139" s="143"/>
      <c r="G139" s="188"/>
      <c r="H139" s="663"/>
      <c r="I139" s="336"/>
      <c r="J139" s="336"/>
      <c r="K139" s="336"/>
      <c r="L139" s="336"/>
      <c r="M139" s="336"/>
      <c r="N139" s="189">
        <f>SUM(N137:N138)</f>
        <v>0</v>
      </c>
      <c r="O139" s="297" t="e">
        <f>N139/N141</f>
        <v>#DIV/0!</v>
      </c>
      <c r="P139" s="149"/>
    </row>
    <row r="140" spans="1:16" ht="12" customHeight="1" x14ac:dyDescent="0.2">
      <c r="A140" s="202"/>
      <c r="B140" s="576"/>
      <c r="C140" s="576"/>
      <c r="D140" s="576"/>
      <c r="E140" s="576"/>
      <c r="F140" s="576"/>
      <c r="G140" s="577"/>
      <c r="H140" s="641"/>
      <c r="I140" s="330"/>
      <c r="J140" s="311"/>
      <c r="K140" s="311"/>
      <c r="L140" s="370"/>
      <c r="M140" s="311"/>
      <c r="N140" s="189"/>
      <c r="O140" s="297"/>
    </row>
    <row r="141" spans="1:16" ht="12" customHeight="1" x14ac:dyDescent="0.2">
      <c r="A141" s="203"/>
      <c r="B141" s="175" t="s">
        <v>20</v>
      </c>
      <c r="C141" s="176"/>
      <c r="D141" s="176"/>
      <c r="E141" s="176"/>
      <c r="F141" s="176"/>
      <c r="G141" s="191"/>
      <c r="H141" s="666"/>
      <c r="I141" s="338"/>
      <c r="J141" s="338"/>
      <c r="K141" s="338"/>
      <c r="L141" s="338"/>
      <c r="M141" s="338"/>
      <c r="N141" s="295">
        <f>N139</f>
        <v>0</v>
      </c>
      <c r="O141" s="186" t="e">
        <f>N141/$N$151</f>
        <v>#DIV/0!</v>
      </c>
    </row>
    <row r="142" spans="1:16" ht="12" customHeight="1" x14ac:dyDescent="0.2">
      <c r="A142" s="203"/>
      <c r="B142" s="175"/>
      <c r="C142" s="175"/>
      <c r="D142" s="175"/>
      <c r="E142" s="175"/>
      <c r="F142" s="175"/>
      <c r="G142" s="318"/>
      <c r="H142" s="669"/>
      <c r="I142" s="372"/>
      <c r="J142" s="372"/>
      <c r="K142" s="372"/>
      <c r="L142" s="372"/>
      <c r="M142" s="372"/>
      <c r="N142" s="295"/>
      <c r="O142" s="186"/>
    </row>
    <row r="143" spans="1:16" ht="12" customHeight="1" x14ac:dyDescent="0.2">
      <c r="A143" s="98" t="s">
        <v>169</v>
      </c>
      <c r="B143" s="88" t="s">
        <v>172</v>
      </c>
      <c r="G143" s="577"/>
      <c r="H143" s="641"/>
      <c r="I143" s="330"/>
      <c r="J143" s="311"/>
      <c r="K143" s="311"/>
      <c r="L143" s="311"/>
      <c r="M143" s="311"/>
      <c r="N143" s="333"/>
      <c r="O143" s="297"/>
    </row>
    <row r="144" spans="1:16" ht="12" customHeight="1" x14ac:dyDescent="0.2">
      <c r="A144" s="98" t="s">
        <v>170</v>
      </c>
      <c r="B144" s="88" t="s">
        <v>173</v>
      </c>
      <c r="G144" s="577"/>
      <c r="H144" s="641"/>
      <c r="I144" s="330"/>
      <c r="J144" s="311"/>
      <c r="K144" s="311"/>
      <c r="L144" s="370"/>
      <c r="M144" s="311"/>
      <c r="N144" s="333"/>
      <c r="O144" s="297"/>
    </row>
    <row r="145" spans="1:15" ht="12" customHeight="1" x14ac:dyDescent="0.2">
      <c r="A145" s="98" t="s">
        <v>480</v>
      </c>
      <c r="B145" s="834" t="s">
        <v>481</v>
      </c>
      <c r="C145" s="834"/>
      <c r="D145" s="834"/>
      <c r="E145" s="834"/>
      <c r="F145" s="834"/>
      <c r="G145" s="97" t="s">
        <v>31</v>
      </c>
      <c r="H145" s="189"/>
      <c r="I145" s="323">
        <f>VLOOKUP(A145,'[1]TAB OGU JUN18'!$A:$G,6,"falso")</f>
        <v>2.46</v>
      </c>
      <c r="J145" s="323">
        <f>VLOOKUP(A145,'[1]TAB OGU JUN18'!$A:$G,4,"falso")</f>
        <v>2.34</v>
      </c>
      <c r="K145" s="308">
        <f>H145*J145</f>
        <v>0</v>
      </c>
      <c r="L145" s="323">
        <f>VLOOKUP(A145,'[1]TAB OGU JUN18'!$A:$G,5,"falso")</f>
        <v>0.12</v>
      </c>
      <c r="M145" s="308">
        <f>H145*L145</f>
        <v>0</v>
      </c>
      <c r="N145" s="308">
        <f>H145*I145</f>
        <v>0</v>
      </c>
      <c r="O145" s="297" t="e">
        <f>N145/N147</f>
        <v>#DIV/0!</v>
      </c>
    </row>
    <row r="146" spans="1:15" ht="12" customHeight="1" x14ac:dyDescent="0.2">
      <c r="A146" s="256"/>
      <c r="B146" s="576"/>
      <c r="C146" s="576"/>
      <c r="D146" s="576"/>
      <c r="E146" s="576"/>
      <c r="F146" s="576"/>
      <c r="G146" s="190"/>
      <c r="H146" s="189"/>
      <c r="I146" s="296"/>
      <c r="J146" s="311"/>
      <c r="K146" s="311"/>
      <c r="L146" s="370"/>
      <c r="M146" s="311"/>
      <c r="N146" s="189"/>
      <c r="O146" s="297"/>
    </row>
    <row r="147" spans="1:15" ht="12" customHeight="1" x14ac:dyDescent="0.2">
      <c r="A147" s="291"/>
      <c r="B147" s="142" t="s">
        <v>18</v>
      </c>
      <c r="C147" s="143"/>
      <c r="D147" s="143"/>
      <c r="E147" s="143"/>
      <c r="F147" s="143"/>
      <c r="G147" s="188"/>
      <c r="H147" s="335"/>
      <c r="I147" s="336"/>
      <c r="J147" s="336"/>
      <c r="K147" s="336"/>
      <c r="L147" s="336"/>
      <c r="M147" s="336"/>
      <c r="N147" s="189">
        <f>SUM(N145:N146)</f>
        <v>0</v>
      </c>
      <c r="O147" s="297" t="e">
        <f>N147/N149</f>
        <v>#DIV/0!</v>
      </c>
    </row>
    <row r="148" spans="1:15" ht="12" customHeight="1" x14ac:dyDescent="0.2">
      <c r="A148" s="202"/>
      <c r="B148" s="576"/>
      <c r="C148" s="576"/>
      <c r="D148" s="576"/>
      <c r="E148" s="576"/>
      <c r="F148" s="576"/>
      <c r="G148" s="577"/>
      <c r="H148" s="333"/>
      <c r="I148" s="330"/>
      <c r="J148" s="311"/>
      <c r="K148" s="311"/>
      <c r="L148" s="370"/>
      <c r="M148" s="311"/>
      <c r="N148" s="189"/>
      <c r="O148" s="297"/>
    </row>
    <row r="149" spans="1:15" ht="12" customHeight="1" x14ac:dyDescent="0.2">
      <c r="A149" s="203"/>
      <c r="B149" s="175" t="s">
        <v>20</v>
      </c>
      <c r="C149" s="176"/>
      <c r="D149" s="176"/>
      <c r="E149" s="176"/>
      <c r="F149" s="176"/>
      <c r="G149" s="191"/>
      <c r="H149" s="337"/>
      <c r="I149" s="338"/>
      <c r="J149" s="338"/>
      <c r="K149" s="338"/>
      <c r="L149" s="338"/>
      <c r="M149" s="338"/>
      <c r="N149" s="295">
        <f>N147</f>
        <v>0</v>
      </c>
      <c r="O149" s="186" t="e">
        <f>N149/N151</f>
        <v>#DIV/0!</v>
      </c>
    </row>
    <row r="150" spans="1:15" s="150" customFormat="1" ht="12" customHeight="1" x14ac:dyDescent="0.2">
      <c r="A150" s="202"/>
      <c r="B150" s="138"/>
      <c r="C150" s="138"/>
      <c r="D150" s="138"/>
      <c r="E150" s="138"/>
      <c r="F150" s="138"/>
      <c r="G150" s="137"/>
      <c r="H150" s="333"/>
      <c r="I150" s="330"/>
      <c r="J150" s="296"/>
      <c r="K150" s="339"/>
      <c r="L150" s="311"/>
      <c r="M150" s="311"/>
      <c r="N150" s="311"/>
      <c r="O150" s="219"/>
    </row>
    <row r="151" spans="1:15" s="150" customFormat="1" ht="12" customHeight="1" x14ac:dyDescent="0.2">
      <c r="A151" s="206"/>
      <c r="B151" s="147" t="s">
        <v>30</v>
      </c>
      <c r="C151" s="146"/>
      <c r="D151" s="146"/>
      <c r="E151" s="146"/>
      <c r="F151" s="146"/>
      <c r="G151" s="146"/>
      <c r="H151" s="342"/>
      <c r="I151" s="345"/>
      <c r="J151" s="345"/>
      <c r="K151" s="285">
        <f>SUM(K14:K150)</f>
        <v>0</v>
      </c>
      <c r="L151" s="285"/>
      <c r="M151" s="285">
        <f>SUM(M14:M150)</f>
        <v>0</v>
      </c>
      <c r="N151" s="316">
        <f>N70+N62+N23+N135+N120+N104+N143+N112</f>
        <v>0</v>
      </c>
      <c r="O151" s="29"/>
    </row>
    <row r="152" spans="1:15" ht="6" customHeight="1" x14ac:dyDescent="0.2"/>
    <row r="153" spans="1:15" ht="12" customHeight="1" x14ac:dyDescent="0.2">
      <c r="A153" s="206"/>
      <c r="B153" s="147" t="s">
        <v>265</v>
      </c>
      <c r="C153" s="146"/>
      <c r="D153" s="146"/>
      <c r="E153" s="146"/>
      <c r="F153" s="146"/>
      <c r="G153" s="146"/>
      <c r="H153" s="342"/>
      <c r="I153" s="345"/>
      <c r="J153" s="345"/>
      <c r="K153" s="285">
        <f>K151+(K151*O5)</f>
        <v>0</v>
      </c>
      <c r="L153" s="285"/>
      <c r="M153" s="285">
        <f>M151+(M151*O7)</f>
        <v>0</v>
      </c>
      <c r="N153" s="316">
        <f>K153+M153</f>
        <v>0</v>
      </c>
      <c r="O153" s="29">
        <f>N153/RESUMO!H95</f>
        <v>0</v>
      </c>
    </row>
  </sheetData>
  <mergeCells count="29">
    <mergeCell ref="B135:F135"/>
    <mergeCell ref="B136:F136"/>
    <mergeCell ref="B145:F145"/>
    <mergeCell ref="B94:F94"/>
    <mergeCell ref="A2:O2"/>
    <mergeCell ref="N4:O4"/>
    <mergeCell ref="A5:B6"/>
    <mergeCell ref="B14:F14"/>
    <mergeCell ref="B26:F26"/>
    <mergeCell ref="B31:F31"/>
    <mergeCell ref="B47:F47"/>
    <mergeCell ref="B48:F48"/>
    <mergeCell ref="B72:F72"/>
    <mergeCell ref="B73:F73"/>
    <mergeCell ref="B93:F93"/>
    <mergeCell ref="B95:F95"/>
    <mergeCell ref="B99:F99"/>
    <mergeCell ref="B100:F100"/>
    <mergeCell ref="B103:F103"/>
    <mergeCell ref="B106:F106"/>
    <mergeCell ref="B107:F107"/>
    <mergeCell ref="B125:F125"/>
    <mergeCell ref="B128:F128"/>
    <mergeCell ref="B108:F108"/>
    <mergeCell ref="B122:F122"/>
    <mergeCell ref="B115:F115"/>
    <mergeCell ref="B116:F116"/>
    <mergeCell ref="B117:F117"/>
    <mergeCell ref="B121:F121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rowBreaks count="1" manualBreakCount="1">
    <brk id="24" max="14" man="1"/>
  </rowBreaks>
  <legacyDrawingHF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tabColor theme="6" tint="0.39997558519241921"/>
    <pageSetUpPr fitToPage="1"/>
  </sheetPr>
  <dimension ref="A1:P54"/>
  <sheetViews>
    <sheetView view="pageBreakPreview" zoomScale="90" zoomScaleNormal="90" zoomScaleSheetLayoutView="90" workbookViewId="0">
      <selection activeCell="K37" sqref="K37"/>
    </sheetView>
  </sheetViews>
  <sheetFormatPr defaultColWidth="11.42578125" defaultRowHeight="12.75" customHeight="1" x14ac:dyDescent="0.2"/>
  <cols>
    <col min="1" max="5" width="11.42578125" style="51" customWidth="1"/>
    <col min="6" max="6" width="28.5703125" style="51" customWidth="1"/>
    <col min="7" max="7" width="11.42578125" style="51" customWidth="1"/>
    <col min="8" max="8" width="11.42578125" style="52" customWidth="1"/>
    <col min="9" max="9" width="11.42578125" style="51" customWidth="1"/>
    <col min="10" max="10" width="5.42578125" style="51" hidden="1" customWidth="1"/>
    <col min="11" max="11" width="14.28515625" style="51" customWidth="1"/>
    <col min="12" max="12" width="8.7109375" style="51" hidden="1" customWidth="1"/>
    <col min="13" max="13" width="14.28515625" style="51" customWidth="1"/>
    <col min="14" max="14" width="17.140625" style="51" customWidth="1"/>
    <col min="15" max="15" width="11.42578125" style="52" customWidth="1"/>
    <col min="16" max="16384" width="11.42578125" style="51"/>
  </cols>
  <sheetData>
    <row r="1" spans="1:15" ht="8.25" customHeight="1" x14ac:dyDescent="0.2"/>
    <row r="2" spans="1:15" ht="12.75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5" ht="8.25" customHeight="1" thickBot="1" x14ac:dyDescent="0.25">
      <c r="A3" s="123"/>
      <c r="B3" s="123"/>
      <c r="C3" s="123"/>
      <c r="D3" s="123"/>
      <c r="E3" s="123"/>
      <c r="F3" s="123"/>
      <c r="G3" s="123"/>
      <c r="H3" s="195"/>
      <c r="I3" s="123"/>
      <c r="J3" s="123"/>
      <c r="K3" s="123"/>
      <c r="L3" s="123"/>
      <c r="M3" s="123"/>
      <c r="N3" s="123"/>
      <c r="O3" s="195"/>
    </row>
    <row r="4" spans="1:15" ht="12.75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H4" s="51"/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5" ht="12.75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H5" s="51"/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5" ht="12.75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H6" s="51"/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5" ht="12.75" customHeight="1" x14ac:dyDescent="0.2">
      <c r="A7" s="253"/>
      <c r="B7" s="253"/>
      <c r="C7" s="260" t="s">
        <v>6</v>
      </c>
      <c r="D7" s="263" t="str">
        <f>RESUMO!A47</f>
        <v>U.C. : 13</v>
      </c>
      <c r="E7" s="258"/>
      <c r="F7" s="258"/>
      <c r="G7" s="260" t="s">
        <v>9</v>
      </c>
      <c r="H7" s="51"/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5" ht="12.75" customHeight="1" thickBot="1" x14ac:dyDescent="0.25">
      <c r="A8" s="124"/>
      <c r="B8" s="125"/>
      <c r="C8" s="266" t="s">
        <v>8</v>
      </c>
      <c r="D8" s="267" t="str">
        <f>RESUMO!B47</f>
        <v>ESTAÇÃO DE TRATAMENTO DE ESGOTO - ETE</v>
      </c>
      <c r="E8" s="268"/>
      <c r="F8" s="268"/>
      <c r="G8" s="266"/>
      <c r="H8" s="123"/>
      <c r="I8" s="278"/>
      <c r="J8" s="278"/>
      <c r="K8" s="278"/>
      <c r="L8" s="278"/>
      <c r="M8" s="278" t="s">
        <v>654</v>
      </c>
      <c r="N8" s="271"/>
      <c r="O8" s="427"/>
    </row>
    <row r="9" spans="1:15" ht="12.75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5" ht="8.25" customHeight="1" x14ac:dyDescent="0.2">
      <c r="O10" s="19"/>
    </row>
    <row r="11" spans="1:15" ht="12.75" customHeight="1" x14ac:dyDescent="0.2">
      <c r="A11" s="93">
        <f>RESUMO!A64</f>
        <v>17</v>
      </c>
      <c r="B11" s="93" t="str">
        <f>RESUMO!B64</f>
        <v>LAGOA FACULTATIVA 2 - MATERIAIS</v>
      </c>
      <c r="O11" s="19"/>
    </row>
    <row r="12" spans="1:15" ht="12.75" hidden="1" customHeight="1" x14ac:dyDescent="0.2">
      <c r="A12" s="182">
        <v>24</v>
      </c>
      <c r="B12" s="837" t="s">
        <v>563</v>
      </c>
      <c r="C12" s="837"/>
      <c r="D12" s="837"/>
      <c r="E12" s="837"/>
      <c r="F12" s="837"/>
      <c r="G12" s="137"/>
      <c r="H12" s="162"/>
      <c r="I12" s="137"/>
      <c r="N12" s="317"/>
      <c r="O12" s="68"/>
    </row>
    <row r="13" spans="1:15" ht="12.75" hidden="1" customHeight="1" x14ac:dyDescent="0.2">
      <c r="A13" s="182">
        <v>2405</v>
      </c>
      <c r="B13" s="142" t="s">
        <v>34</v>
      </c>
      <c r="C13" s="153"/>
      <c r="D13" s="153"/>
      <c r="E13" s="153"/>
      <c r="F13" s="153"/>
      <c r="G13" s="162"/>
      <c r="H13" s="162"/>
      <c r="I13" s="137"/>
      <c r="N13" s="317"/>
      <c r="O13" s="68"/>
    </row>
    <row r="14" spans="1:15" ht="12.75" hidden="1" customHeight="1" x14ac:dyDescent="0.2">
      <c r="A14" s="140" t="s">
        <v>490</v>
      </c>
      <c r="B14" s="200" t="s">
        <v>564</v>
      </c>
      <c r="C14" s="153"/>
      <c r="D14" s="153"/>
      <c r="E14" s="153"/>
      <c r="F14" s="153"/>
      <c r="G14" s="139" t="s">
        <v>24</v>
      </c>
      <c r="H14" s="189">
        <v>0</v>
      </c>
      <c r="I14" s="323">
        <f>VLOOKUP(A14,'[1]TAB OGU JUN18'!$A:$G,6,"falso")</f>
        <v>1.33</v>
      </c>
      <c r="J14" s="314"/>
      <c r="K14" s="314"/>
      <c r="L14" s="323">
        <f>VLOOKUP(A14,'[1]TAB OGU JUN18'!$A:$G,5,"falso")</f>
        <v>1.33</v>
      </c>
      <c r="M14" s="308">
        <f>H14*L14</f>
        <v>0</v>
      </c>
      <c r="N14" s="296">
        <f>H14*I14</f>
        <v>0</v>
      </c>
      <c r="O14" s="214" t="e">
        <f>N14/$N$17</f>
        <v>#DIV/0!</v>
      </c>
    </row>
    <row r="15" spans="1:15" ht="12.75" hidden="1" customHeight="1" x14ac:dyDescent="0.2">
      <c r="A15" s="140" t="s">
        <v>491</v>
      </c>
      <c r="B15" s="200" t="s">
        <v>565</v>
      </c>
      <c r="C15" s="153"/>
      <c r="D15" s="153"/>
      <c r="E15" s="153"/>
      <c r="F15" s="153"/>
      <c r="G15" s="139" t="s">
        <v>24</v>
      </c>
      <c r="H15" s="189">
        <v>0</v>
      </c>
      <c r="I15" s="323">
        <f>VLOOKUP(A15,'[1]TAB OGU JUN18'!$A:$G,6,"falso")</f>
        <v>1.67</v>
      </c>
      <c r="J15" s="314"/>
      <c r="K15" s="314"/>
      <c r="L15" s="323">
        <f>VLOOKUP(A15,'[1]TAB OGU JUN18'!$A:$G,5,"falso")</f>
        <v>1.67</v>
      </c>
      <c r="M15" s="308">
        <f>H15*L15</f>
        <v>0</v>
      </c>
      <c r="N15" s="296">
        <f>H15*I15</f>
        <v>0</v>
      </c>
      <c r="O15" s="214" t="e">
        <f>N15/$N$17</f>
        <v>#DIV/0!</v>
      </c>
    </row>
    <row r="16" spans="1:15" ht="12.75" hidden="1" customHeight="1" x14ac:dyDescent="0.2">
      <c r="A16" s="182"/>
      <c r="B16" s="138"/>
      <c r="C16" s="138"/>
      <c r="D16" s="138"/>
      <c r="E16" s="138"/>
      <c r="F16" s="138"/>
      <c r="G16" s="139"/>
      <c r="H16" s="189"/>
      <c r="I16" s="296"/>
      <c r="J16" s="311"/>
      <c r="K16" s="311"/>
      <c r="L16" s="311"/>
      <c r="M16" s="311"/>
      <c r="N16" s="296"/>
      <c r="O16" s="234"/>
    </row>
    <row r="17" spans="1:16" ht="12.75" hidden="1" customHeight="1" x14ac:dyDescent="0.2">
      <c r="A17" s="137"/>
      <c r="B17" s="142" t="s">
        <v>18</v>
      </c>
      <c r="C17" s="143"/>
      <c r="D17" s="143"/>
      <c r="E17" s="143"/>
      <c r="F17" s="143"/>
      <c r="G17" s="173"/>
      <c r="H17" s="335"/>
      <c r="I17" s="336"/>
      <c r="J17" s="336"/>
      <c r="K17" s="336"/>
      <c r="L17" s="336"/>
      <c r="M17" s="336"/>
      <c r="N17" s="296">
        <f>SUM(N14:N16)</f>
        <v>0</v>
      </c>
      <c r="O17" s="234" t="e">
        <f>N17/$N$24</f>
        <v>#DIV/0!</v>
      </c>
    </row>
    <row r="18" spans="1:16" s="150" customFormat="1" ht="12.75" hidden="1" customHeight="1" x14ac:dyDescent="0.2">
      <c r="A18" s="137"/>
      <c r="B18" s="138"/>
      <c r="C18" s="138"/>
      <c r="D18" s="138"/>
      <c r="E18" s="138"/>
      <c r="F18" s="138"/>
      <c r="G18" s="162"/>
      <c r="H18" s="333"/>
      <c r="I18" s="330"/>
      <c r="J18" s="370"/>
      <c r="K18" s="370"/>
      <c r="L18" s="370"/>
      <c r="M18" s="370"/>
      <c r="N18" s="296"/>
      <c r="O18" s="234"/>
    </row>
    <row r="19" spans="1:16" ht="12.75" hidden="1" customHeight="1" x14ac:dyDescent="0.2">
      <c r="A19" s="182">
        <v>2411</v>
      </c>
      <c r="B19" s="142" t="s">
        <v>36</v>
      </c>
      <c r="C19" s="153"/>
      <c r="D19" s="153"/>
      <c r="E19" s="153"/>
      <c r="F19" s="153"/>
      <c r="G19" s="162"/>
      <c r="H19" s="333"/>
      <c r="I19" s="330"/>
      <c r="J19" s="311"/>
      <c r="K19" s="311"/>
      <c r="L19" s="311"/>
      <c r="M19" s="311"/>
      <c r="N19" s="330"/>
      <c r="O19" s="68"/>
    </row>
    <row r="20" spans="1:16" ht="12.75" hidden="1" customHeight="1" x14ac:dyDescent="0.2">
      <c r="A20" s="140" t="s">
        <v>499</v>
      </c>
      <c r="B20" s="200" t="s">
        <v>511</v>
      </c>
      <c r="C20" s="153"/>
      <c r="D20" s="153"/>
      <c r="E20" s="153"/>
      <c r="F20" s="153"/>
      <c r="G20" s="139" t="s">
        <v>24</v>
      </c>
      <c r="H20" s="189">
        <v>0</v>
      </c>
      <c r="I20" s="323">
        <f>VLOOKUP(A20,'[1]TAB OGU JUN18'!$A:$G,6,"falso")</f>
        <v>2.19</v>
      </c>
      <c r="J20" s="314"/>
      <c r="K20" s="314"/>
      <c r="L20" s="323">
        <f>VLOOKUP(A20,'[1]TAB OGU JUN18'!$A:$G,5,"falso")</f>
        <v>2.19</v>
      </c>
      <c r="M20" s="308">
        <f t="shared" ref="M20" si="0">H20*L20</f>
        <v>0</v>
      </c>
      <c r="N20" s="296">
        <f t="shared" ref="N20" si="1">H20*I20</f>
        <v>0</v>
      </c>
      <c r="O20" s="214" t="e">
        <f>N20/N22</f>
        <v>#DIV/0!</v>
      </c>
    </row>
    <row r="21" spans="1:16" ht="12.75" hidden="1" customHeight="1" x14ac:dyDescent="0.2">
      <c r="A21" s="182"/>
      <c r="B21" s="138"/>
      <c r="C21" s="138"/>
      <c r="D21" s="138"/>
      <c r="E21" s="138"/>
      <c r="F21" s="138"/>
      <c r="G21" s="139"/>
      <c r="H21" s="189"/>
      <c r="I21" s="296"/>
      <c r="J21" s="311"/>
      <c r="K21" s="311"/>
      <c r="L21" s="311"/>
      <c r="M21" s="311"/>
      <c r="N21" s="296"/>
      <c r="O21" s="234"/>
    </row>
    <row r="22" spans="1:16" ht="12.75" hidden="1" customHeight="1" x14ac:dyDescent="0.2">
      <c r="A22" s="137"/>
      <c r="B22" s="142" t="s">
        <v>18</v>
      </c>
      <c r="C22" s="143"/>
      <c r="D22" s="143"/>
      <c r="E22" s="143"/>
      <c r="F22" s="143"/>
      <c r="G22" s="173"/>
      <c r="H22" s="335"/>
      <c r="I22" s="336"/>
      <c r="J22" s="336"/>
      <c r="K22" s="336"/>
      <c r="L22" s="336"/>
      <c r="M22" s="336"/>
      <c r="N22" s="296">
        <f>SUM(N20:N21)</f>
        <v>0</v>
      </c>
      <c r="O22" s="234" t="e">
        <f>N22/$N$24</f>
        <v>#DIV/0!</v>
      </c>
    </row>
    <row r="23" spans="1:16" s="150" customFormat="1" ht="12.75" hidden="1" customHeight="1" x14ac:dyDescent="0.2">
      <c r="A23" s="137"/>
      <c r="B23" s="138"/>
      <c r="C23" s="138"/>
      <c r="D23" s="138"/>
      <c r="E23" s="138"/>
      <c r="F23" s="138"/>
      <c r="G23" s="162"/>
      <c r="H23" s="333"/>
      <c r="I23" s="330"/>
      <c r="J23" s="370"/>
      <c r="K23" s="370"/>
      <c r="L23" s="370"/>
      <c r="M23" s="370"/>
      <c r="N23" s="296"/>
      <c r="O23" s="234"/>
    </row>
    <row r="24" spans="1:16" s="132" customFormat="1" ht="12.75" hidden="1" customHeight="1" x14ac:dyDescent="0.2">
      <c r="A24" s="318"/>
      <c r="B24" s="175" t="s">
        <v>20</v>
      </c>
      <c r="C24" s="176"/>
      <c r="D24" s="176"/>
      <c r="E24" s="176"/>
      <c r="F24" s="176"/>
      <c r="G24" s="178"/>
      <c r="H24" s="337"/>
      <c r="I24" s="338"/>
      <c r="J24" s="338"/>
      <c r="K24" s="338"/>
      <c r="L24" s="338"/>
      <c r="M24" s="338"/>
      <c r="N24" s="373">
        <f>N17+N22</f>
        <v>0</v>
      </c>
      <c r="O24" s="235" t="e">
        <f>N24/$N$39</f>
        <v>#DIV/0!</v>
      </c>
    </row>
    <row r="25" spans="1:16" s="132" customFormat="1" ht="12.75" hidden="1" customHeight="1" x14ac:dyDescent="0.2">
      <c r="A25" s="318"/>
      <c r="B25" s="175"/>
      <c r="C25" s="175"/>
      <c r="D25" s="175"/>
      <c r="E25" s="175"/>
      <c r="F25" s="175"/>
      <c r="G25" s="425"/>
      <c r="H25" s="371"/>
      <c r="I25" s="372"/>
      <c r="J25" s="372"/>
      <c r="K25" s="372"/>
      <c r="L25" s="372"/>
      <c r="M25" s="372"/>
      <c r="N25" s="373"/>
      <c r="O25" s="235"/>
    </row>
    <row r="26" spans="1:16" ht="12.75" customHeight="1" x14ac:dyDescent="0.2">
      <c r="A26" s="182"/>
      <c r="B26" s="837" t="s">
        <v>556</v>
      </c>
      <c r="C26" s="837"/>
      <c r="D26" s="837"/>
      <c r="E26" s="837"/>
      <c r="F26" s="837"/>
      <c r="G26" s="162"/>
      <c r="H26" s="162"/>
      <c r="I26" s="514"/>
      <c r="N26" s="317"/>
      <c r="O26" s="68"/>
    </row>
    <row r="27" spans="1:16" ht="12.75" customHeight="1" x14ac:dyDescent="0.2">
      <c r="A27" s="182"/>
      <c r="B27" s="142" t="s">
        <v>557</v>
      </c>
      <c r="C27" s="153"/>
      <c r="D27" s="153"/>
      <c r="E27" s="153"/>
      <c r="F27" s="153"/>
      <c r="G27" s="162"/>
      <c r="H27" s="333"/>
      <c r="I27" s="330"/>
      <c r="J27" s="311"/>
      <c r="K27" s="311"/>
      <c r="L27" s="311"/>
      <c r="M27" s="311"/>
      <c r="N27" s="330"/>
      <c r="O27" s="68"/>
    </row>
    <row r="28" spans="1:16" ht="12.75" customHeight="1" x14ac:dyDescent="0.2">
      <c r="A28" s="140" t="s">
        <v>545</v>
      </c>
      <c r="B28" s="426" t="str">
        <f>'23'!B131:F131</f>
        <v>Geomembrana PEAD espessura de 1,00 mm texturizada</v>
      </c>
      <c r="C28" s="153"/>
      <c r="D28" s="153"/>
      <c r="E28" s="153"/>
      <c r="F28" s="153"/>
      <c r="G28" s="139" t="s">
        <v>31</v>
      </c>
      <c r="H28" s="189"/>
      <c r="I28" s="323">
        <v>12.4237</v>
      </c>
      <c r="J28" s="314"/>
      <c r="K28" s="314"/>
      <c r="L28" s="323">
        <v>15.4237</v>
      </c>
      <c r="M28" s="308">
        <f>H28*I28</f>
        <v>0</v>
      </c>
      <c r="N28" s="296">
        <f t="shared" ref="N28:N33" si="2">H28*I28</f>
        <v>0</v>
      </c>
      <c r="O28" s="214" t="e">
        <f>N28/$N$35</f>
        <v>#DIV/0!</v>
      </c>
    </row>
    <row r="29" spans="1:16" ht="12.75" customHeight="1" x14ac:dyDescent="0.2">
      <c r="A29" s="140" t="s">
        <v>545</v>
      </c>
      <c r="B29" s="711" t="s">
        <v>1432</v>
      </c>
      <c r="C29" s="153"/>
      <c r="D29" s="153"/>
      <c r="E29" s="153"/>
      <c r="F29" s="153"/>
      <c r="G29" s="139" t="s">
        <v>31</v>
      </c>
      <c r="H29" s="189"/>
      <c r="I29" s="323">
        <v>20.65</v>
      </c>
      <c r="J29" s="314"/>
      <c r="K29" s="314"/>
      <c r="L29" s="323">
        <v>20.65</v>
      </c>
      <c r="M29" s="308">
        <f t="shared" ref="M29:M33" si="3">H29*I29</f>
        <v>0</v>
      </c>
      <c r="N29" s="296">
        <f t="shared" si="2"/>
        <v>0</v>
      </c>
      <c r="O29" s="214" t="e">
        <f>N29/$N$35</f>
        <v>#DIV/0!</v>
      </c>
    </row>
    <row r="30" spans="1:16" ht="12.75" customHeight="1" x14ac:dyDescent="0.2">
      <c r="A30" s="140" t="s">
        <v>545</v>
      </c>
      <c r="B30" s="426" t="s">
        <v>914</v>
      </c>
      <c r="C30" s="153"/>
      <c r="D30" s="153"/>
      <c r="E30" s="153"/>
      <c r="F30" s="153"/>
      <c r="G30" s="139" t="s">
        <v>24</v>
      </c>
      <c r="H30" s="189"/>
      <c r="I30" s="323">
        <v>235</v>
      </c>
      <c r="J30" s="314"/>
      <c r="K30" s="314"/>
      <c r="L30" s="323">
        <v>235</v>
      </c>
      <c r="M30" s="308">
        <f t="shared" si="3"/>
        <v>0</v>
      </c>
      <c r="N30" s="296">
        <f t="shared" si="2"/>
        <v>0</v>
      </c>
      <c r="O30" s="214" t="e">
        <f>N30/$N$35</f>
        <v>#DIV/0!</v>
      </c>
    </row>
    <row r="31" spans="1:16" ht="12.75" customHeight="1" x14ac:dyDescent="0.2">
      <c r="A31" s="140" t="s">
        <v>545</v>
      </c>
      <c r="B31" s="426" t="s">
        <v>915</v>
      </c>
      <c r="C31" s="153"/>
      <c r="D31" s="153"/>
      <c r="E31" s="153"/>
      <c r="F31" s="153"/>
      <c r="G31" s="139" t="s">
        <v>31</v>
      </c>
      <c r="H31" s="189"/>
      <c r="I31" s="323">
        <v>8785.85</v>
      </c>
      <c r="J31" s="314"/>
      <c r="K31" s="314"/>
      <c r="L31" s="323">
        <v>8785.85</v>
      </c>
      <c r="M31" s="308">
        <f t="shared" si="3"/>
        <v>0</v>
      </c>
      <c r="N31" s="296">
        <f t="shared" si="2"/>
        <v>0</v>
      </c>
      <c r="O31" s="214" t="e">
        <f>N31/$N$35</f>
        <v>#DIV/0!</v>
      </c>
    </row>
    <row r="32" spans="1:16" ht="12.75" customHeight="1" x14ac:dyDescent="0.2">
      <c r="A32" s="140" t="s">
        <v>545</v>
      </c>
      <c r="B32" s="426" t="s">
        <v>916</v>
      </c>
      <c r="C32" s="426"/>
      <c r="D32" s="426"/>
      <c r="E32" s="426"/>
      <c r="F32" s="426"/>
      <c r="G32" s="139" t="s">
        <v>31</v>
      </c>
      <c r="H32" s="189"/>
      <c r="I32" s="323">
        <v>350</v>
      </c>
      <c r="J32" s="314"/>
      <c r="K32" s="314"/>
      <c r="L32" s="323">
        <v>350</v>
      </c>
      <c r="M32" s="308">
        <f t="shared" si="3"/>
        <v>0</v>
      </c>
      <c r="N32" s="296">
        <f t="shared" si="2"/>
        <v>0</v>
      </c>
      <c r="O32" s="214" t="e">
        <f>N32/$N$35</f>
        <v>#DIV/0!</v>
      </c>
      <c r="P32" s="51">
        <v>25888</v>
      </c>
    </row>
    <row r="33" spans="1:16" ht="12.75" customHeight="1" x14ac:dyDescent="0.2">
      <c r="A33" s="140" t="s">
        <v>1399</v>
      </c>
      <c r="B33" s="426" t="s">
        <v>917</v>
      </c>
      <c r="C33" s="153"/>
      <c r="D33" s="153"/>
      <c r="E33" s="153"/>
      <c r="F33" s="153"/>
      <c r="G33" s="139" t="s">
        <v>31</v>
      </c>
      <c r="H33" s="189"/>
      <c r="I33" s="323">
        <v>49.08</v>
      </c>
      <c r="J33" s="314"/>
      <c r="K33" s="314"/>
      <c r="L33" s="323">
        <v>250</v>
      </c>
      <c r="M33" s="308">
        <f t="shared" si="3"/>
        <v>0</v>
      </c>
      <c r="N33" s="296">
        <f t="shared" si="2"/>
        <v>0</v>
      </c>
      <c r="O33" s="214" t="e">
        <f t="shared" ref="O33" si="4">N33/$N$35</f>
        <v>#DIV/0!</v>
      </c>
    </row>
    <row r="34" spans="1:16" ht="12.75" customHeight="1" x14ac:dyDescent="0.2">
      <c r="A34" s="182"/>
      <c r="B34" s="513"/>
      <c r="C34" s="513"/>
      <c r="D34" s="513"/>
      <c r="E34" s="513"/>
      <c r="F34" s="513"/>
      <c r="G34" s="139"/>
      <c r="H34" s="189"/>
      <c r="I34" s="296"/>
      <c r="J34" s="311"/>
      <c r="K34" s="311"/>
      <c r="L34" s="311"/>
      <c r="M34" s="311"/>
      <c r="N34" s="296"/>
      <c r="O34" s="234"/>
    </row>
    <row r="35" spans="1:16" ht="12.75" customHeight="1" x14ac:dyDescent="0.2">
      <c r="A35" s="514"/>
      <c r="B35" s="142" t="s">
        <v>18</v>
      </c>
      <c r="C35" s="143"/>
      <c r="D35" s="143"/>
      <c r="E35" s="143"/>
      <c r="F35" s="143"/>
      <c r="G35" s="173"/>
      <c r="H35" s="335"/>
      <c r="I35" s="336"/>
      <c r="J35" s="336"/>
      <c r="K35" s="336"/>
      <c r="L35" s="336"/>
      <c r="M35" s="336"/>
      <c r="N35" s="296">
        <f>SUM(N28:N34)</f>
        <v>0</v>
      </c>
      <c r="O35" s="234" t="e">
        <f>N35/N37</f>
        <v>#DIV/0!</v>
      </c>
    </row>
    <row r="36" spans="1:16" s="150" customFormat="1" ht="12.75" customHeight="1" x14ac:dyDescent="0.2">
      <c r="A36" s="137"/>
      <c r="B36" s="138"/>
      <c r="C36" s="138"/>
      <c r="D36" s="138"/>
      <c r="E36" s="138"/>
      <c r="F36" s="138"/>
      <c r="G36" s="137"/>
      <c r="H36" s="333"/>
      <c r="I36" s="330"/>
      <c r="J36" s="370"/>
      <c r="K36" s="370"/>
      <c r="L36" s="370"/>
      <c r="M36" s="370"/>
      <c r="N36" s="296"/>
      <c r="O36" s="234"/>
    </row>
    <row r="37" spans="1:16" s="132" customFormat="1" ht="12.75" customHeight="1" x14ac:dyDescent="0.2">
      <c r="A37" s="318"/>
      <c r="B37" s="175" t="s">
        <v>20</v>
      </c>
      <c r="C37" s="176"/>
      <c r="D37" s="176"/>
      <c r="E37" s="176"/>
      <c r="F37" s="176"/>
      <c r="G37" s="191"/>
      <c r="H37" s="337"/>
      <c r="I37" s="338"/>
      <c r="J37" s="338"/>
      <c r="K37" s="338"/>
      <c r="L37" s="338"/>
      <c r="M37" s="338"/>
      <c r="N37" s="373">
        <f>N35</f>
        <v>0</v>
      </c>
      <c r="O37" s="235" t="e">
        <f>N37/$N$39</f>
        <v>#DIV/0!</v>
      </c>
    </row>
    <row r="38" spans="1:16" ht="8.25" customHeight="1" x14ac:dyDescent="0.2">
      <c r="G38" s="52"/>
      <c r="H38" s="313"/>
      <c r="I38" s="313"/>
      <c r="J38" s="313"/>
      <c r="K38" s="313"/>
      <c r="L38" s="313"/>
      <c r="M38" s="313"/>
      <c r="N38" s="313"/>
      <c r="O38" s="187"/>
    </row>
    <row r="39" spans="1:16" ht="12.75" customHeight="1" x14ac:dyDescent="0.2">
      <c r="A39" s="146"/>
      <c r="B39" s="147" t="s">
        <v>30</v>
      </c>
      <c r="C39" s="146"/>
      <c r="D39" s="146"/>
      <c r="E39" s="146"/>
      <c r="F39" s="146"/>
      <c r="G39" s="146"/>
      <c r="H39" s="350"/>
      <c r="I39" s="345"/>
      <c r="J39" s="345"/>
      <c r="K39" s="345"/>
      <c r="L39" s="345"/>
      <c r="M39" s="275">
        <f>SUM(M12:M38)</f>
        <v>0</v>
      </c>
      <c r="N39" s="316">
        <f>N24+N37</f>
        <v>0</v>
      </c>
      <c r="O39" s="29"/>
      <c r="P39" s="149"/>
    </row>
    <row r="40" spans="1:16" ht="8.25" customHeight="1" x14ac:dyDescent="0.2">
      <c r="H40" s="313"/>
      <c r="I40" s="311"/>
      <c r="J40" s="311"/>
      <c r="K40" s="311"/>
      <c r="L40" s="311"/>
      <c r="M40" s="311"/>
      <c r="N40" s="311"/>
      <c r="O40" s="219"/>
      <c r="P40" s="149"/>
    </row>
    <row r="41" spans="1:16" ht="12.75" customHeight="1" x14ac:dyDescent="0.2">
      <c r="A41" s="146"/>
      <c r="B41" s="147" t="s">
        <v>265</v>
      </c>
      <c r="C41" s="146"/>
      <c r="D41" s="146"/>
      <c r="E41" s="146"/>
      <c r="F41" s="146"/>
      <c r="G41" s="146"/>
      <c r="H41" s="350"/>
      <c r="I41" s="345"/>
      <c r="J41" s="345"/>
      <c r="K41" s="345"/>
      <c r="L41" s="345"/>
      <c r="M41" s="275">
        <f>M39+(M39*O7)</f>
        <v>0</v>
      </c>
      <c r="N41" s="316">
        <f>M41</f>
        <v>0</v>
      </c>
      <c r="O41" s="29">
        <f>N41/RESUMO!H95</f>
        <v>0</v>
      </c>
      <c r="P41" s="149"/>
    </row>
    <row r="53" spans="1:15" ht="12.75" customHeight="1" x14ac:dyDescent="0.2">
      <c r="A53" s="150"/>
      <c r="B53" s="150"/>
      <c r="C53" s="150"/>
      <c r="D53" s="150"/>
      <c r="E53" s="150"/>
      <c r="F53" s="150"/>
      <c r="G53" s="150"/>
      <c r="H53" s="209"/>
      <c r="I53" s="150"/>
      <c r="J53" s="150"/>
      <c r="K53" s="150"/>
      <c r="L53" s="150"/>
      <c r="M53" s="150"/>
      <c r="N53" s="211"/>
      <c r="O53" s="210"/>
    </row>
    <row r="54" spans="1:15" ht="12.75" customHeight="1" x14ac:dyDescent="0.2">
      <c r="A54" s="88"/>
      <c r="C54" s="184"/>
      <c r="D54" s="184"/>
      <c r="E54" s="184"/>
      <c r="F54" s="184"/>
      <c r="G54" s="184"/>
      <c r="H54" s="212"/>
      <c r="I54" s="184"/>
      <c r="J54" s="184"/>
      <c r="K54" s="184"/>
      <c r="L54" s="184"/>
      <c r="M54" s="184"/>
      <c r="N54" s="184"/>
      <c r="O54" s="437"/>
    </row>
  </sheetData>
  <mergeCells count="5">
    <mergeCell ref="A2:O2"/>
    <mergeCell ref="N4:O4"/>
    <mergeCell ref="A5:B6"/>
    <mergeCell ref="B12:F12"/>
    <mergeCell ref="B26:F26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Curitiba/PR&amp;R&amp;"Arial,Normal"&amp;11&amp;P</oddFooter>
  </headerFooter>
  <legacyDrawingHF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>
    <tabColor theme="6" tint="0.39997558519241921"/>
    <pageSetUpPr fitToPage="1"/>
  </sheetPr>
  <dimension ref="A1:P153"/>
  <sheetViews>
    <sheetView view="pageBreakPreview" zoomScale="80" zoomScaleNormal="90" zoomScaleSheetLayoutView="80" workbookViewId="0">
      <selection activeCell="G174" sqref="G174"/>
    </sheetView>
  </sheetViews>
  <sheetFormatPr defaultColWidth="11.42578125" defaultRowHeight="12" customHeight="1" x14ac:dyDescent="0.2"/>
  <cols>
    <col min="1" max="1" width="11.42578125" style="156"/>
    <col min="2" max="5" width="11.42578125" style="51"/>
    <col min="6" max="6" width="28.5703125" style="51" customWidth="1"/>
    <col min="7" max="7" width="11.42578125" style="51"/>
    <col min="8" max="9" width="11.42578125" style="51" customWidth="1"/>
    <col min="10" max="10" width="7.85546875" style="51" hidden="1" customWidth="1"/>
    <col min="11" max="11" width="14.28515625" style="51" customWidth="1"/>
    <col min="12" max="12" width="7.85546875" style="51" hidden="1" customWidth="1"/>
    <col min="13" max="13" width="14.28515625" style="51" customWidth="1"/>
    <col min="14" max="14" width="17.140625" style="51" customWidth="1"/>
    <col min="15" max="15" width="11.42578125" style="52" customWidth="1"/>
    <col min="16" max="16384" width="11.42578125" style="51"/>
  </cols>
  <sheetData>
    <row r="1" spans="1:15" ht="7.5" customHeight="1" x14ac:dyDescent="0.2"/>
    <row r="2" spans="1:15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5" ht="7.5" customHeight="1" thickBot="1" x14ac:dyDescent="0.25">
      <c r="A3" s="194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95"/>
    </row>
    <row r="4" spans="1:15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5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5" ht="12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5" ht="12" customHeight="1" x14ac:dyDescent="0.2">
      <c r="A7" s="196"/>
      <c r="B7" s="575"/>
      <c r="C7" s="260" t="s">
        <v>6</v>
      </c>
      <c r="D7" s="263" t="str">
        <f>RESUMO!A47</f>
        <v>U.C. : 13</v>
      </c>
      <c r="E7" s="258"/>
      <c r="F7" s="258"/>
      <c r="G7" s="260" t="s">
        <v>9</v>
      </c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5" ht="12" customHeight="1" thickBot="1" x14ac:dyDescent="0.25">
      <c r="A8" s="197"/>
      <c r="B8" s="125"/>
      <c r="C8" s="266" t="s">
        <v>8</v>
      </c>
      <c r="D8" s="267" t="str">
        <f>RESUMO!B47</f>
        <v>ESTAÇÃO DE TRATAMENTO DE ESGOTO - ETE</v>
      </c>
      <c r="E8" s="268"/>
      <c r="F8" s="268"/>
      <c r="G8" s="266"/>
      <c r="H8" s="123"/>
      <c r="I8" s="278"/>
      <c r="J8" s="278"/>
      <c r="K8" s="278"/>
      <c r="L8" s="278"/>
      <c r="M8" s="278" t="s">
        <v>774</v>
      </c>
      <c r="N8" s="271"/>
      <c r="O8" s="427"/>
    </row>
    <row r="9" spans="1:15" ht="12" customHeight="1" thickTop="1" x14ac:dyDescent="0.2">
      <c r="A9" s="198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5" ht="7.5" customHeight="1" x14ac:dyDescent="0.2">
      <c r="O10" s="19"/>
    </row>
    <row r="11" spans="1:15" ht="12" customHeight="1" x14ac:dyDescent="0.2">
      <c r="A11" s="93">
        <f>RESUMO!A65</f>
        <v>18</v>
      </c>
      <c r="B11" s="93" t="str">
        <f>RESUMO!B65</f>
        <v>LAGOA FACULTATIVA 3 - SERVIÇOS</v>
      </c>
      <c r="H11" s="19"/>
      <c r="O11" s="19"/>
    </row>
    <row r="12" spans="1:15" ht="12" customHeight="1" x14ac:dyDescent="0.2">
      <c r="A12" s="129" t="s">
        <v>48</v>
      </c>
      <c r="B12" s="88" t="s">
        <v>16</v>
      </c>
      <c r="H12" s="19"/>
      <c r="O12" s="19"/>
    </row>
    <row r="13" spans="1:15" ht="12" customHeight="1" x14ac:dyDescent="0.2">
      <c r="A13" s="129" t="s">
        <v>79</v>
      </c>
      <c r="B13" s="88" t="s">
        <v>80</v>
      </c>
      <c r="H13" s="704"/>
      <c r="O13" s="19"/>
    </row>
    <row r="14" spans="1:15" ht="12" customHeight="1" x14ac:dyDescent="0.2">
      <c r="A14" s="140" t="s">
        <v>286</v>
      </c>
      <c r="B14" s="834" t="s">
        <v>636</v>
      </c>
      <c r="C14" s="834"/>
      <c r="D14" s="834"/>
      <c r="E14" s="834"/>
      <c r="F14" s="834"/>
      <c r="G14" s="97" t="s">
        <v>31</v>
      </c>
      <c r="H14" s="308">
        <v>0</v>
      </c>
      <c r="I14" s="323">
        <f>VLOOKUP(A14,'[1]TAB OGU JUN18'!$A:$G,6,"falso")</f>
        <v>16.329999999999998</v>
      </c>
      <c r="J14" s="323">
        <f>VLOOKUP(A14,'[1]TAB OGU JUN18'!$A:$G,4,"falso")</f>
        <v>9.6300000000000008</v>
      </c>
      <c r="K14" s="308">
        <f>H14*J14</f>
        <v>0</v>
      </c>
      <c r="L14" s="323">
        <f>VLOOKUP(A14,'[1]TAB OGU JUN18'!$A:$G,5,"falso")</f>
        <v>6.7</v>
      </c>
      <c r="M14" s="308">
        <f>H14*L14</f>
        <v>0</v>
      </c>
      <c r="N14" s="308">
        <f>H14*I14</f>
        <v>0</v>
      </c>
      <c r="O14" s="185" t="e">
        <f>(N14*1)/$N$16</f>
        <v>#DIV/0!</v>
      </c>
    </row>
    <row r="15" spans="1:15" ht="12" customHeight="1" x14ac:dyDescent="0.2">
      <c r="G15" s="52"/>
      <c r="H15" s="324"/>
      <c r="I15" s="313"/>
      <c r="J15" s="313"/>
      <c r="K15" s="313"/>
      <c r="L15" s="313"/>
      <c r="M15" s="313"/>
      <c r="N15" s="309"/>
      <c r="O15" s="185"/>
    </row>
    <row r="16" spans="1:15" ht="12" customHeight="1" x14ac:dyDescent="0.2">
      <c r="B16" s="130" t="s">
        <v>18</v>
      </c>
      <c r="C16" s="131"/>
      <c r="D16" s="131"/>
      <c r="E16" s="131"/>
      <c r="F16" s="131"/>
      <c r="G16" s="53"/>
      <c r="H16" s="325"/>
      <c r="I16" s="326"/>
      <c r="J16" s="326"/>
      <c r="K16" s="326"/>
      <c r="L16" s="326"/>
      <c r="M16" s="326"/>
      <c r="N16" s="308">
        <f>SUM(N14:N14)</f>
        <v>0</v>
      </c>
      <c r="O16" s="185" t="e">
        <f>N16/N23</f>
        <v>#DIV/0!</v>
      </c>
    </row>
    <row r="17" spans="1:15" ht="12" customHeight="1" x14ac:dyDescent="0.2">
      <c r="B17" s="130"/>
      <c r="G17" s="52"/>
      <c r="H17" s="324"/>
      <c r="I17" s="313"/>
      <c r="J17" s="313"/>
      <c r="K17" s="313"/>
      <c r="L17" s="313"/>
      <c r="M17" s="313"/>
      <c r="N17" s="308"/>
      <c r="O17" s="185"/>
    </row>
    <row r="18" spans="1:15" ht="12" customHeight="1" x14ac:dyDescent="0.2">
      <c r="A18" s="129" t="s">
        <v>779</v>
      </c>
      <c r="B18" s="88" t="s">
        <v>780</v>
      </c>
      <c r="H18" s="704"/>
      <c r="N18" s="303"/>
      <c r="O18" s="187"/>
    </row>
    <row r="19" spans="1:15" ht="12" customHeight="1" x14ac:dyDescent="0.2">
      <c r="A19" s="140" t="s">
        <v>789</v>
      </c>
      <c r="B19" s="142" t="s">
        <v>636</v>
      </c>
      <c r="C19" s="153"/>
      <c r="D19" s="153"/>
      <c r="E19" s="153"/>
      <c r="F19" s="153"/>
      <c r="G19" s="97" t="s">
        <v>31</v>
      </c>
      <c r="H19" s="308">
        <f>H14</f>
        <v>0</v>
      </c>
      <c r="I19" s="323">
        <f>VLOOKUP(A19,'[1]TAB OGU JUN18'!$A:$G,6,"falso")</f>
        <v>0.47</v>
      </c>
      <c r="J19" s="323">
        <f>VLOOKUP(A19,'[1]TAB OGU JUN18'!$A:$G,4,"falso")</f>
        <v>0.47</v>
      </c>
      <c r="K19" s="308">
        <f>H19*J19</f>
        <v>0</v>
      </c>
      <c r="L19" s="323">
        <f>VLOOKUP(A19,'[1]TAB OGU JUN18'!$A:$G,5,"falso")</f>
        <v>0</v>
      </c>
      <c r="M19" s="308"/>
      <c r="N19" s="308">
        <f>H19*I19</f>
        <v>0</v>
      </c>
      <c r="O19" s="185" t="e">
        <f>N19/N21</f>
        <v>#DIV/0!</v>
      </c>
    </row>
    <row r="20" spans="1:15" ht="12" customHeight="1" x14ac:dyDescent="0.2">
      <c r="G20" s="52"/>
      <c r="H20" s="324"/>
      <c r="I20" s="313"/>
      <c r="J20" s="313"/>
      <c r="K20" s="313"/>
      <c r="L20" s="313"/>
      <c r="M20" s="313"/>
      <c r="N20" s="309"/>
      <c r="O20" s="185"/>
    </row>
    <row r="21" spans="1:15" ht="12" customHeight="1" x14ac:dyDescent="0.2">
      <c r="B21" s="130" t="s">
        <v>18</v>
      </c>
      <c r="C21" s="131"/>
      <c r="D21" s="131"/>
      <c r="E21" s="131"/>
      <c r="F21" s="131"/>
      <c r="G21" s="53"/>
      <c r="H21" s="325"/>
      <c r="I21" s="326"/>
      <c r="J21" s="326"/>
      <c r="K21" s="326"/>
      <c r="L21" s="326"/>
      <c r="M21" s="326"/>
      <c r="N21" s="308">
        <f>SUM(N19:N19)</f>
        <v>0</v>
      </c>
      <c r="O21" s="185" t="e">
        <f>N21/N23</f>
        <v>#DIV/0!</v>
      </c>
    </row>
    <row r="22" spans="1:15" ht="12" customHeight="1" x14ac:dyDescent="0.2">
      <c r="B22" s="130"/>
      <c r="G22" s="52"/>
      <c r="H22" s="324"/>
      <c r="I22" s="313"/>
      <c r="J22" s="313"/>
      <c r="K22" s="313"/>
      <c r="L22" s="313"/>
      <c r="M22" s="313"/>
      <c r="N22" s="308"/>
      <c r="O22" s="185"/>
    </row>
    <row r="23" spans="1:15" s="132" customFormat="1" ht="12" customHeight="1" x14ac:dyDescent="0.2">
      <c r="A23" s="157"/>
      <c r="B23" s="133" t="s">
        <v>20</v>
      </c>
      <c r="C23" s="134"/>
      <c r="D23" s="134"/>
      <c r="E23" s="134"/>
      <c r="F23" s="134"/>
      <c r="G23" s="78"/>
      <c r="H23" s="327"/>
      <c r="I23" s="328"/>
      <c r="J23" s="328"/>
      <c r="K23" s="328"/>
      <c r="L23" s="328"/>
      <c r="M23" s="328"/>
      <c r="N23" s="310">
        <f>N16+N21</f>
        <v>0</v>
      </c>
      <c r="O23" s="186" t="e">
        <f>N23/N151</f>
        <v>#DIV/0!</v>
      </c>
    </row>
    <row r="24" spans="1:15" ht="12" hidden="1" customHeight="1" x14ac:dyDescent="0.2">
      <c r="B24" s="130"/>
      <c r="G24" s="52"/>
      <c r="H24" s="324"/>
      <c r="I24" s="313"/>
      <c r="J24" s="313"/>
      <c r="K24" s="313"/>
      <c r="L24" s="313"/>
      <c r="M24" s="313"/>
      <c r="N24" s="308"/>
      <c r="O24" s="185"/>
    </row>
    <row r="25" spans="1:15" ht="12" hidden="1" customHeight="1" x14ac:dyDescent="0.2">
      <c r="A25" s="129" t="s">
        <v>93</v>
      </c>
      <c r="B25" s="88" t="s">
        <v>96</v>
      </c>
      <c r="H25" s="324"/>
      <c r="I25" s="311"/>
      <c r="J25" s="311"/>
      <c r="K25" s="311"/>
      <c r="L25" s="311"/>
      <c r="M25" s="311"/>
      <c r="N25" s="311"/>
      <c r="O25" s="187"/>
    </row>
    <row r="26" spans="1:15" ht="12" hidden="1" customHeight="1" x14ac:dyDescent="0.2">
      <c r="A26" s="252" t="s">
        <v>540</v>
      </c>
      <c r="B26" s="835" t="s">
        <v>644</v>
      </c>
      <c r="C26" s="835"/>
      <c r="D26" s="835"/>
      <c r="E26" s="835"/>
      <c r="F26" s="835"/>
      <c r="H26" s="329"/>
      <c r="I26" s="311"/>
      <c r="J26" s="308"/>
      <c r="K26" s="311"/>
      <c r="L26" s="311"/>
      <c r="M26" s="311"/>
      <c r="N26" s="313"/>
      <c r="O26" s="187"/>
    </row>
    <row r="27" spans="1:15" ht="12" hidden="1" customHeight="1" x14ac:dyDescent="0.2">
      <c r="A27" s="129" t="s">
        <v>293</v>
      </c>
      <c r="B27" s="88" t="s">
        <v>541</v>
      </c>
      <c r="G27" s="97" t="s">
        <v>32</v>
      </c>
      <c r="H27" s="308"/>
      <c r="I27" s="323">
        <f>VLOOKUP(A27,'[1]TAB OGU JUN18'!$A:$G,6,"falso")</f>
        <v>31.26</v>
      </c>
      <c r="J27" s="323">
        <f>VLOOKUP(A27,'[1]TAB OGU JUN18'!$A:$G,4,"falso")</f>
        <v>31.26</v>
      </c>
      <c r="K27" s="308">
        <f>H27*J27</f>
        <v>0</v>
      </c>
      <c r="L27" s="323">
        <f>VLOOKUP(A27,'[1]TAB OGU JUN18'!$A:$G,5,"falso")</f>
        <v>0</v>
      </c>
      <c r="M27" s="308"/>
      <c r="N27" s="308">
        <f>H27*I27</f>
        <v>0</v>
      </c>
      <c r="O27" s="185" t="e">
        <f>N27/N29</f>
        <v>#DIV/0!</v>
      </c>
    </row>
    <row r="28" spans="1:15" ht="12" hidden="1" customHeight="1" x14ac:dyDescent="0.2">
      <c r="G28" s="52"/>
      <c r="H28" s="324"/>
      <c r="I28" s="313"/>
      <c r="J28" s="308"/>
      <c r="K28" s="313"/>
      <c r="L28" s="313"/>
      <c r="M28" s="313"/>
      <c r="N28" s="309"/>
      <c r="O28" s="185"/>
    </row>
    <row r="29" spans="1:15" ht="12" hidden="1" customHeight="1" x14ac:dyDescent="0.2">
      <c r="B29" s="130" t="s">
        <v>18</v>
      </c>
      <c r="C29" s="131"/>
      <c r="D29" s="131"/>
      <c r="E29" s="131"/>
      <c r="F29" s="131"/>
      <c r="G29" s="53"/>
      <c r="H29" s="325"/>
      <c r="I29" s="325"/>
      <c r="J29" s="325"/>
      <c r="K29" s="325"/>
      <c r="L29" s="326"/>
      <c r="M29" s="326"/>
      <c r="N29" s="308">
        <f>SUM(N27:N27)</f>
        <v>0</v>
      </c>
      <c r="O29" s="185" t="e">
        <f>N29/N62</f>
        <v>#DIV/0!</v>
      </c>
    </row>
    <row r="30" spans="1:15" ht="12" customHeight="1" x14ac:dyDescent="0.2">
      <c r="B30" s="130"/>
      <c r="G30" s="52"/>
      <c r="H30" s="324"/>
      <c r="I30" s="313"/>
      <c r="J30" s="308"/>
      <c r="K30" s="311"/>
      <c r="L30" s="311"/>
      <c r="M30" s="311"/>
      <c r="N30" s="308"/>
      <c r="O30" s="185"/>
    </row>
    <row r="31" spans="1:15" ht="12" customHeight="1" x14ac:dyDescent="0.2">
      <c r="A31" s="252" t="s">
        <v>543</v>
      </c>
      <c r="B31" s="835" t="s">
        <v>645</v>
      </c>
      <c r="C31" s="835"/>
      <c r="D31" s="835"/>
      <c r="E31" s="835"/>
      <c r="F31" s="835"/>
      <c r="G31" s="52"/>
      <c r="H31" s="324"/>
      <c r="I31" s="313"/>
      <c r="J31" s="313"/>
      <c r="K31" s="313"/>
      <c r="L31" s="313"/>
      <c r="M31" s="313"/>
      <c r="N31" s="313"/>
      <c r="O31" s="187"/>
    </row>
    <row r="32" spans="1:15" ht="12" customHeight="1" x14ac:dyDescent="0.2">
      <c r="A32" s="98" t="s">
        <v>295</v>
      </c>
      <c r="B32" s="88" t="s">
        <v>229</v>
      </c>
      <c r="G32" s="97" t="s">
        <v>32</v>
      </c>
      <c r="H32" s="308">
        <v>0</v>
      </c>
      <c r="I32" s="323">
        <f>VLOOKUP(A32,'[1]TAB OGU JUN18'!$A:$G,6,"falso")</f>
        <v>7.1</v>
      </c>
      <c r="J32" s="323">
        <f>VLOOKUP(A32,'[1]TAB OGU JUN18'!$A:$G,4,"falso")</f>
        <v>7.1</v>
      </c>
      <c r="K32" s="308">
        <f>H32*J32</f>
        <v>0</v>
      </c>
      <c r="L32" s="323">
        <f>VLOOKUP(A32,'[1]TAB OGU JUN18'!$A:$G,5,"falso")</f>
        <v>0</v>
      </c>
      <c r="M32" s="308"/>
      <c r="N32" s="308">
        <f>H32*I32</f>
        <v>0</v>
      </c>
      <c r="O32" s="185" t="e">
        <f>N32/N34</f>
        <v>#DIV/0!</v>
      </c>
    </row>
    <row r="33" spans="1:15" ht="12" customHeight="1" x14ac:dyDescent="0.2">
      <c r="G33" s="52"/>
      <c r="H33" s="324"/>
      <c r="I33" s="313"/>
      <c r="J33" s="313"/>
      <c r="K33" s="313"/>
      <c r="L33" s="313"/>
      <c r="M33" s="313"/>
      <c r="N33" s="313"/>
      <c r="O33" s="187"/>
    </row>
    <row r="34" spans="1:15" ht="12" customHeight="1" x14ac:dyDescent="0.2">
      <c r="B34" s="130" t="s">
        <v>18</v>
      </c>
      <c r="C34" s="131"/>
      <c r="D34" s="131"/>
      <c r="E34" s="131"/>
      <c r="F34" s="131"/>
      <c r="G34" s="53"/>
      <c r="H34" s="325"/>
      <c r="I34" s="326"/>
      <c r="J34" s="326"/>
      <c r="K34" s="326"/>
      <c r="L34" s="326"/>
      <c r="M34" s="326"/>
      <c r="N34" s="308">
        <f>N32</f>
        <v>0</v>
      </c>
      <c r="O34" s="185" t="e">
        <f>N34/$N$62</f>
        <v>#DIV/0!</v>
      </c>
    </row>
    <row r="35" spans="1:15" ht="12" customHeight="1" x14ac:dyDescent="0.2">
      <c r="B35" s="130"/>
      <c r="G35" s="52"/>
      <c r="H35" s="324"/>
      <c r="I35" s="313"/>
      <c r="J35" s="313"/>
      <c r="K35" s="313"/>
      <c r="L35" s="313"/>
      <c r="M35" s="313"/>
      <c r="N35" s="308"/>
      <c r="O35" s="185"/>
    </row>
    <row r="36" spans="1:15" ht="12" customHeight="1" x14ac:dyDescent="0.2">
      <c r="A36" s="256" t="s">
        <v>297</v>
      </c>
      <c r="B36" s="142" t="s">
        <v>298</v>
      </c>
      <c r="C36" s="142"/>
      <c r="D36" s="142"/>
      <c r="E36" s="142"/>
      <c r="F36" s="142"/>
      <c r="G36" s="97"/>
      <c r="H36" s="308"/>
      <c r="I36" s="308"/>
      <c r="J36" s="308"/>
      <c r="K36" s="308"/>
      <c r="L36" s="308"/>
      <c r="M36" s="308"/>
      <c r="N36" s="308"/>
      <c r="O36" s="185"/>
    </row>
    <row r="37" spans="1:15" ht="12" customHeight="1" x14ac:dyDescent="0.2">
      <c r="A37" s="256" t="s">
        <v>299</v>
      </c>
      <c r="B37" s="142" t="s">
        <v>300</v>
      </c>
      <c r="C37" s="142"/>
      <c r="D37" s="142"/>
      <c r="E37" s="142"/>
      <c r="F37" s="142"/>
      <c r="G37" s="97" t="s">
        <v>32</v>
      </c>
      <c r="H37" s="308">
        <v>0</v>
      </c>
      <c r="I37" s="323">
        <f>VLOOKUP(A37,'[1]TAB OGU JUN18'!$A:$G,6,"falso")</f>
        <v>9.8699999999999992</v>
      </c>
      <c r="J37" s="323">
        <f>VLOOKUP(A37,'[1]TAB OGU JUN18'!$A:$G,4,"falso")</f>
        <v>9.8699999999999992</v>
      </c>
      <c r="K37" s="308">
        <f>H37*J37</f>
        <v>0</v>
      </c>
      <c r="L37" s="323">
        <f>VLOOKUP(A37,'[1]TAB OGU JUN18'!$A:$G,5,"falso")</f>
        <v>0</v>
      </c>
      <c r="M37" s="308"/>
      <c r="N37" s="308">
        <f>H37*I37</f>
        <v>0</v>
      </c>
      <c r="O37" s="185" t="e">
        <f>N37/N39</f>
        <v>#DIV/0!</v>
      </c>
    </row>
    <row r="38" spans="1:15" ht="12" customHeight="1" x14ac:dyDescent="0.2">
      <c r="B38" s="130"/>
      <c r="G38" s="52"/>
      <c r="H38" s="324"/>
      <c r="I38" s="313"/>
      <c r="J38" s="308"/>
      <c r="K38" s="313"/>
      <c r="L38" s="313"/>
      <c r="M38" s="313"/>
      <c r="N38" s="308"/>
      <c r="O38" s="185"/>
    </row>
    <row r="39" spans="1:15" ht="12" customHeight="1" x14ac:dyDescent="0.2">
      <c r="B39" s="130" t="s">
        <v>18</v>
      </c>
      <c r="C39" s="131"/>
      <c r="D39" s="131"/>
      <c r="E39" s="131"/>
      <c r="F39" s="131"/>
      <c r="G39" s="53"/>
      <c r="H39" s="325"/>
      <c r="I39" s="325"/>
      <c r="J39" s="325"/>
      <c r="K39" s="325"/>
      <c r="L39" s="326"/>
      <c r="M39" s="326"/>
      <c r="N39" s="308">
        <f>N37</f>
        <v>0</v>
      </c>
      <c r="O39" s="185" t="e">
        <f>N39/$N$62</f>
        <v>#DIV/0!</v>
      </c>
    </row>
    <row r="40" spans="1:15" ht="12" customHeight="1" x14ac:dyDescent="0.2">
      <c r="B40" s="130"/>
      <c r="G40" s="52"/>
      <c r="H40" s="324"/>
      <c r="I40" s="313"/>
      <c r="J40" s="308"/>
      <c r="K40" s="313"/>
      <c r="L40" s="313"/>
      <c r="M40" s="313"/>
      <c r="N40" s="308"/>
      <c r="O40" s="185"/>
    </row>
    <row r="41" spans="1:15" ht="12" customHeight="1" x14ac:dyDescent="0.2">
      <c r="A41" s="98" t="s">
        <v>101</v>
      </c>
      <c r="B41" s="88" t="s">
        <v>21</v>
      </c>
      <c r="G41" s="97"/>
      <c r="H41" s="308"/>
      <c r="I41" s="308"/>
      <c r="J41" s="308"/>
      <c r="K41" s="308"/>
      <c r="L41" s="308"/>
      <c r="M41" s="308"/>
      <c r="N41" s="308"/>
      <c r="O41" s="185"/>
    </row>
    <row r="42" spans="1:15" ht="12" hidden="1" customHeight="1" x14ac:dyDescent="0.2">
      <c r="A42" s="98" t="s">
        <v>102</v>
      </c>
      <c r="B42" s="88" t="s">
        <v>104</v>
      </c>
      <c r="G42" s="97" t="s">
        <v>32</v>
      </c>
      <c r="H42" s="308"/>
      <c r="I42" s="323">
        <f>VLOOKUP(A42,'[1]TAB OGU JUN18'!$A:$G,6,"falso")</f>
        <v>7.4</v>
      </c>
      <c r="J42" s="323">
        <f>VLOOKUP(A42,'[1]TAB OGU JUN18'!$A:$G,4,"falso")</f>
        <v>7.4</v>
      </c>
      <c r="K42" s="308">
        <f>H42*J42</f>
        <v>0</v>
      </c>
      <c r="L42" s="323">
        <f>VLOOKUP(A42,'[1]TAB OGU JUN18'!$A:$G,5,"falso")</f>
        <v>0</v>
      </c>
      <c r="M42" s="308"/>
      <c r="N42" s="308">
        <f>H42*I42</f>
        <v>0</v>
      </c>
      <c r="O42" s="185" t="e">
        <f>N42/N45</f>
        <v>#DIV/0!</v>
      </c>
    </row>
    <row r="43" spans="1:15" ht="12" customHeight="1" x14ac:dyDescent="0.2">
      <c r="A43" s="98" t="s">
        <v>103</v>
      </c>
      <c r="B43" s="88" t="s">
        <v>105</v>
      </c>
      <c r="G43" s="97" t="s">
        <v>32</v>
      </c>
      <c r="H43" s="308">
        <v>0</v>
      </c>
      <c r="I43" s="323">
        <f>VLOOKUP(A43,'[1]TAB OGU JUN18'!$A:$G,6,"falso")</f>
        <v>1.32</v>
      </c>
      <c r="J43" s="323">
        <f>VLOOKUP(A43,'[1]TAB OGU JUN18'!$A:$G,4,"falso")</f>
        <v>1.32</v>
      </c>
      <c r="K43" s="308">
        <f>H43*J43</f>
        <v>0</v>
      </c>
      <c r="L43" s="323">
        <f>VLOOKUP(A43,'[1]TAB OGU JUN18'!$A:$G,5,"falso")</f>
        <v>0</v>
      </c>
      <c r="M43" s="308"/>
      <c r="N43" s="308">
        <f>H43*I43</f>
        <v>0</v>
      </c>
      <c r="O43" s="185" t="e">
        <f>N43/N45</f>
        <v>#DIV/0!</v>
      </c>
    </row>
    <row r="44" spans="1:15" ht="12" customHeight="1" x14ac:dyDescent="0.2">
      <c r="B44" s="130"/>
      <c r="G44" s="52"/>
      <c r="H44" s="324"/>
      <c r="I44" s="313"/>
      <c r="J44" s="313"/>
      <c r="K44" s="313"/>
      <c r="L44" s="313"/>
      <c r="M44" s="313"/>
      <c r="N44" s="308"/>
      <c r="O44" s="185"/>
    </row>
    <row r="45" spans="1:15" ht="12" customHeight="1" x14ac:dyDescent="0.2">
      <c r="B45" s="130" t="s">
        <v>18</v>
      </c>
      <c r="C45" s="131"/>
      <c r="D45" s="131"/>
      <c r="E45" s="131"/>
      <c r="F45" s="131"/>
      <c r="G45" s="53"/>
      <c r="H45" s="325"/>
      <c r="I45" s="326"/>
      <c r="J45" s="326"/>
      <c r="K45" s="326"/>
      <c r="L45" s="326"/>
      <c r="M45" s="326"/>
      <c r="N45" s="308">
        <f>SUM(N42:N44)</f>
        <v>0</v>
      </c>
      <c r="O45" s="185" t="e">
        <f>N45/$N$62</f>
        <v>#DIV/0!</v>
      </c>
    </row>
    <row r="46" spans="1:15" ht="12" customHeight="1" x14ac:dyDescent="0.2">
      <c r="B46" s="130"/>
      <c r="G46" s="52"/>
      <c r="H46" s="324"/>
      <c r="I46" s="313"/>
      <c r="J46" s="313"/>
      <c r="K46" s="313"/>
      <c r="L46" s="313"/>
      <c r="M46" s="313"/>
      <c r="N46" s="308"/>
      <c r="O46" s="185"/>
    </row>
    <row r="47" spans="1:15" ht="12" customHeight="1" x14ac:dyDescent="0.2">
      <c r="A47" s="256" t="s">
        <v>301</v>
      </c>
      <c r="B47" s="834" t="s">
        <v>669</v>
      </c>
      <c r="C47" s="834"/>
      <c r="D47" s="834"/>
      <c r="E47" s="834"/>
      <c r="F47" s="834"/>
      <c r="G47" s="97"/>
      <c r="H47" s="308"/>
      <c r="I47" s="308"/>
      <c r="J47" s="308"/>
      <c r="K47" s="308"/>
      <c r="L47" s="308"/>
      <c r="M47" s="308"/>
      <c r="N47" s="308"/>
      <c r="O47" s="185"/>
    </row>
    <row r="48" spans="1:15" ht="12" customHeight="1" x14ac:dyDescent="0.2">
      <c r="A48" s="256" t="s">
        <v>302</v>
      </c>
      <c r="B48" s="834" t="s">
        <v>303</v>
      </c>
      <c r="C48" s="834"/>
      <c r="D48" s="834"/>
      <c r="E48" s="834"/>
      <c r="F48" s="834"/>
      <c r="G48" s="97" t="s">
        <v>32</v>
      </c>
      <c r="H48" s="308">
        <f>H43</f>
        <v>0</v>
      </c>
      <c r="I48" s="323">
        <f>VLOOKUP(A48,'[1]TAB OGU JUN18'!$A:$G,6,"falso")</f>
        <v>4.16</v>
      </c>
      <c r="J48" s="323">
        <f>VLOOKUP(A48,'[1]TAB OGU JUN18'!$A:$G,4,"falso")</f>
        <v>4.16</v>
      </c>
      <c r="K48" s="308">
        <f>H48*J48</f>
        <v>0</v>
      </c>
      <c r="L48" s="323">
        <f>VLOOKUP(A48,'[1]TAB OGU JUN18'!$A:$G,5,"falso")</f>
        <v>0</v>
      </c>
      <c r="M48" s="308"/>
      <c r="N48" s="308">
        <f>H48*I48</f>
        <v>0</v>
      </c>
      <c r="O48" s="185" t="e">
        <f>N48/N50</f>
        <v>#DIV/0!</v>
      </c>
    </row>
    <row r="49" spans="1:15" ht="12" customHeight="1" x14ac:dyDescent="0.2">
      <c r="B49" s="130"/>
      <c r="G49" s="52"/>
      <c r="H49" s="324"/>
      <c r="I49" s="313"/>
      <c r="J49" s="308"/>
      <c r="K49" s="313"/>
      <c r="L49" s="313"/>
      <c r="M49" s="313"/>
      <c r="N49" s="308"/>
      <c r="O49" s="185"/>
    </row>
    <row r="50" spans="1:15" ht="12" customHeight="1" x14ac:dyDescent="0.2">
      <c r="B50" s="130" t="s">
        <v>18</v>
      </c>
      <c r="C50" s="131"/>
      <c r="D50" s="131"/>
      <c r="E50" s="131"/>
      <c r="F50" s="131"/>
      <c r="G50" s="53"/>
      <c r="H50" s="325"/>
      <c r="I50" s="325"/>
      <c r="J50" s="325"/>
      <c r="K50" s="325"/>
      <c r="L50" s="326"/>
      <c r="M50" s="326"/>
      <c r="N50" s="308">
        <f>N48</f>
        <v>0</v>
      </c>
      <c r="O50" s="185" t="e">
        <f>N50/$N$62</f>
        <v>#DIV/0!</v>
      </c>
    </row>
    <row r="51" spans="1:15" ht="12" customHeight="1" x14ac:dyDescent="0.2">
      <c r="B51" s="130"/>
      <c r="G51" s="52"/>
      <c r="H51" s="324"/>
      <c r="I51" s="313"/>
      <c r="J51" s="308"/>
      <c r="K51" s="313"/>
      <c r="L51" s="313"/>
      <c r="M51" s="313"/>
      <c r="N51" s="308"/>
      <c r="O51" s="185"/>
    </row>
    <row r="52" spans="1:15" ht="12" customHeight="1" x14ac:dyDescent="0.2">
      <c r="A52" s="98" t="s">
        <v>110</v>
      </c>
      <c r="B52" s="88" t="s">
        <v>112</v>
      </c>
      <c r="G52" s="52"/>
      <c r="H52" s="324"/>
      <c r="I52" s="313"/>
      <c r="J52" s="313"/>
      <c r="K52" s="313"/>
      <c r="L52" s="313"/>
      <c r="M52" s="313"/>
      <c r="N52" s="313"/>
      <c r="O52" s="187"/>
    </row>
    <row r="53" spans="1:15" ht="12" customHeight="1" x14ac:dyDescent="0.2">
      <c r="A53" s="98" t="s">
        <v>111</v>
      </c>
      <c r="B53" s="88" t="s">
        <v>113</v>
      </c>
      <c r="G53" s="97" t="s">
        <v>32</v>
      </c>
      <c r="H53" s="308">
        <f>ABS(H43-H32)</f>
        <v>0</v>
      </c>
      <c r="I53" s="323">
        <f>VLOOKUP(A53,'[1]TAB OGU JUN18'!$A:$G,6,"falso")</f>
        <v>1.85</v>
      </c>
      <c r="J53" s="323">
        <f>VLOOKUP(A53,'[1]TAB OGU JUN18'!$A:$G,4,"falso")</f>
        <v>1.85</v>
      </c>
      <c r="K53" s="308">
        <f>H53*J53</f>
        <v>0</v>
      </c>
      <c r="L53" s="323">
        <f>VLOOKUP(A53,'[1]TAB OGU JUN18'!$A:$G,5,"falso")</f>
        <v>0</v>
      </c>
      <c r="M53" s="308"/>
      <c r="N53" s="308">
        <f>H53*I53</f>
        <v>0</v>
      </c>
      <c r="O53" s="185" t="e">
        <f>N53/N55</f>
        <v>#DIV/0!</v>
      </c>
    </row>
    <row r="54" spans="1:15" ht="12" customHeight="1" x14ac:dyDescent="0.2">
      <c r="G54" s="52"/>
      <c r="H54" s="324"/>
      <c r="I54" s="313"/>
      <c r="J54" s="313"/>
      <c r="K54" s="313"/>
      <c r="L54" s="313"/>
      <c r="M54" s="313"/>
      <c r="N54" s="313"/>
      <c r="O54" s="187"/>
    </row>
    <row r="55" spans="1:15" ht="12" customHeight="1" x14ac:dyDescent="0.2">
      <c r="B55" s="130" t="s">
        <v>18</v>
      </c>
      <c r="C55" s="131"/>
      <c r="D55" s="131"/>
      <c r="E55" s="131"/>
      <c r="F55" s="131"/>
      <c r="G55" s="53"/>
      <c r="H55" s="325"/>
      <c r="I55" s="326"/>
      <c r="J55" s="326"/>
      <c r="K55" s="326"/>
      <c r="L55" s="326"/>
      <c r="M55" s="326"/>
      <c r="N55" s="308">
        <f>N53</f>
        <v>0</v>
      </c>
      <c r="O55" s="185" t="e">
        <f>N55/N62</f>
        <v>#DIV/0!</v>
      </c>
    </row>
    <row r="56" spans="1:15" ht="12" customHeight="1" x14ac:dyDescent="0.2">
      <c r="B56" s="130"/>
      <c r="G56" s="52"/>
      <c r="H56" s="324"/>
      <c r="I56" s="313"/>
      <c r="J56" s="313"/>
      <c r="K56" s="313"/>
      <c r="L56" s="313"/>
      <c r="M56" s="313"/>
      <c r="N56" s="308"/>
      <c r="O56" s="185"/>
    </row>
    <row r="57" spans="1:15" ht="12" customHeight="1" x14ac:dyDescent="0.2">
      <c r="A57" s="98" t="s">
        <v>114</v>
      </c>
      <c r="B57" s="88" t="s">
        <v>737</v>
      </c>
      <c r="G57" s="52"/>
      <c r="H57" s="324"/>
      <c r="I57" s="313"/>
      <c r="J57" s="313"/>
      <c r="K57" s="313"/>
      <c r="L57" s="313"/>
      <c r="M57" s="313"/>
      <c r="N57" s="313"/>
      <c r="O57" s="187"/>
    </row>
    <row r="58" spans="1:15" ht="12" customHeight="1" x14ac:dyDescent="0.2">
      <c r="A58" s="98" t="s">
        <v>115</v>
      </c>
      <c r="B58" s="88" t="s">
        <v>116</v>
      </c>
      <c r="G58" s="97" t="s">
        <v>180</v>
      </c>
      <c r="H58" s="308">
        <f>H53*3</f>
        <v>0</v>
      </c>
      <c r="I58" s="323">
        <f>VLOOKUP(A58,'[1]TAB OGU JUN18'!$A:$G,6,"falso")</f>
        <v>1</v>
      </c>
      <c r="J58" s="323">
        <f>VLOOKUP(A58,'[1]TAB OGU JUN18'!$A:$G,4,"falso")</f>
        <v>1</v>
      </c>
      <c r="K58" s="308">
        <f>H58*J58</f>
        <v>0</v>
      </c>
      <c r="L58" s="323">
        <f>VLOOKUP(A58,'[1]TAB OGU JUN18'!$A:$G,5,"falso")</f>
        <v>0</v>
      </c>
      <c r="M58" s="308"/>
      <c r="N58" s="308">
        <f>H58*I58</f>
        <v>0</v>
      </c>
      <c r="O58" s="185" t="e">
        <f>N58/N60</f>
        <v>#DIV/0!</v>
      </c>
    </row>
    <row r="59" spans="1:15" ht="12" customHeight="1" x14ac:dyDescent="0.2">
      <c r="G59" s="52"/>
      <c r="H59" s="324"/>
      <c r="I59" s="313"/>
      <c r="J59" s="313"/>
      <c r="K59" s="313"/>
      <c r="L59" s="313"/>
      <c r="M59" s="313"/>
      <c r="N59" s="313"/>
      <c r="O59" s="187"/>
    </row>
    <row r="60" spans="1:15" ht="12" customHeight="1" x14ac:dyDescent="0.2">
      <c r="B60" s="130" t="s">
        <v>18</v>
      </c>
      <c r="C60" s="131"/>
      <c r="D60" s="131"/>
      <c r="E60" s="131"/>
      <c r="F60" s="131"/>
      <c r="G60" s="53"/>
      <c r="H60" s="325"/>
      <c r="I60" s="326"/>
      <c r="J60" s="326"/>
      <c r="K60" s="326"/>
      <c r="L60" s="326"/>
      <c r="M60" s="326"/>
      <c r="N60" s="308">
        <f>N58</f>
        <v>0</v>
      </c>
      <c r="O60" s="185" t="e">
        <f>N60/N62</f>
        <v>#DIV/0!</v>
      </c>
    </row>
    <row r="61" spans="1:15" ht="12" customHeight="1" x14ac:dyDescent="0.2">
      <c r="B61" s="130"/>
      <c r="G61" s="52"/>
      <c r="H61" s="324"/>
      <c r="I61" s="313"/>
      <c r="J61" s="313"/>
      <c r="K61" s="313"/>
      <c r="L61" s="313"/>
      <c r="M61" s="313"/>
      <c r="N61" s="308"/>
      <c r="O61" s="185"/>
    </row>
    <row r="62" spans="1:15" s="132" customFormat="1" ht="12" customHeight="1" x14ac:dyDescent="0.2">
      <c r="A62" s="157"/>
      <c r="B62" s="133" t="s">
        <v>20</v>
      </c>
      <c r="C62" s="134"/>
      <c r="D62" s="134"/>
      <c r="E62" s="134"/>
      <c r="F62" s="134"/>
      <c r="G62" s="78"/>
      <c r="H62" s="327"/>
      <c r="I62" s="328"/>
      <c r="J62" s="328"/>
      <c r="K62" s="328"/>
      <c r="L62" s="328"/>
      <c r="M62" s="328"/>
      <c r="N62" s="310">
        <f>N60+N55+N50+N34+N45+N39+N29</f>
        <v>0</v>
      </c>
      <c r="O62" s="186" t="e">
        <f>N62/N151</f>
        <v>#DIV/0!</v>
      </c>
    </row>
    <row r="63" spans="1:15" ht="12" customHeight="1" x14ac:dyDescent="0.2">
      <c r="B63" s="130"/>
      <c r="G63" s="52"/>
      <c r="H63" s="324"/>
      <c r="I63" s="313"/>
      <c r="J63" s="313"/>
      <c r="K63" s="313"/>
      <c r="L63" s="313"/>
      <c r="M63" s="313"/>
      <c r="N63" s="308"/>
      <c r="O63" s="185"/>
    </row>
    <row r="64" spans="1:15" ht="12" customHeight="1" x14ac:dyDescent="0.2">
      <c r="A64" s="129" t="s">
        <v>124</v>
      </c>
      <c r="B64" s="88" t="s">
        <v>121</v>
      </c>
      <c r="H64" s="324"/>
      <c r="I64" s="311"/>
      <c r="J64" s="311"/>
      <c r="K64" s="311"/>
      <c r="L64" s="311"/>
      <c r="M64" s="311"/>
      <c r="N64" s="311"/>
      <c r="O64" s="187"/>
    </row>
    <row r="65" spans="1:15" ht="12" customHeight="1" x14ac:dyDescent="0.2">
      <c r="A65" s="129" t="s">
        <v>125</v>
      </c>
      <c r="B65" s="88" t="s">
        <v>122</v>
      </c>
      <c r="H65" s="324"/>
      <c r="I65" s="311"/>
      <c r="J65" s="311"/>
      <c r="K65" s="311"/>
      <c r="L65" s="311"/>
      <c r="M65" s="311"/>
      <c r="N65" s="311"/>
      <c r="O65" s="187"/>
    </row>
    <row r="66" spans="1:15" ht="12" customHeight="1" x14ac:dyDescent="0.2">
      <c r="A66" s="129" t="s">
        <v>126</v>
      </c>
      <c r="B66" s="88" t="s">
        <v>189</v>
      </c>
      <c r="G66" s="97" t="s">
        <v>123</v>
      </c>
      <c r="H66" s="308">
        <f>(H32)*100/20000</f>
        <v>0</v>
      </c>
      <c r="I66" s="323">
        <f>VLOOKUP(A66,'[1]TAB OGU JUN18'!$A:$G,6,"falso")</f>
        <v>5.52</v>
      </c>
      <c r="J66" s="323">
        <f>VLOOKUP(A66,'[1]TAB OGU JUN18'!$A:$G,4,"falso")</f>
        <v>5.52</v>
      </c>
      <c r="K66" s="308">
        <f>H66*J66</f>
        <v>0</v>
      </c>
      <c r="L66" s="323">
        <f>VLOOKUP(A66,'[1]TAB OGU JUN18'!$A:$G,5,"falso")</f>
        <v>0</v>
      </c>
      <c r="M66" s="308"/>
      <c r="N66" s="308">
        <f>H66*I66</f>
        <v>0</v>
      </c>
      <c r="O66" s="185" t="e">
        <f>N66/N68</f>
        <v>#DIV/0!</v>
      </c>
    </row>
    <row r="67" spans="1:15" ht="12" customHeight="1" x14ac:dyDescent="0.2">
      <c r="B67" s="130"/>
      <c r="G67" s="52"/>
      <c r="H67" s="324"/>
      <c r="I67" s="313"/>
      <c r="J67" s="313"/>
      <c r="K67" s="313"/>
      <c r="L67" s="313"/>
      <c r="M67" s="313"/>
      <c r="N67" s="308"/>
      <c r="O67" s="185"/>
    </row>
    <row r="68" spans="1:15" ht="12" customHeight="1" x14ac:dyDescent="0.2">
      <c r="B68" s="130" t="s">
        <v>18</v>
      </c>
      <c r="C68" s="131"/>
      <c r="D68" s="131"/>
      <c r="E68" s="131"/>
      <c r="F68" s="131"/>
      <c r="G68" s="53"/>
      <c r="H68" s="325"/>
      <c r="I68" s="326"/>
      <c r="J68" s="326"/>
      <c r="K68" s="326"/>
      <c r="L68" s="326"/>
      <c r="M68" s="326"/>
      <c r="N68" s="308">
        <f>N66</f>
        <v>0</v>
      </c>
      <c r="O68" s="185" t="e">
        <f>N68/N70</f>
        <v>#DIV/0!</v>
      </c>
    </row>
    <row r="69" spans="1:15" ht="12" customHeight="1" x14ac:dyDescent="0.2">
      <c r="B69" s="130"/>
      <c r="G69" s="52"/>
      <c r="H69" s="324"/>
      <c r="I69" s="313"/>
      <c r="J69" s="313"/>
      <c r="K69" s="313"/>
      <c r="L69" s="313"/>
      <c r="M69" s="313"/>
      <c r="N69" s="308"/>
      <c r="O69" s="185"/>
    </row>
    <row r="70" spans="1:15" s="132" customFormat="1" ht="12" customHeight="1" x14ac:dyDescent="0.2">
      <c r="A70" s="157"/>
      <c r="B70" s="133" t="s">
        <v>20</v>
      </c>
      <c r="C70" s="134"/>
      <c r="D70" s="134"/>
      <c r="E70" s="134"/>
      <c r="F70" s="134"/>
      <c r="G70" s="78"/>
      <c r="H70" s="327"/>
      <c r="I70" s="328"/>
      <c r="J70" s="328"/>
      <c r="K70" s="328"/>
      <c r="L70" s="328"/>
      <c r="M70" s="328"/>
      <c r="N70" s="310">
        <f>N68</f>
        <v>0</v>
      </c>
      <c r="O70" s="186" t="e">
        <f>N70/N151</f>
        <v>#DIV/0!</v>
      </c>
    </row>
    <row r="71" spans="1:15" ht="12" customHeight="1" x14ac:dyDescent="0.2">
      <c r="A71" s="291"/>
      <c r="B71" s="576"/>
      <c r="C71" s="576"/>
      <c r="D71" s="576"/>
      <c r="E71" s="576"/>
      <c r="F71" s="576"/>
      <c r="G71" s="577"/>
      <c r="H71" s="641"/>
      <c r="I71" s="330"/>
      <c r="J71" s="311"/>
      <c r="K71" s="311"/>
      <c r="L71" s="311"/>
      <c r="M71" s="311"/>
      <c r="N71" s="296"/>
      <c r="O71" s="297"/>
    </row>
    <row r="72" spans="1:15" ht="12" customHeight="1" x14ac:dyDescent="0.2">
      <c r="A72" s="256" t="s">
        <v>308</v>
      </c>
      <c r="B72" s="834" t="s">
        <v>309</v>
      </c>
      <c r="C72" s="834"/>
      <c r="D72" s="834"/>
      <c r="E72" s="834"/>
      <c r="F72" s="834"/>
      <c r="G72" s="577"/>
      <c r="H72" s="652"/>
      <c r="I72" s="367"/>
      <c r="J72" s="367"/>
      <c r="K72" s="367"/>
      <c r="L72" s="311"/>
      <c r="M72" s="311"/>
      <c r="N72" s="311"/>
      <c r="O72" s="219"/>
    </row>
    <row r="73" spans="1:15" ht="11.25" customHeight="1" x14ac:dyDescent="0.2">
      <c r="A73" s="256" t="s">
        <v>310</v>
      </c>
      <c r="B73" s="834" t="s">
        <v>311</v>
      </c>
      <c r="C73" s="834"/>
      <c r="D73" s="834"/>
      <c r="E73" s="834"/>
      <c r="F73" s="834"/>
      <c r="G73" s="577"/>
      <c r="H73" s="652"/>
      <c r="I73" s="333"/>
      <c r="J73" s="313"/>
      <c r="K73" s="313"/>
      <c r="L73" s="313"/>
      <c r="M73" s="313"/>
      <c r="N73" s="333"/>
      <c r="O73" s="299"/>
    </row>
    <row r="74" spans="1:15" ht="12.75" x14ac:dyDescent="0.2">
      <c r="A74" s="140" t="s">
        <v>312</v>
      </c>
      <c r="B74" s="200" t="s">
        <v>313</v>
      </c>
      <c r="C74" s="200"/>
      <c r="D74" s="200"/>
      <c r="E74" s="200"/>
      <c r="F74" s="200"/>
      <c r="G74" s="163" t="s">
        <v>17</v>
      </c>
      <c r="H74" s="293">
        <f>H79*0.8</f>
        <v>0</v>
      </c>
      <c r="I74" s="323">
        <f>VLOOKUP(A74,'[1]TAB OGU JUN18'!$A:$G,6,"falso")</f>
        <v>51.95</v>
      </c>
      <c r="J74" s="323">
        <f>VLOOKUP(A74,'[1]TAB OGU JUN18'!$A:$G,4,"falso")</f>
        <v>51.95</v>
      </c>
      <c r="K74" s="308">
        <f>H74*J74</f>
        <v>0</v>
      </c>
      <c r="L74" s="323">
        <f>VLOOKUP(A74,'[1]TAB OGU JUN18'!$A:$G,5,"falso")</f>
        <v>0</v>
      </c>
      <c r="M74" s="374"/>
      <c r="N74" s="308">
        <f>H74*I74</f>
        <v>0</v>
      </c>
      <c r="O74" s="424" t="e">
        <f>N74/N76</f>
        <v>#DIV/0!</v>
      </c>
    </row>
    <row r="75" spans="1:15" ht="11.25" customHeight="1" x14ac:dyDescent="0.2">
      <c r="A75" s="256"/>
      <c r="B75" s="576"/>
      <c r="C75" s="576"/>
      <c r="D75" s="576"/>
      <c r="E75" s="576"/>
      <c r="F75" s="576"/>
      <c r="G75" s="139"/>
      <c r="H75" s="293"/>
      <c r="I75" s="189"/>
      <c r="J75" s="308"/>
      <c r="K75" s="308"/>
      <c r="L75" s="308"/>
      <c r="M75" s="308"/>
      <c r="N75" s="189"/>
      <c r="O75" s="300"/>
    </row>
    <row r="76" spans="1:15" ht="11.25" customHeight="1" x14ac:dyDescent="0.2">
      <c r="A76" s="291"/>
      <c r="B76" s="155" t="s">
        <v>18</v>
      </c>
      <c r="C76" s="160"/>
      <c r="D76" s="160"/>
      <c r="E76" s="160"/>
      <c r="F76" s="144"/>
      <c r="G76" s="161"/>
      <c r="H76" s="656"/>
      <c r="I76" s="334"/>
      <c r="J76" s="334"/>
      <c r="K76" s="334"/>
      <c r="L76" s="334"/>
      <c r="M76" s="334"/>
      <c r="N76" s="315">
        <f>SUM(N74:N75)</f>
        <v>0</v>
      </c>
      <c r="O76" s="301" t="e">
        <f>N76/N104</f>
        <v>#DIV/0!</v>
      </c>
    </row>
    <row r="77" spans="1:15" ht="11.25" customHeight="1" x14ac:dyDescent="0.2">
      <c r="A77" s="291"/>
      <c r="B77" s="576"/>
      <c r="C77" s="576"/>
      <c r="D77" s="576"/>
      <c r="E77" s="576"/>
      <c r="F77" s="576"/>
      <c r="G77" s="577"/>
      <c r="H77" s="652"/>
      <c r="I77" s="333"/>
      <c r="J77" s="313"/>
      <c r="K77" s="313"/>
      <c r="L77" s="313"/>
      <c r="M77" s="313"/>
      <c r="N77" s="189"/>
      <c r="O77" s="300"/>
    </row>
    <row r="78" spans="1:15" ht="11.25" customHeight="1" x14ac:dyDescent="0.2">
      <c r="A78" s="256" t="s">
        <v>626</v>
      </c>
      <c r="B78" s="142" t="s">
        <v>627</v>
      </c>
      <c r="C78" s="142"/>
      <c r="D78" s="142"/>
      <c r="E78" s="142"/>
      <c r="F78" s="142"/>
      <c r="G78" s="577"/>
      <c r="H78" s="652"/>
      <c r="I78" s="333"/>
      <c r="J78" s="313"/>
      <c r="K78" s="313"/>
      <c r="L78" s="313"/>
      <c r="M78" s="313"/>
      <c r="N78" s="333"/>
      <c r="O78" s="299"/>
    </row>
    <row r="79" spans="1:15" ht="11.25" customHeight="1" x14ac:dyDescent="0.2">
      <c r="A79" s="256" t="s">
        <v>628</v>
      </c>
      <c r="B79" s="200" t="s">
        <v>629</v>
      </c>
      <c r="C79" s="142"/>
      <c r="D79" s="142"/>
      <c r="E79" s="142"/>
      <c r="F79" s="142"/>
      <c r="G79" s="139" t="s">
        <v>24</v>
      </c>
      <c r="H79" s="293">
        <v>0</v>
      </c>
      <c r="I79" s="323">
        <f>VLOOKUP(A79,'[1]TAB OGU JUN18'!$A:$G,6,"falso")</f>
        <v>59.33</v>
      </c>
      <c r="J79" s="323">
        <f>VLOOKUP(A79,'[1]TAB OGU JUN18'!$A:$G,4,"falso")</f>
        <v>59.33</v>
      </c>
      <c r="K79" s="308">
        <f>H79*J79</f>
        <v>0</v>
      </c>
      <c r="L79" s="323">
        <f>VLOOKUP(A79,'[1]TAB OGU JUN18'!$A:$G,5,"falso")</f>
        <v>0</v>
      </c>
      <c r="M79" s="308"/>
      <c r="N79" s="315">
        <f>H79*I79</f>
        <v>0</v>
      </c>
      <c r="O79" s="192" t="e">
        <f>N79/N81</f>
        <v>#DIV/0!</v>
      </c>
    </row>
    <row r="80" spans="1:15" ht="11.25" customHeight="1" x14ac:dyDescent="0.2">
      <c r="A80" s="256"/>
      <c r="B80" s="576"/>
      <c r="C80" s="576"/>
      <c r="D80" s="576"/>
      <c r="E80" s="576"/>
      <c r="F80" s="576"/>
      <c r="G80" s="139"/>
      <c r="H80" s="293"/>
      <c r="I80" s="189"/>
      <c r="J80" s="308"/>
      <c r="K80" s="308"/>
      <c r="L80" s="308"/>
      <c r="M80" s="308"/>
      <c r="N80" s="189"/>
      <c r="O80" s="300"/>
    </row>
    <row r="81" spans="1:15" ht="11.25" customHeight="1" x14ac:dyDescent="0.2">
      <c r="A81" s="291"/>
      <c r="B81" s="155" t="s">
        <v>18</v>
      </c>
      <c r="C81" s="160"/>
      <c r="D81" s="160"/>
      <c r="E81" s="160"/>
      <c r="F81" s="144"/>
      <c r="G81" s="161"/>
      <c r="H81" s="656"/>
      <c r="I81" s="334"/>
      <c r="J81" s="334"/>
      <c r="K81" s="334"/>
      <c r="L81" s="334"/>
      <c r="M81" s="334"/>
      <c r="N81" s="315">
        <f>SUM(N79:N80)</f>
        <v>0</v>
      </c>
      <c r="O81" s="301" t="e">
        <f>N81/N104</f>
        <v>#DIV/0!</v>
      </c>
    </row>
    <row r="82" spans="1:15" ht="11.25" customHeight="1" x14ac:dyDescent="0.2">
      <c r="A82" s="291"/>
      <c r="B82" s="576"/>
      <c r="C82" s="576"/>
      <c r="D82" s="576"/>
      <c r="E82" s="576"/>
      <c r="F82" s="576"/>
      <c r="G82" s="577"/>
      <c r="H82" s="652"/>
      <c r="I82" s="333"/>
      <c r="J82" s="313"/>
      <c r="K82" s="313"/>
      <c r="L82" s="313"/>
      <c r="M82" s="313"/>
      <c r="N82" s="189"/>
      <c r="O82" s="300"/>
    </row>
    <row r="83" spans="1:15" ht="12" customHeight="1" x14ac:dyDescent="0.2">
      <c r="A83" s="256" t="s">
        <v>679</v>
      </c>
      <c r="B83" s="142" t="s">
        <v>681</v>
      </c>
      <c r="C83" s="142"/>
      <c r="D83" s="142"/>
      <c r="E83" s="142"/>
      <c r="F83" s="142"/>
      <c r="G83" s="577"/>
      <c r="H83" s="652"/>
      <c r="I83" s="333"/>
      <c r="J83" s="313"/>
      <c r="K83" s="313"/>
      <c r="L83" s="313"/>
      <c r="M83" s="313"/>
      <c r="N83" s="333"/>
      <c r="O83" s="299"/>
    </row>
    <row r="84" spans="1:15" ht="12" customHeight="1" x14ac:dyDescent="0.2">
      <c r="A84" s="256" t="s">
        <v>680</v>
      </c>
      <c r="B84" s="142" t="s">
        <v>682</v>
      </c>
      <c r="C84" s="142"/>
      <c r="D84" s="142"/>
      <c r="E84" s="142"/>
      <c r="F84" s="142"/>
      <c r="G84" s="139" t="s">
        <v>31</v>
      </c>
      <c r="H84" s="293">
        <v>0</v>
      </c>
      <c r="I84" s="323">
        <f>VLOOKUP(A84,'[1]TAB OGU JUN18'!$A:$G,6,"falso")</f>
        <v>50.16</v>
      </c>
      <c r="J84" s="323">
        <f>VLOOKUP(A84,'[1]TAB OGU JUN18'!$A:$G,4,"falso")</f>
        <v>41.18</v>
      </c>
      <c r="K84" s="308">
        <f>H84*J84</f>
        <v>0</v>
      </c>
      <c r="L84" s="323">
        <f>VLOOKUP(A84,'[1]TAB OGU JUN18'!$A:$G,5,"falso")</f>
        <v>8.98</v>
      </c>
      <c r="M84" s="308">
        <f>H84*L84</f>
        <v>0</v>
      </c>
      <c r="N84" s="308">
        <f>H84*I84</f>
        <v>0</v>
      </c>
      <c r="O84" s="192" t="e">
        <f>N84/N86</f>
        <v>#DIV/0!</v>
      </c>
    </row>
    <row r="85" spans="1:15" ht="12" customHeight="1" x14ac:dyDescent="0.2">
      <c r="A85" s="256"/>
      <c r="B85" s="576"/>
      <c r="C85" s="576"/>
      <c r="D85" s="576"/>
      <c r="E85" s="576"/>
      <c r="F85" s="576"/>
      <c r="G85" s="139"/>
      <c r="H85" s="293"/>
      <c r="I85" s="189"/>
      <c r="J85" s="308"/>
      <c r="K85" s="308"/>
      <c r="L85" s="308"/>
      <c r="M85" s="308"/>
      <c r="N85" s="189"/>
      <c r="O85" s="300"/>
    </row>
    <row r="86" spans="1:15" ht="12" customHeight="1" x14ac:dyDescent="0.2">
      <c r="A86" s="291"/>
      <c r="B86" s="155" t="s">
        <v>18</v>
      </c>
      <c r="C86" s="160"/>
      <c r="D86" s="160"/>
      <c r="E86" s="160"/>
      <c r="F86" s="144"/>
      <c r="G86" s="161"/>
      <c r="H86" s="656"/>
      <c r="I86" s="334"/>
      <c r="J86" s="334"/>
      <c r="K86" s="334"/>
      <c r="L86" s="334"/>
      <c r="M86" s="334"/>
      <c r="N86" s="315">
        <f>SUM(N84:N85)</f>
        <v>0</v>
      </c>
      <c r="O86" s="301" t="e">
        <f>N86/N104</f>
        <v>#DIV/0!</v>
      </c>
    </row>
    <row r="87" spans="1:15" ht="12" customHeight="1" x14ac:dyDescent="0.2">
      <c r="A87" s="291"/>
      <c r="B87" s="576"/>
      <c r="C87" s="576"/>
      <c r="D87" s="576"/>
      <c r="E87" s="576"/>
      <c r="F87" s="576"/>
      <c r="G87" s="577"/>
      <c r="H87" s="652"/>
      <c r="I87" s="333"/>
      <c r="J87" s="313"/>
      <c r="K87" s="313"/>
      <c r="L87" s="313"/>
      <c r="M87" s="313"/>
      <c r="N87" s="189"/>
      <c r="O87" s="300"/>
    </row>
    <row r="88" spans="1:15" ht="11.25" customHeight="1" x14ac:dyDescent="0.2">
      <c r="A88" s="256" t="s">
        <v>314</v>
      </c>
      <c r="B88" s="142" t="s">
        <v>315</v>
      </c>
      <c r="C88" s="142"/>
      <c r="D88" s="142"/>
      <c r="E88" s="142"/>
      <c r="F88" s="142"/>
      <c r="G88" s="577"/>
      <c r="H88" s="652"/>
      <c r="I88" s="333"/>
      <c r="J88" s="313"/>
      <c r="K88" s="313"/>
      <c r="L88" s="313"/>
      <c r="M88" s="313"/>
      <c r="N88" s="333"/>
      <c r="O88" s="299"/>
    </row>
    <row r="89" spans="1:15" ht="11.25" customHeight="1" x14ac:dyDescent="0.2">
      <c r="A89" s="256" t="s">
        <v>685</v>
      </c>
      <c r="B89" s="200" t="s">
        <v>640</v>
      </c>
      <c r="C89" s="142"/>
      <c r="D89" s="142"/>
      <c r="E89" s="142"/>
      <c r="F89" s="142"/>
      <c r="G89" s="139" t="s">
        <v>31</v>
      </c>
      <c r="H89" s="293">
        <v>0</v>
      </c>
      <c r="I89" s="323">
        <f>VLOOKUP(A89,'[1]TAB OGU JUN18'!$A:$G,6,"falso")</f>
        <v>67.22</v>
      </c>
      <c r="J89" s="323">
        <f>VLOOKUP(A89,'[1]TAB OGU JUN18'!$A:$G,4,"falso")</f>
        <v>41.18</v>
      </c>
      <c r="K89" s="308">
        <f>H89*J89</f>
        <v>0</v>
      </c>
      <c r="L89" s="323">
        <f>VLOOKUP(A89,'[1]TAB OGU JUN18'!$A:$G,5,"falso")</f>
        <v>26.04</v>
      </c>
      <c r="M89" s="374">
        <f>H89*L89</f>
        <v>0</v>
      </c>
      <c r="N89" s="315">
        <f>H89*I89</f>
        <v>0</v>
      </c>
      <c r="O89" s="192" t="e">
        <f>N89/N91</f>
        <v>#DIV/0!</v>
      </c>
    </row>
    <row r="90" spans="1:15" ht="11.25" customHeight="1" x14ac:dyDescent="0.2">
      <c r="A90" s="256"/>
      <c r="B90" s="576"/>
      <c r="C90" s="576"/>
      <c r="D90" s="576"/>
      <c r="E90" s="576"/>
      <c r="F90" s="576"/>
      <c r="G90" s="139"/>
      <c r="H90" s="293"/>
      <c r="I90" s="189"/>
      <c r="J90" s="308"/>
      <c r="K90" s="308"/>
      <c r="L90" s="308"/>
      <c r="M90" s="308"/>
      <c r="N90" s="189"/>
      <c r="O90" s="300"/>
    </row>
    <row r="91" spans="1:15" ht="11.25" customHeight="1" x14ac:dyDescent="0.2">
      <c r="A91" s="291"/>
      <c r="B91" s="155" t="s">
        <v>18</v>
      </c>
      <c r="C91" s="160"/>
      <c r="D91" s="160"/>
      <c r="E91" s="160"/>
      <c r="F91" s="144"/>
      <c r="G91" s="161"/>
      <c r="H91" s="656"/>
      <c r="I91" s="334"/>
      <c r="J91" s="334"/>
      <c r="K91" s="334"/>
      <c r="L91" s="334"/>
      <c r="M91" s="334"/>
      <c r="N91" s="315">
        <f>SUM(N89:N90)</f>
        <v>0</v>
      </c>
      <c r="O91" s="301" t="e">
        <f>N91/N104</f>
        <v>#DIV/0!</v>
      </c>
    </row>
    <row r="92" spans="1:15" ht="11.25" customHeight="1" x14ac:dyDescent="0.2">
      <c r="A92" s="291"/>
      <c r="B92" s="576"/>
      <c r="C92" s="576"/>
      <c r="D92" s="576"/>
      <c r="E92" s="576"/>
      <c r="F92" s="576"/>
      <c r="G92" s="577"/>
      <c r="H92" s="652"/>
      <c r="I92" s="333"/>
      <c r="J92" s="313"/>
      <c r="K92" s="313"/>
      <c r="L92" s="313"/>
      <c r="M92" s="313"/>
      <c r="N92" s="189"/>
      <c r="O92" s="300"/>
    </row>
    <row r="93" spans="1:15" ht="12" customHeight="1" x14ac:dyDescent="0.2">
      <c r="A93" s="256" t="s">
        <v>321</v>
      </c>
      <c r="B93" s="834" t="s">
        <v>322</v>
      </c>
      <c r="C93" s="834"/>
      <c r="D93" s="834"/>
      <c r="E93" s="834"/>
      <c r="F93" s="834"/>
      <c r="G93" s="577"/>
      <c r="H93" s="652"/>
      <c r="I93" s="333"/>
      <c r="J93" s="313"/>
      <c r="K93" s="313"/>
      <c r="L93" s="313"/>
      <c r="M93" s="313"/>
      <c r="N93" s="333"/>
      <c r="O93" s="299"/>
    </row>
    <row r="94" spans="1:15" ht="12" customHeight="1" x14ac:dyDescent="0.2">
      <c r="A94" s="256" t="s">
        <v>323</v>
      </c>
      <c r="B94" s="834" t="s">
        <v>324</v>
      </c>
      <c r="C94" s="834"/>
      <c r="D94" s="834"/>
      <c r="E94" s="834"/>
      <c r="F94" s="834"/>
      <c r="G94" s="139" t="s">
        <v>325</v>
      </c>
      <c r="H94" s="293">
        <f>H100*80*0.98</f>
        <v>0</v>
      </c>
      <c r="I94" s="323">
        <f>VLOOKUP(A94,'[1]TAB OGU JUN18'!$A:$G,6,"falso")</f>
        <v>5.01</v>
      </c>
      <c r="J94" s="323">
        <f>VLOOKUP(A94,'[1]TAB OGU JUN18'!$A:$G,4,"falso")</f>
        <v>2.4500000000000002</v>
      </c>
      <c r="K94" s="308">
        <f>H94*J94</f>
        <v>0</v>
      </c>
      <c r="L94" s="323">
        <f>VLOOKUP(A94,'[1]TAB OGU JUN18'!$A:$G,5,"falso")</f>
        <v>2.56</v>
      </c>
      <c r="M94" s="308">
        <f>H94*L94</f>
        <v>0</v>
      </c>
      <c r="N94" s="308">
        <f>H94*I94</f>
        <v>0</v>
      </c>
      <c r="O94" s="192" t="e">
        <f>N94/N97</f>
        <v>#DIV/0!</v>
      </c>
    </row>
    <row r="95" spans="1:15" ht="12" customHeight="1" x14ac:dyDescent="0.2">
      <c r="A95" s="256" t="s">
        <v>326</v>
      </c>
      <c r="B95" s="834" t="s">
        <v>327</v>
      </c>
      <c r="C95" s="834"/>
      <c r="D95" s="834"/>
      <c r="E95" s="834"/>
      <c r="F95" s="834"/>
      <c r="G95" s="139" t="s">
        <v>325</v>
      </c>
      <c r="H95" s="293">
        <f>H100*80*0.02</f>
        <v>0</v>
      </c>
      <c r="I95" s="323">
        <f>VLOOKUP(A95,'[1]TAB OGU JUN18'!$A:$G,6,"falso")</f>
        <v>8.01</v>
      </c>
      <c r="J95" s="323">
        <f>VLOOKUP(A95,'[1]TAB OGU JUN18'!$A:$G,4,"falso")</f>
        <v>3.68</v>
      </c>
      <c r="K95" s="308">
        <f>H95*J95</f>
        <v>0</v>
      </c>
      <c r="L95" s="323">
        <f>VLOOKUP(A95,'[1]TAB OGU JUN18'!$A:$G,5,"falso")</f>
        <v>4.33</v>
      </c>
      <c r="M95" s="308">
        <f>H95*L95</f>
        <v>0</v>
      </c>
      <c r="N95" s="308">
        <f>H95*I95</f>
        <v>0</v>
      </c>
      <c r="O95" s="192" t="e">
        <f>N95/N97</f>
        <v>#DIV/0!</v>
      </c>
    </row>
    <row r="96" spans="1:15" ht="12" customHeight="1" x14ac:dyDescent="0.2">
      <c r="A96" s="256"/>
      <c r="B96" s="576"/>
      <c r="C96" s="576"/>
      <c r="D96" s="576"/>
      <c r="E96" s="576"/>
      <c r="F96" s="576"/>
      <c r="G96" s="139"/>
      <c r="H96" s="293"/>
      <c r="I96" s="189"/>
      <c r="J96" s="308"/>
      <c r="K96" s="308"/>
      <c r="L96" s="308"/>
      <c r="M96" s="308"/>
      <c r="N96" s="189"/>
      <c r="O96" s="300"/>
    </row>
    <row r="97" spans="1:16" ht="12" customHeight="1" x14ac:dyDescent="0.2">
      <c r="A97" s="291"/>
      <c r="B97" s="155" t="s">
        <v>18</v>
      </c>
      <c r="C97" s="160"/>
      <c r="D97" s="160"/>
      <c r="E97" s="160"/>
      <c r="F97" s="144"/>
      <c r="G97" s="161"/>
      <c r="H97" s="656"/>
      <c r="I97" s="334"/>
      <c r="J97" s="334"/>
      <c r="K97" s="334"/>
      <c r="L97" s="334"/>
      <c r="M97" s="334"/>
      <c r="N97" s="315">
        <f>SUM(N94:N96)</f>
        <v>0</v>
      </c>
      <c r="O97" s="301" t="e">
        <f>N97/N104</f>
        <v>#DIV/0!</v>
      </c>
    </row>
    <row r="98" spans="1:16" ht="12" customHeight="1" x14ac:dyDescent="0.2">
      <c r="A98" s="291"/>
      <c r="B98" s="576"/>
      <c r="C98" s="576"/>
      <c r="D98" s="576"/>
      <c r="E98" s="576"/>
      <c r="F98" s="576"/>
      <c r="G98" s="162"/>
      <c r="H98" s="641"/>
      <c r="I98" s="333"/>
      <c r="J98" s="313"/>
      <c r="K98" s="313"/>
      <c r="L98" s="313"/>
      <c r="M98" s="313"/>
      <c r="N98" s="189"/>
      <c r="O98" s="300"/>
    </row>
    <row r="99" spans="1:16" ht="12" customHeight="1" x14ac:dyDescent="0.2">
      <c r="A99" s="256" t="s">
        <v>328</v>
      </c>
      <c r="B99" s="834" t="s">
        <v>329</v>
      </c>
      <c r="C99" s="834"/>
      <c r="D99" s="834"/>
      <c r="E99" s="834"/>
      <c r="F99" s="834"/>
      <c r="G99" s="162"/>
      <c r="H99" s="641"/>
      <c r="I99" s="333"/>
      <c r="J99" s="313"/>
      <c r="K99" s="313"/>
      <c r="L99" s="313"/>
      <c r="M99" s="313"/>
      <c r="N99" s="333"/>
      <c r="O99" s="299"/>
    </row>
    <row r="100" spans="1:16" ht="12" customHeight="1" x14ac:dyDescent="0.2">
      <c r="A100" s="256" t="s">
        <v>677</v>
      </c>
      <c r="B100" s="834" t="s">
        <v>676</v>
      </c>
      <c r="C100" s="834"/>
      <c r="D100" s="834"/>
      <c r="E100" s="834"/>
      <c r="F100" s="834"/>
      <c r="G100" s="139" t="s">
        <v>32</v>
      </c>
      <c r="H100" s="189">
        <v>0</v>
      </c>
      <c r="I100" s="323">
        <f>VLOOKUP(A100,'[1]TAB OGU JUN18'!$A:$G,6,"falso")</f>
        <v>542.5</v>
      </c>
      <c r="J100" s="323">
        <f>VLOOKUP(A100,'[1]TAB OGU JUN18'!$A:$G,4,"falso")</f>
        <v>284.58999999999997</v>
      </c>
      <c r="K100" s="308">
        <f>H100*J100</f>
        <v>0</v>
      </c>
      <c r="L100" s="323">
        <f>VLOOKUP(A100,'[1]TAB OGU JUN18'!$A:$G,5,"falso")</f>
        <v>257.91000000000003</v>
      </c>
      <c r="M100" s="308">
        <f>H100*L100</f>
        <v>0</v>
      </c>
      <c r="N100" s="308">
        <f>H100*I100</f>
        <v>0</v>
      </c>
      <c r="O100" s="192" t="e">
        <f>N100/N102</f>
        <v>#DIV/0!</v>
      </c>
    </row>
    <row r="101" spans="1:16" ht="12" customHeight="1" x14ac:dyDescent="0.2">
      <c r="A101" s="292"/>
      <c r="B101" s="578"/>
      <c r="C101" s="578"/>
      <c r="D101" s="578"/>
      <c r="E101" s="578"/>
      <c r="F101" s="578"/>
      <c r="G101" s="163"/>
      <c r="H101" s="293"/>
      <c r="I101" s="293"/>
      <c r="J101" s="308"/>
      <c r="K101" s="308"/>
      <c r="L101" s="308"/>
      <c r="M101" s="308"/>
      <c r="N101" s="293"/>
      <c r="O101" s="320"/>
    </row>
    <row r="102" spans="1:16" ht="12" customHeight="1" x14ac:dyDescent="0.2">
      <c r="A102" s="291"/>
      <c r="B102" s="155" t="s">
        <v>18</v>
      </c>
      <c r="C102" s="160"/>
      <c r="D102" s="160"/>
      <c r="E102" s="160"/>
      <c r="F102" s="144"/>
      <c r="G102" s="161"/>
      <c r="H102" s="656"/>
      <c r="I102" s="334"/>
      <c r="J102" s="334"/>
      <c r="K102" s="334"/>
      <c r="L102" s="334"/>
      <c r="M102" s="334"/>
      <c r="N102" s="315">
        <f>SUM(N100:N101)</f>
        <v>0</v>
      </c>
      <c r="O102" s="301" t="e">
        <f>N102/N104</f>
        <v>#DIV/0!</v>
      </c>
    </row>
    <row r="103" spans="1:16" ht="12" customHeight="1" x14ac:dyDescent="0.2">
      <c r="A103" s="291"/>
      <c r="B103" s="834"/>
      <c r="C103" s="834"/>
      <c r="D103" s="834"/>
      <c r="E103" s="834"/>
      <c r="F103" s="834"/>
      <c r="G103" s="577"/>
      <c r="H103" s="641"/>
      <c r="I103" s="333"/>
      <c r="J103" s="313"/>
      <c r="K103" s="313"/>
      <c r="L103" s="313"/>
      <c r="M103" s="313"/>
      <c r="N103" s="189"/>
      <c r="O103" s="300"/>
    </row>
    <row r="104" spans="1:16" ht="12" customHeight="1" x14ac:dyDescent="0.2">
      <c r="A104" s="294"/>
      <c r="B104" s="165" t="s">
        <v>20</v>
      </c>
      <c r="C104" s="166"/>
      <c r="D104" s="166"/>
      <c r="E104" s="166"/>
      <c r="F104" s="167"/>
      <c r="G104" s="168"/>
      <c r="H104" s="659"/>
      <c r="I104" s="368"/>
      <c r="J104" s="368"/>
      <c r="K104" s="368"/>
      <c r="L104" s="368"/>
      <c r="M104" s="368"/>
      <c r="N104" s="369">
        <f>N76+N81+N86+N91+N97+N102</f>
        <v>0</v>
      </c>
      <c r="O104" s="321" t="e">
        <f>N104/N151</f>
        <v>#DIV/0!</v>
      </c>
    </row>
    <row r="105" spans="1:16" ht="12" customHeight="1" x14ac:dyDescent="0.2">
      <c r="A105" s="294"/>
      <c r="B105" s="165"/>
      <c r="C105" s="165"/>
      <c r="D105" s="165"/>
      <c r="E105" s="165"/>
      <c r="F105" s="480"/>
      <c r="G105" s="481"/>
      <c r="H105" s="661"/>
      <c r="I105" s="482"/>
      <c r="J105" s="482"/>
      <c r="K105" s="482"/>
      <c r="L105" s="482"/>
      <c r="M105" s="482"/>
      <c r="N105" s="369"/>
      <c r="O105" s="321"/>
    </row>
    <row r="106" spans="1:16" ht="12" customHeight="1" x14ac:dyDescent="0.2">
      <c r="A106" s="256" t="s">
        <v>127</v>
      </c>
      <c r="B106" s="834" t="s">
        <v>953</v>
      </c>
      <c r="C106" s="834"/>
      <c r="D106" s="834"/>
      <c r="E106" s="834"/>
      <c r="F106" s="834"/>
      <c r="G106" s="162"/>
      <c r="H106" s="641"/>
      <c r="I106" s="333"/>
      <c r="J106" s="313"/>
      <c r="K106" s="313"/>
      <c r="L106" s="313"/>
      <c r="M106" s="313"/>
      <c r="N106" s="333"/>
      <c r="O106" s="299"/>
    </row>
    <row r="107" spans="1:16" ht="12" customHeight="1" x14ac:dyDescent="0.2">
      <c r="A107" s="256" t="s">
        <v>128</v>
      </c>
      <c r="B107" s="834" t="s">
        <v>943</v>
      </c>
      <c r="C107" s="834"/>
      <c r="D107" s="834"/>
      <c r="E107" s="834"/>
      <c r="F107" s="834"/>
      <c r="G107" s="577"/>
      <c r="H107" s="641"/>
      <c r="I107" s="330"/>
      <c r="J107" s="330"/>
      <c r="K107" s="331"/>
      <c r="L107" s="311"/>
      <c r="M107" s="311"/>
      <c r="N107" s="313"/>
      <c r="O107" s="219"/>
    </row>
    <row r="108" spans="1:16" ht="12.75" x14ac:dyDescent="0.2">
      <c r="A108" s="256" t="s">
        <v>207</v>
      </c>
      <c r="B108" s="834" t="s">
        <v>944</v>
      </c>
      <c r="C108" s="834"/>
      <c r="D108" s="834"/>
      <c r="E108" s="834"/>
      <c r="F108" s="834"/>
      <c r="G108" s="97" t="s">
        <v>17</v>
      </c>
      <c r="H108" s="189">
        <v>0</v>
      </c>
      <c r="I108" s="323">
        <f>VLOOKUP(A108,'[1]TAB OGU JUN18'!$A:$G,6,"falso")</f>
        <v>3.14</v>
      </c>
      <c r="J108" s="323">
        <f>VLOOKUP(A108,'[1]TAB OGU JUN18'!$A:$G,4,"falso")</f>
        <v>3.01</v>
      </c>
      <c r="K108" s="308">
        <f>H108*J108</f>
        <v>0</v>
      </c>
      <c r="L108" s="323">
        <f>VLOOKUP(A108,'[1]TAB OGU JUN18'!$A:$G,5,"falso")</f>
        <v>0.13</v>
      </c>
      <c r="M108" s="308">
        <f>H108*L108</f>
        <v>0</v>
      </c>
      <c r="N108" s="308">
        <f>H108*I108</f>
        <v>0</v>
      </c>
      <c r="O108" s="297" t="e">
        <f>N108/N110</f>
        <v>#DIV/0!</v>
      </c>
      <c r="P108" s="51" t="s">
        <v>634</v>
      </c>
    </row>
    <row r="109" spans="1:16" ht="12" customHeight="1" x14ac:dyDescent="0.2">
      <c r="A109" s="256"/>
      <c r="B109" s="576"/>
      <c r="C109" s="576"/>
      <c r="D109" s="576"/>
      <c r="E109" s="576"/>
      <c r="F109" s="576"/>
      <c r="G109" s="139"/>
      <c r="H109" s="189"/>
      <c r="I109" s="296"/>
      <c r="J109" s="296"/>
      <c r="K109" s="296"/>
      <c r="L109" s="296"/>
      <c r="M109" s="296"/>
      <c r="N109" s="189"/>
      <c r="O109" s="297"/>
    </row>
    <row r="110" spans="1:16" ht="12" customHeight="1" x14ac:dyDescent="0.2">
      <c r="A110" s="291"/>
      <c r="B110" s="142" t="s">
        <v>18</v>
      </c>
      <c r="C110" s="143"/>
      <c r="D110" s="143"/>
      <c r="E110" s="143"/>
      <c r="F110" s="143"/>
      <c r="G110" s="173"/>
      <c r="H110" s="663"/>
      <c r="I110" s="336"/>
      <c r="J110" s="336"/>
      <c r="K110" s="336"/>
      <c r="L110" s="336"/>
      <c r="M110" s="336"/>
      <c r="N110" s="189">
        <f>SUM(N108:N109)</f>
        <v>0</v>
      </c>
      <c r="O110" s="297" t="e">
        <f>N110/N112</f>
        <v>#DIV/0!</v>
      </c>
    </row>
    <row r="111" spans="1:16" ht="12" customHeight="1" x14ac:dyDescent="0.2">
      <c r="A111" s="291"/>
      <c r="B111" s="576"/>
      <c r="C111" s="576"/>
      <c r="D111" s="576"/>
      <c r="E111" s="576"/>
      <c r="F111" s="576"/>
      <c r="G111" s="162"/>
      <c r="H111" s="641"/>
      <c r="I111" s="330"/>
      <c r="J111" s="311"/>
      <c r="K111" s="311"/>
      <c r="L111" s="311"/>
      <c r="M111" s="311"/>
      <c r="N111" s="189"/>
      <c r="O111" s="297"/>
    </row>
    <row r="112" spans="1:16" s="132" customFormat="1" ht="12" customHeight="1" x14ac:dyDescent="0.2">
      <c r="A112" s="294"/>
      <c r="B112" s="175" t="s">
        <v>20</v>
      </c>
      <c r="C112" s="176"/>
      <c r="D112" s="176"/>
      <c r="E112" s="176"/>
      <c r="F112" s="176"/>
      <c r="G112" s="178"/>
      <c r="H112" s="666"/>
      <c r="I112" s="338"/>
      <c r="J112" s="338"/>
      <c r="K112" s="338"/>
      <c r="L112" s="338"/>
      <c r="M112" s="338"/>
      <c r="N112" s="295">
        <f>N110</f>
        <v>0</v>
      </c>
      <c r="O112" s="186" t="e">
        <f>N112/N151</f>
        <v>#DIV/0!</v>
      </c>
    </row>
    <row r="113" spans="1:15" ht="12" customHeight="1" x14ac:dyDescent="0.2">
      <c r="A113" s="294"/>
      <c r="B113" s="175"/>
      <c r="C113" s="630"/>
      <c r="D113" s="630"/>
      <c r="E113" s="630"/>
      <c r="F113" s="630"/>
      <c r="G113" s="631"/>
      <c r="H113" s="710"/>
      <c r="I113" s="632"/>
      <c r="J113" s="632"/>
      <c r="K113" s="632"/>
      <c r="L113" s="632"/>
      <c r="M113" s="632"/>
      <c r="N113" s="295"/>
      <c r="O113" s="186"/>
    </row>
    <row r="114" spans="1:15" ht="12" customHeight="1" x14ac:dyDescent="0.2">
      <c r="A114" s="294"/>
      <c r="B114" s="175"/>
      <c r="C114" s="175"/>
      <c r="D114" s="175"/>
      <c r="E114" s="175"/>
      <c r="F114" s="175"/>
      <c r="G114" s="425"/>
      <c r="H114" s="669"/>
      <c r="I114" s="372"/>
      <c r="J114" s="372"/>
      <c r="K114" s="372"/>
      <c r="L114" s="372"/>
      <c r="M114" s="372"/>
      <c r="N114" s="295"/>
      <c r="O114" s="186"/>
    </row>
    <row r="115" spans="1:15" ht="12" hidden="1" customHeight="1" x14ac:dyDescent="0.2">
      <c r="A115" s="256">
        <v>12</v>
      </c>
      <c r="B115" s="834" t="s">
        <v>377</v>
      </c>
      <c r="C115" s="834"/>
      <c r="D115" s="834"/>
      <c r="E115" s="834"/>
      <c r="F115" s="834"/>
      <c r="G115" s="577"/>
      <c r="H115" s="641"/>
      <c r="I115" s="333"/>
      <c r="J115" s="313"/>
      <c r="K115" s="313"/>
      <c r="L115" s="313"/>
      <c r="M115" s="313"/>
      <c r="N115" s="333"/>
      <c r="O115" s="299"/>
    </row>
    <row r="116" spans="1:15" ht="16.5" customHeight="1" x14ac:dyDescent="0.2">
      <c r="A116" s="644" t="s">
        <v>344</v>
      </c>
      <c r="B116" s="837" t="s">
        <v>1376</v>
      </c>
      <c r="C116" s="837"/>
      <c r="D116" s="837"/>
      <c r="E116" s="837"/>
      <c r="F116" s="837"/>
      <c r="G116" s="139"/>
      <c r="H116" s="641"/>
      <c r="I116" s="330"/>
      <c r="J116" s="311"/>
      <c r="K116" s="311"/>
      <c r="L116" s="370"/>
      <c r="M116" s="311"/>
      <c r="N116" s="189"/>
      <c r="O116" s="297"/>
    </row>
    <row r="117" spans="1:15" ht="12" customHeight="1" x14ac:dyDescent="0.2">
      <c r="A117" s="644" t="s">
        <v>346</v>
      </c>
      <c r="B117" s="834" t="s">
        <v>347</v>
      </c>
      <c r="C117" s="834"/>
      <c r="D117" s="834"/>
      <c r="E117" s="834"/>
      <c r="F117" s="834"/>
      <c r="G117" s="139" t="s">
        <v>31</v>
      </c>
      <c r="H117" s="286">
        <v>0</v>
      </c>
      <c r="I117" s="645">
        <f>VLOOKUP($A$117,'[1]TAB OGU JUN18'!$A:$G,6,"falso")</f>
        <v>70.69</v>
      </c>
      <c r="J117" s="645">
        <f>VLOOKUP($A$117,'[1]TAB OGU JUN18'!$A:$G,4,"falso")</f>
        <v>12.86</v>
      </c>
      <c r="K117" s="645">
        <f>J117*H117</f>
        <v>0</v>
      </c>
      <c r="L117" s="645">
        <f>VLOOKUP($A$117,'[1]TAB OGU JUN18'!$A:$G,5,"falso")</f>
        <v>57.83</v>
      </c>
      <c r="M117" s="323">
        <f>L117*H117</f>
        <v>0</v>
      </c>
      <c r="N117" s="286">
        <f>I117*H117</f>
        <v>0</v>
      </c>
      <c r="O117" s="297" t="e">
        <f>N117/N119</f>
        <v>#DIV/0!</v>
      </c>
    </row>
    <row r="118" spans="1:15" ht="12" customHeight="1" x14ac:dyDescent="0.2">
      <c r="A118" s="291"/>
      <c r="B118" s="576"/>
      <c r="C118" s="576"/>
      <c r="D118" s="576"/>
      <c r="E118" s="576"/>
      <c r="F118" s="576"/>
      <c r="G118" s="162"/>
      <c r="H118" s="641"/>
      <c r="I118" s="349"/>
      <c r="J118" s="346"/>
      <c r="K118" s="346"/>
      <c r="L118" s="370"/>
      <c r="M118" s="346"/>
      <c r="N118" s="286"/>
      <c r="O118" s="297"/>
    </row>
    <row r="119" spans="1:15" ht="12" customHeight="1" x14ac:dyDescent="0.2">
      <c r="A119" s="291"/>
      <c r="B119" s="142" t="s">
        <v>18</v>
      </c>
      <c r="C119" s="143"/>
      <c r="D119" s="143"/>
      <c r="E119" s="143"/>
      <c r="F119" s="143"/>
      <c r="G119" s="173"/>
      <c r="H119" s="663"/>
      <c r="I119" s="336"/>
      <c r="J119" s="336"/>
      <c r="K119" s="336"/>
      <c r="L119" s="336"/>
      <c r="M119" s="336"/>
      <c r="N119" s="189">
        <f>SUM(N117:N118)</f>
        <v>0</v>
      </c>
      <c r="O119" s="297" t="e">
        <f>N119/N126</f>
        <v>#DIV/0!</v>
      </c>
    </row>
    <row r="120" spans="1:15" s="132" customFormat="1" ht="12" customHeight="1" x14ac:dyDescent="0.2">
      <c r="A120" s="256"/>
      <c r="B120" s="576"/>
      <c r="C120" s="576"/>
      <c r="D120" s="576"/>
      <c r="E120" s="576"/>
      <c r="F120" s="576"/>
      <c r="G120" s="577"/>
      <c r="H120" s="641"/>
      <c r="I120" s="333"/>
      <c r="J120" s="313"/>
      <c r="K120" s="313"/>
      <c r="L120" s="313"/>
      <c r="M120" s="313"/>
      <c r="N120" s="333"/>
      <c r="O120" s="299"/>
    </row>
    <row r="121" spans="1:15" s="132" customFormat="1" ht="12" customHeight="1" x14ac:dyDescent="0.2">
      <c r="A121" s="256">
        <v>1206</v>
      </c>
      <c r="B121" s="834" t="s">
        <v>647</v>
      </c>
      <c r="C121" s="834"/>
      <c r="D121" s="834"/>
      <c r="E121" s="834"/>
      <c r="F121" s="834"/>
      <c r="G121" s="577"/>
      <c r="H121" s="641"/>
      <c r="I121" s="333"/>
      <c r="J121" s="313"/>
      <c r="K121" s="313"/>
      <c r="L121" s="313"/>
      <c r="M121" s="313"/>
      <c r="N121" s="333"/>
      <c r="O121" s="299"/>
    </row>
    <row r="122" spans="1:15" s="132" customFormat="1" ht="12" customHeight="1" x14ac:dyDescent="0.2">
      <c r="A122" s="256" t="s">
        <v>545</v>
      </c>
      <c r="B122" s="837" t="s">
        <v>1050</v>
      </c>
      <c r="C122" s="837"/>
      <c r="D122" s="837"/>
      <c r="E122" s="837"/>
      <c r="F122" s="837"/>
      <c r="G122" s="163" t="s">
        <v>678</v>
      </c>
      <c r="H122" s="293">
        <f>H14*1.1</f>
        <v>0</v>
      </c>
      <c r="I122" s="323">
        <v>3</v>
      </c>
      <c r="J122" s="323">
        <v>3</v>
      </c>
      <c r="K122" s="308">
        <f>H122*J122</f>
        <v>0</v>
      </c>
      <c r="L122" s="323"/>
      <c r="M122" s="308"/>
      <c r="N122" s="308">
        <f>H122*I122</f>
        <v>0</v>
      </c>
      <c r="O122" s="192" t="e">
        <f>N122/N124</f>
        <v>#DIV/0!</v>
      </c>
    </row>
    <row r="123" spans="1:15" s="132" customFormat="1" ht="12" customHeight="1" x14ac:dyDescent="0.2">
      <c r="A123" s="292"/>
      <c r="B123" s="578"/>
      <c r="C123" s="578"/>
      <c r="D123" s="578"/>
      <c r="E123" s="578"/>
      <c r="F123" s="578"/>
      <c r="G123" s="164"/>
      <c r="H123" s="293"/>
      <c r="I123" s="293"/>
      <c r="J123" s="313"/>
      <c r="K123" s="313"/>
      <c r="L123" s="313"/>
      <c r="M123" s="313"/>
      <c r="N123" s="293"/>
      <c r="O123" s="320"/>
    </row>
    <row r="124" spans="1:15" s="132" customFormat="1" ht="12" customHeight="1" x14ac:dyDescent="0.2">
      <c r="A124" s="291"/>
      <c r="B124" s="155" t="s">
        <v>18</v>
      </c>
      <c r="C124" s="160"/>
      <c r="D124" s="160"/>
      <c r="E124" s="160"/>
      <c r="F124" s="144"/>
      <c r="G124" s="161"/>
      <c r="H124" s="656"/>
      <c r="I124" s="334"/>
      <c r="J124" s="334"/>
      <c r="K124" s="334"/>
      <c r="L124" s="334"/>
      <c r="M124" s="334"/>
      <c r="N124" s="315">
        <f>SUM(N122:N123)</f>
        <v>0</v>
      </c>
      <c r="O124" s="301" t="e">
        <f>N124/N126</f>
        <v>#DIV/0!</v>
      </c>
    </row>
    <row r="125" spans="1:15" s="132" customFormat="1" ht="12" customHeight="1" x14ac:dyDescent="0.2">
      <c r="A125" s="291"/>
      <c r="B125" s="834"/>
      <c r="C125" s="834"/>
      <c r="D125" s="834"/>
      <c r="E125" s="834"/>
      <c r="F125" s="834"/>
      <c r="G125" s="577"/>
      <c r="H125" s="641"/>
      <c r="I125" s="333"/>
      <c r="J125" s="313"/>
      <c r="K125" s="313"/>
      <c r="L125" s="313"/>
      <c r="M125" s="313"/>
      <c r="N125" s="189"/>
      <c r="O125" s="300"/>
    </row>
    <row r="126" spans="1:15" s="132" customFormat="1" ht="12" customHeight="1" x14ac:dyDescent="0.2">
      <c r="A126" s="294"/>
      <c r="B126" s="165" t="s">
        <v>20</v>
      </c>
      <c r="C126" s="166"/>
      <c r="D126" s="166"/>
      <c r="E126" s="166"/>
      <c r="F126" s="167"/>
      <c r="G126" s="168"/>
      <c r="H126" s="659"/>
      <c r="I126" s="368"/>
      <c r="J126" s="368"/>
      <c r="K126" s="368"/>
      <c r="L126" s="368"/>
      <c r="M126" s="368"/>
      <c r="N126" s="369">
        <f>N124+N119</f>
        <v>0</v>
      </c>
      <c r="O126" s="321" t="e">
        <f>N126/N151</f>
        <v>#DIV/0!</v>
      </c>
    </row>
    <row r="127" spans="1:15" s="132" customFormat="1" ht="12" customHeight="1" x14ac:dyDescent="0.2">
      <c r="A127" s="294"/>
      <c r="B127" s="165"/>
      <c r="C127" s="165"/>
      <c r="D127" s="165"/>
      <c r="E127" s="165"/>
      <c r="F127" s="480"/>
      <c r="G127" s="481"/>
      <c r="H127" s="661"/>
      <c r="I127" s="482"/>
      <c r="J127" s="482"/>
      <c r="K127" s="482"/>
      <c r="L127" s="482"/>
      <c r="M127" s="482"/>
      <c r="N127" s="369"/>
      <c r="O127" s="321"/>
    </row>
    <row r="128" spans="1:15" s="132" customFormat="1" ht="12" customHeight="1" x14ac:dyDescent="0.2">
      <c r="A128" s="140">
        <v>1418</v>
      </c>
      <c r="B128" s="834" t="s">
        <v>443</v>
      </c>
      <c r="C128" s="834"/>
      <c r="D128" s="834"/>
      <c r="E128" s="834"/>
      <c r="F128" s="834"/>
      <c r="G128" s="158"/>
      <c r="H128" s="672"/>
      <c r="I128" s="376"/>
      <c r="J128" s="313"/>
      <c r="K128" s="313"/>
      <c r="L128" s="313"/>
      <c r="M128" s="313"/>
      <c r="N128" s="376"/>
      <c r="O128" s="220"/>
    </row>
    <row r="129" spans="1:16" ht="12" customHeight="1" x14ac:dyDescent="0.2">
      <c r="A129" s="140" t="s">
        <v>731</v>
      </c>
      <c r="B129" s="142" t="s">
        <v>730</v>
      </c>
      <c r="C129" s="142"/>
      <c r="D129" s="142"/>
      <c r="E129" s="142"/>
      <c r="F129" s="142"/>
      <c r="G129" s="163" t="s">
        <v>17</v>
      </c>
      <c r="H129" s="189">
        <v>0</v>
      </c>
      <c r="I129" s="323">
        <f>VLOOKUP(A129,'[1]TAB OGU JUN18'!$A:$G,6,"falso")</f>
        <v>121.13</v>
      </c>
      <c r="J129" s="323">
        <f>VLOOKUP(A129,'[1]TAB OGU JUN18'!$A:$G,4,"falso")</f>
        <v>43.06</v>
      </c>
      <c r="K129" s="308">
        <f>H129*J129</f>
        <v>0</v>
      </c>
      <c r="L129" s="323">
        <f>VLOOKUP(A129,'[1]TAB OGU JUN18'!$A:$G,5,"falso")</f>
        <v>78.069999999999993</v>
      </c>
      <c r="M129" s="308">
        <f>H129*L129</f>
        <v>0</v>
      </c>
      <c r="N129" s="315">
        <f>H129*I129</f>
        <v>0</v>
      </c>
      <c r="O129" s="192" t="e">
        <f>N129/N131</f>
        <v>#DIV/0!</v>
      </c>
    </row>
    <row r="130" spans="1:16" ht="12" customHeight="1" x14ac:dyDescent="0.2">
      <c r="A130" s="140"/>
      <c r="B130" s="576"/>
      <c r="C130" s="576"/>
      <c r="D130" s="576"/>
      <c r="E130" s="576"/>
      <c r="F130" s="576"/>
      <c r="G130" s="163"/>
      <c r="H130" s="221"/>
      <c r="I130" s="221"/>
      <c r="J130" s="313"/>
      <c r="K130" s="313"/>
      <c r="L130" s="313"/>
      <c r="M130" s="313"/>
      <c r="N130" s="221"/>
      <c r="O130" s="220"/>
    </row>
    <row r="131" spans="1:16" ht="12" customHeight="1" x14ac:dyDescent="0.2">
      <c r="A131" s="202"/>
      <c r="B131" s="142" t="s">
        <v>18</v>
      </c>
      <c r="C131" s="143"/>
      <c r="D131" s="143"/>
      <c r="E131" s="143"/>
      <c r="F131" s="143"/>
      <c r="G131" s="222"/>
      <c r="H131" s="675"/>
      <c r="I131" s="378"/>
      <c r="J131" s="378"/>
      <c r="K131" s="378"/>
      <c r="L131" s="378"/>
      <c r="M131" s="378"/>
      <c r="N131" s="221">
        <f>SUM(N129:N130)</f>
        <v>0</v>
      </c>
      <c r="O131" s="220" t="e">
        <f>N131/N133</f>
        <v>#DIV/0!</v>
      </c>
    </row>
    <row r="132" spans="1:16" ht="12" customHeight="1" x14ac:dyDescent="0.2">
      <c r="A132" s="202"/>
      <c r="B132" s="576"/>
      <c r="C132" s="576"/>
      <c r="D132" s="576"/>
      <c r="E132" s="576"/>
      <c r="F132" s="576"/>
      <c r="G132" s="158"/>
      <c r="H132" s="672"/>
      <c r="I132" s="376"/>
      <c r="J132" s="313"/>
      <c r="K132" s="313"/>
      <c r="L132" s="313"/>
      <c r="M132" s="313"/>
      <c r="N132" s="221"/>
      <c r="O132" s="220"/>
    </row>
    <row r="133" spans="1:16" ht="12" customHeight="1" x14ac:dyDescent="0.2">
      <c r="A133" s="203"/>
      <c r="B133" s="175" t="s">
        <v>20</v>
      </c>
      <c r="C133" s="176"/>
      <c r="D133" s="176"/>
      <c r="E133" s="176"/>
      <c r="F133" s="176"/>
      <c r="G133" s="223"/>
      <c r="H133" s="677"/>
      <c r="I133" s="379"/>
      <c r="J133" s="379"/>
      <c r="K133" s="379"/>
      <c r="L133" s="379"/>
      <c r="M133" s="379"/>
      <c r="N133" s="224">
        <f>N131</f>
        <v>0</v>
      </c>
      <c r="O133" s="218" t="e">
        <f>N133/N151</f>
        <v>#DIV/0!</v>
      </c>
    </row>
    <row r="134" spans="1:16" ht="12" customHeight="1" x14ac:dyDescent="0.2">
      <c r="A134" s="203"/>
      <c r="B134" s="175"/>
      <c r="C134" s="175"/>
      <c r="D134" s="175"/>
      <c r="E134" s="175"/>
      <c r="F134" s="175"/>
      <c r="G134" s="484"/>
      <c r="H134" s="679"/>
      <c r="I134" s="485"/>
      <c r="J134" s="485"/>
      <c r="K134" s="485"/>
      <c r="L134" s="485"/>
      <c r="M134" s="485"/>
      <c r="N134" s="224"/>
      <c r="O134" s="218"/>
    </row>
    <row r="135" spans="1:16" s="132" customFormat="1" ht="12" customHeight="1" x14ac:dyDescent="0.2">
      <c r="A135" s="256">
        <v>15</v>
      </c>
      <c r="B135" s="834" t="s">
        <v>449</v>
      </c>
      <c r="C135" s="834"/>
      <c r="D135" s="834"/>
      <c r="E135" s="834"/>
      <c r="F135" s="834"/>
      <c r="G135" s="577"/>
      <c r="H135" s="641"/>
      <c r="I135" s="330"/>
      <c r="J135" s="311"/>
      <c r="K135" s="311"/>
      <c r="L135" s="311"/>
      <c r="M135" s="311"/>
      <c r="N135" s="330"/>
      <c r="O135" s="297"/>
    </row>
    <row r="136" spans="1:16" ht="12" customHeight="1" x14ac:dyDescent="0.2">
      <c r="A136" s="256">
        <v>1503</v>
      </c>
      <c r="B136" s="834" t="s">
        <v>459</v>
      </c>
      <c r="C136" s="834"/>
      <c r="D136" s="834"/>
      <c r="E136" s="834"/>
      <c r="F136" s="834"/>
      <c r="G136" s="577"/>
      <c r="H136" s="641"/>
      <c r="I136" s="330"/>
      <c r="J136" s="311"/>
      <c r="K136" s="311"/>
      <c r="L136" s="370"/>
      <c r="M136" s="311"/>
      <c r="N136" s="330"/>
      <c r="O136" s="297"/>
    </row>
    <row r="137" spans="1:16" ht="12" customHeight="1" x14ac:dyDescent="0.2">
      <c r="A137" s="256" t="s">
        <v>545</v>
      </c>
      <c r="B137" s="200" t="s">
        <v>1432</v>
      </c>
      <c r="C137" s="153"/>
      <c r="D137" s="153"/>
      <c r="E137" s="153"/>
      <c r="F137" s="153"/>
      <c r="G137" s="97" t="s">
        <v>31</v>
      </c>
      <c r="H137" s="189">
        <v>0</v>
      </c>
      <c r="I137" s="323">
        <v>3</v>
      </c>
      <c r="J137" s="323">
        <v>3</v>
      </c>
      <c r="K137" s="308">
        <f>H137*J137</f>
        <v>0</v>
      </c>
      <c r="L137" s="323">
        <v>0</v>
      </c>
      <c r="M137" s="308"/>
      <c r="N137" s="308">
        <f>H137*I137</f>
        <v>0</v>
      </c>
      <c r="O137" s="297" t="e">
        <f>N137/N139</f>
        <v>#DIV/0!</v>
      </c>
      <c r="P137" s="149"/>
    </row>
    <row r="138" spans="1:16" ht="14.25" customHeight="1" x14ac:dyDescent="0.2">
      <c r="A138" s="256"/>
      <c r="B138" s="576"/>
      <c r="C138" s="576"/>
      <c r="D138" s="576"/>
      <c r="E138" s="576"/>
      <c r="F138" s="576"/>
      <c r="G138" s="190"/>
      <c r="H138" s="189"/>
      <c r="I138" s="296"/>
      <c r="J138" s="311"/>
      <c r="K138" s="311"/>
      <c r="L138" s="370"/>
      <c r="M138" s="311"/>
      <c r="N138" s="189"/>
      <c r="O138" s="297"/>
      <c r="P138" s="149"/>
    </row>
    <row r="139" spans="1:16" ht="12" customHeight="1" x14ac:dyDescent="0.2">
      <c r="A139" s="291"/>
      <c r="B139" s="142" t="s">
        <v>18</v>
      </c>
      <c r="C139" s="143"/>
      <c r="D139" s="143"/>
      <c r="E139" s="143"/>
      <c r="F139" s="143"/>
      <c r="G139" s="188"/>
      <c r="H139" s="663"/>
      <c r="I139" s="336"/>
      <c r="J139" s="336"/>
      <c r="K139" s="336"/>
      <c r="L139" s="336"/>
      <c r="M139" s="336"/>
      <c r="N139" s="189">
        <f>SUM(N137:N138)</f>
        <v>0</v>
      </c>
      <c r="O139" s="297" t="e">
        <f>N139/N141</f>
        <v>#DIV/0!</v>
      </c>
      <c r="P139" s="149"/>
    </row>
    <row r="140" spans="1:16" ht="12" customHeight="1" x14ac:dyDescent="0.2">
      <c r="A140" s="202"/>
      <c r="B140" s="576"/>
      <c r="C140" s="576"/>
      <c r="D140" s="576"/>
      <c r="E140" s="576"/>
      <c r="F140" s="576"/>
      <c r="G140" s="577"/>
      <c r="H140" s="641"/>
      <c r="I140" s="330"/>
      <c r="J140" s="311"/>
      <c r="K140" s="311"/>
      <c r="L140" s="370"/>
      <c r="M140" s="311"/>
      <c r="N140" s="189"/>
      <c r="O140" s="297"/>
    </row>
    <row r="141" spans="1:16" ht="12" customHeight="1" x14ac:dyDescent="0.2">
      <c r="A141" s="203"/>
      <c r="B141" s="175" t="s">
        <v>20</v>
      </c>
      <c r="C141" s="176"/>
      <c r="D141" s="176"/>
      <c r="E141" s="176"/>
      <c r="F141" s="176"/>
      <c r="G141" s="191"/>
      <c r="H141" s="666"/>
      <c r="I141" s="338"/>
      <c r="J141" s="338"/>
      <c r="K141" s="338"/>
      <c r="L141" s="338"/>
      <c r="M141" s="338"/>
      <c r="N141" s="295">
        <f>N139</f>
        <v>0</v>
      </c>
      <c r="O141" s="186" t="e">
        <f>N141/$N$151</f>
        <v>#DIV/0!</v>
      </c>
    </row>
    <row r="142" spans="1:16" ht="12" customHeight="1" x14ac:dyDescent="0.2">
      <c r="A142" s="203"/>
      <c r="B142" s="175"/>
      <c r="C142" s="175"/>
      <c r="D142" s="175"/>
      <c r="E142" s="175"/>
      <c r="F142" s="175"/>
      <c r="G142" s="318"/>
      <c r="H142" s="669"/>
      <c r="I142" s="372"/>
      <c r="J142" s="372"/>
      <c r="K142" s="372"/>
      <c r="L142" s="372"/>
      <c r="M142" s="372"/>
      <c r="N142" s="295"/>
      <c r="O142" s="186"/>
    </row>
    <row r="143" spans="1:16" ht="12" customHeight="1" x14ac:dyDescent="0.2">
      <c r="A143" s="98" t="s">
        <v>169</v>
      </c>
      <c r="B143" s="88" t="s">
        <v>172</v>
      </c>
      <c r="G143" s="577"/>
      <c r="H143" s="641"/>
      <c r="I143" s="330"/>
      <c r="J143" s="311"/>
      <c r="K143" s="311"/>
      <c r="L143" s="311"/>
      <c r="M143" s="311"/>
      <c r="N143" s="333"/>
      <c r="O143" s="297"/>
    </row>
    <row r="144" spans="1:16" ht="12" customHeight="1" x14ac:dyDescent="0.2">
      <c r="A144" s="98" t="s">
        <v>170</v>
      </c>
      <c r="B144" s="88" t="s">
        <v>173</v>
      </c>
      <c r="G144" s="577"/>
      <c r="H144" s="641"/>
      <c r="I144" s="330"/>
      <c r="J144" s="311"/>
      <c r="K144" s="311"/>
      <c r="L144" s="370"/>
      <c r="M144" s="311"/>
      <c r="N144" s="333"/>
      <c r="O144" s="297"/>
    </row>
    <row r="145" spans="1:15" ht="12" customHeight="1" x14ac:dyDescent="0.2">
      <c r="A145" s="98" t="s">
        <v>480</v>
      </c>
      <c r="B145" s="834" t="s">
        <v>481</v>
      </c>
      <c r="C145" s="834"/>
      <c r="D145" s="834"/>
      <c r="E145" s="834"/>
      <c r="F145" s="834"/>
      <c r="G145" s="97" t="s">
        <v>31</v>
      </c>
      <c r="H145" s="189">
        <f>H14</f>
        <v>0</v>
      </c>
      <c r="I145" s="323">
        <f>VLOOKUP(A145,'[1]TAB OGU JUN18'!$A:$G,6,"falso")</f>
        <v>2.46</v>
      </c>
      <c r="J145" s="323">
        <f>VLOOKUP(A145,'[1]TAB OGU JUN18'!$A:$G,4,"falso")</f>
        <v>2.34</v>
      </c>
      <c r="K145" s="308">
        <f>H145*J145</f>
        <v>0</v>
      </c>
      <c r="L145" s="323">
        <f>VLOOKUP(A145,'[1]TAB OGU JUN18'!$A:$G,5,"falso")</f>
        <v>0.12</v>
      </c>
      <c r="M145" s="308">
        <f>H145*L145</f>
        <v>0</v>
      </c>
      <c r="N145" s="308">
        <f>H145*I145</f>
        <v>0</v>
      </c>
      <c r="O145" s="297" t="e">
        <f>N145/N147</f>
        <v>#DIV/0!</v>
      </c>
    </row>
    <row r="146" spans="1:15" ht="12" customHeight="1" x14ac:dyDescent="0.2">
      <c r="A146" s="256"/>
      <c r="B146" s="576"/>
      <c r="C146" s="576"/>
      <c r="D146" s="576"/>
      <c r="E146" s="576"/>
      <c r="F146" s="576"/>
      <c r="G146" s="190"/>
      <c r="H146" s="189"/>
      <c r="I146" s="296"/>
      <c r="J146" s="311"/>
      <c r="K146" s="311"/>
      <c r="L146" s="370"/>
      <c r="M146" s="311"/>
      <c r="N146" s="189"/>
      <c r="O146" s="297"/>
    </row>
    <row r="147" spans="1:15" ht="12" customHeight="1" x14ac:dyDescent="0.2">
      <c r="A147" s="291"/>
      <c r="B147" s="142" t="s">
        <v>18</v>
      </c>
      <c r="C147" s="143"/>
      <c r="D147" s="143"/>
      <c r="E147" s="143"/>
      <c r="F147" s="143"/>
      <c r="G147" s="188"/>
      <c r="H147" s="335"/>
      <c r="I147" s="336"/>
      <c r="J147" s="336"/>
      <c r="K147" s="336"/>
      <c r="L147" s="336"/>
      <c r="M147" s="336"/>
      <c r="N147" s="189">
        <f>SUM(N145:N146)</f>
        <v>0</v>
      </c>
      <c r="O147" s="297" t="e">
        <f>N147/N149</f>
        <v>#DIV/0!</v>
      </c>
    </row>
    <row r="148" spans="1:15" ht="12" customHeight="1" x14ac:dyDescent="0.2">
      <c r="A148" s="202"/>
      <c r="B148" s="576"/>
      <c r="C148" s="576"/>
      <c r="D148" s="576"/>
      <c r="E148" s="576"/>
      <c r="F148" s="576"/>
      <c r="G148" s="577"/>
      <c r="H148" s="333"/>
      <c r="I148" s="330"/>
      <c r="J148" s="311"/>
      <c r="K148" s="311"/>
      <c r="L148" s="370"/>
      <c r="M148" s="311"/>
      <c r="N148" s="189"/>
      <c r="O148" s="297"/>
    </row>
    <row r="149" spans="1:15" ht="12" customHeight="1" x14ac:dyDescent="0.2">
      <c r="A149" s="203"/>
      <c r="B149" s="175" t="s">
        <v>20</v>
      </c>
      <c r="C149" s="176"/>
      <c r="D149" s="176"/>
      <c r="E149" s="176"/>
      <c r="F149" s="176"/>
      <c r="G149" s="191"/>
      <c r="H149" s="337"/>
      <c r="I149" s="338"/>
      <c r="J149" s="338"/>
      <c r="K149" s="338"/>
      <c r="L149" s="338"/>
      <c r="M149" s="338"/>
      <c r="N149" s="295">
        <f>N147</f>
        <v>0</v>
      </c>
      <c r="O149" s="186" t="e">
        <f>N149/N151</f>
        <v>#DIV/0!</v>
      </c>
    </row>
    <row r="150" spans="1:15" s="150" customFormat="1" ht="12" customHeight="1" x14ac:dyDescent="0.2">
      <c r="A150" s="202"/>
      <c r="B150" s="576"/>
      <c r="C150" s="576"/>
      <c r="D150" s="576"/>
      <c r="E150" s="576"/>
      <c r="F150" s="576"/>
      <c r="G150" s="577"/>
      <c r="H150" s="333"/>
      <c r="I150" s="330"/>
      <c r="J150" s="296"/>
      <c r="K150" s="339"/>
      <c r="L150" s="311"/>
      <c r="M150" s="311"/>
      <c r="N150" s="311"/>
      <c r="O150" s="219"/>
    </row>
    <row r="151" spans="1:15" s="150" customFormat="1" ht="12" customHeight="1" x14ac:dyDescent="0.2">
      <c r="A151" s="206"/>
      <c r="B151" s="147" t="s">
        <v>30</v>
      </c>
      <c r="C151" s="146"/>
      <c r="D151" s="146"/>
      <c r="E151" s="146"/>
      <c r="F151" s="146"/>
      <c r="G151" s="146"/>
      <c r="H151" s="342"/>
      <c r="I151" s="345"/>
      <c r="J151" s="345"/>
      <c r="K151" s="285">
        <f>SUM(K14:K150)</f>
        <v>0</v>
      </c>
      <c r="L151" s="285"/>
      <c r="M151" s="285">
        <f>SUM(M14:M150)</f>
        <v>0</v>
      </c>
      <c r="N151" s="316">
        <f>N70+N62+N23+N135+N120+N104+N143+N112</f>
        <v>0</v>
      </c>
      <c r="O151" s="29"/>
    </row>
    <row r="152" spans="1:15" ht="6" customHeight="1" x14ac:dyDescent="0.2"/>
    <row r="153" spans="1:15" ht="12" customHeight="1" x14ac:dyDescent="0.2">
      <c r="A153" s="206"/>
      <c r="B153" s="147" t="s">
        <v>265</v>
      </c>
      <c r="C153" s="146"/>
      <c r="D153" s="146"/>
      <c r="E153" s="146"/>
      <c r="F153" s="146"/>
      <c r="G153" s="146"/>
      <c r="H153" s="342"/>
      <c r="I153" s="345"/>
      <c r="J153" s="345"/>
      <c r="K153" s="285">
        <f>K151+(K151*O5)</f>
        <v>0</v>
      </c>
      <c r="L153" s="285"/>
      <c r="M153" s="285">
        <f>M151+(M151*O7)</f>
        <v>0</v>
      </c>
      <c r="N153" s="316">
        <f>K153+M153</f>
        <v>0</v>
      </c>
      <c r="O153" s="29">
        <f>N153/RESUMO!H95</f>
        <v>0</v>
      </c>
    </row>
  </sheetData>
  <mergeCells count="29">
    <mergeCell ref="B125:F125"/>
    <mergeCell ref="B128:F128"/>
    <mergeCell ref="B135:F135"/>
    <mergeCell ref="B136:F136"/>
    <mergeCell ref="B145:F145"/>
    <mergeCell ref="B122:F122"/>
    <mergeCell ref="B95:F95"/>
    <mergeCell ref="B99:F99"/>
    <mergeCell ref="B100:F100"/>
    <mergeCell ref="B103:F103"/>
    <mergeCell ref="B106:F106"/>
    <mergeCell ref="B107:F107"/>
    <mergeCell ref="B108:F108"/>
    <mergeCell ref="B115:F115"/>
    <mergeCell ref="B116:F116"/>
    <mergeCell ref="B117:F117"/>
    <mergeCell ref="B121:F121"/>
    <mergeCell ref="B94:F94"/>
    <mergeCell ref="A2:O2"/>
    <mergeCell ref="N4:O4"/>
    <mergeCell ref="A5:B6"/>
    <mergeCell ref="B14:F14"/>
    <mergeCell ref="B26:F26"/>
    <mergeCell ref="B31:F31"/>
    <mergeCell ref="B47:F47"/>
    <mergeCell ref="B48:F48"/>
    <mergeCell ref="B72:F72"/>
    <mergeCell ref="B73:F73"/>
    <mergeCell ref="B93:F93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rowBreaks count="1" manualBreakCount="1">
    <brk id="24" max="14" man="1"/>
  </rowBreaks>
  <legacyDrawingHF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>
    <tabColor theme="6" tint="0.39997558519241921"/>
    <pageSetUpPr fitToPage="1"/>
  </sheetPr>
  <dimension ref="A1:P54"/>
  <sheetViews>
    <sheetView view="pageBreakPreview" zoomScale="90" zoomScaleNormal="90" zoomScaleSheetLayoutView="90" workbookViewId="0">
      <selection activeCell="M42" sqref="M42"/>
    </sheetView>
  </sheetViews>
  <sheetFormatPr defaultColWidth="11.42578125" defaultRowHeight="12.75" customHeight="1" x14ac:dyDescent="0.2"/>
  <cols>
    <col min="1" max="5" width="11.42578125" style="51" customWidth="1"/>
    <col min="6" max="6" width="28.5703125" style="51" customWidth="1"/>
    <col min="7" max="7" width="11.42578125" style="51" customWidth="1"/>
    <col min="8" max="8" width="11.42578125" style="52" customWidth="1"/>
    <col min="9" max="9" width="11.42578125" style="51" customWidth="1"/>
    <col min="10" max="10" width="5.42578125" style="51" hidden="1" customWidth="1"/>
    <col min="11" max="11" width="14.28515625" style="51" customWidth="1"/>
    <col min="12" max="12" width="8.7109375" style="51" hidden="1" customWidth="1"/>
    <col min="13" max="13" width="14.28515625" style="51" customWidth="1"/>
    <col min="14" max="14" width="17.140625" style="51" customWidth="1"/>
    <col min="15" max="15" width="11.42578125" style="52" customWidth="1"/>
    <col min="16" max="16384" width="11.42578125" style="51"/>
  </cols>
  <sheetData>
    <row r="1" spans="1:15" ht="8.25" customHeight="1" x14ac:dyDescent="0.2"/>
    <row r="2" spans="1:15" ht="12.75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5" ht="8.25" customHeight="1" thickBot="1" x14ac:dyDescent="0.25">
      <c r="A3" s="123"/>
      <c r="B3" s="123"/>
      <c r="C3" s="123"/>
      <c r="D3" s="123"/>
      <c r="E3" s="123"/>
      <c r="F3" s="123"/>
      <c r="G3" s="123"/>
      <c r="H3" s="195"/>
      <c r="I3" s="123"/>
      <c r="J3" s="123"/>
      <c r="K3" s="123"/>
      <c r="L3" s="123"/>
      <c r="M3" s="123"/>
      <c r="N3" s="123"/>
      <c r="O3" s="195"/>
    </row>
    <row r="4" spans="1:15" ht="12.75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H4" s="51"/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5" ht="12.75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H5" s="51"/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5" ht="12.75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H6" s="51"/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5" ht="12.75" customHeight="1" x14ac:dyDescent="0.2">
      <c r="A7" s="575"/>
      <c r="B7" s="575"/>
      <c r="C7" s="260" t="s">
        <v>6</v>
      </c>
      <c r="D7" s="263" t="str">
        <f>RESUMO!A47</f>
        <v>U.C. : 13</v>
      </c>
      <c r="E7" s="258"/>
      <c r="F7" s="258"/>
      <c r="G7" s="260" t="s">
        <v>9</v>
      </c>
      <c r="H7" s="51"/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5" ht="12.75" customHeight="1" thickBot="1" x14ac:dyDescent="0.25">
      <c r="A8" s="124"/>
      <c r="B8" s="125"/>
      <c r="C8" s="266" t="s">
        <v>8</v>
      </c>
      <c r="D8" s="267" t="str">
        <f>RESUMO!B47</f>
        <v>ESTAÇÃO DE TRATAMENTO DE ESGOTO - ETE</v>
      </c>
      <c r="E8" s="268"/>
      <c r="F8" s="268"/>
      <c r="G8" s="266"/>
      <c r="H8" s="123"/>
      <c r="I8" s="278"/>
      <c r="J8" s="278"/>
      <c r="K8" s="278"/>
      <c r="L8" s="278"/>
      <c r="M8" s="278" t="s">
        <v>654</v>
      </c>
      <c r="N8" s="271"/>
      <c r="O8" s="427"/>
    </row>
    <row r="9" spans="1:15" ht="12.75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5" ht="8.25" customHeight="1" x14ac:dyDescent="0.2">
      <c r="O10" s="19"/>
    </row>
    <row r="11" spans="1:15" ht="12.75" customHeight="1" x14ac:dyDescent="0.2">
      <c r="A11" s="93">
        <f>RESUMO!A66</f>
        <v>19</v>
      </c>
      <c r="B11" s="93" t="str">
        <f>RESUMO!B66</f>
        <v>LAGOA FACULTATIVA 3 - MATERIAIS</v>
      </c>
      <c r="O11" s="19"/>
    </row>
    <row r="12" spans="1:15" ht="12.75" hidden="1" customHeight="1" x14ac:dyDescent="0.2">
      <c r="A12" s="182">
        <v>24</v>
      </c>
      <c r="B12" s="837" t="s">
        <v>563</v>
      </c>
      <c r="C12" s="837"/>
      <c r="D12" s="837"/>
      <c r="E12" s="837"/>
      <c r="F12" s="837"/>
      <c r="G12" s="577"/>
      <c r="H12" s="162"/>
      <c r="I12" s="577"/>
      <c r="N12" s="317"/>
      <c r="O12" s="68"/>
    </row>
    <row r="13" spans="1:15" ht="12.75" hidden="1" customHeight="1" x14ac:dyDescent="0.2">
      <c r="A13" s="182">
        <v>2405</v>
      </c>
      <c r="B13" s="142" t="s">
        <v>34</v>
      </c>
      <c r="C13" s="153"/>
      <c r="D13" s="153"/>
      <c r="E13" s="153"/>
      <c r="F13" s="153"/>
      <c r="G13" s="162"/>
      <c r="H13" s="162"/>
      <c r="I13" s="577"/>
      <c r="N13" s="317"/>
      <c r="O13" s="68"/>
    </row>
    <row r="14" spans="1:15" ht="12.75" hidden="1" customHeight="1" x14ac:dyDescent="0.2">
      <c r="A14" s="140" t="s">
        <v>490</v>
      </c>
      <c r="B14" s="200" t="s">
        <v>564</v>
      </c>
      <c r="C14" s="153"/>
      <c r="D14" s="153"/>
      <c r="E14" s="153"/>
      <c r="F14" s="153"/>
      <c r="G14" s="139" t="s">
        <v>24</v>
      </c>
      <c r="H14" s="189">
        <v>0</v>
      </c>
      <c r="I14" s="323">
        <f>VLOOKUP(A14,'[1]TAB OGU JUN18'!$A:$G,6,"falso")</f>
        <v>1.33</v>
      </c>
      <c r="J14" s="314"/>
      <c r="K14" s="314"/>
      <c r="L14" s="323">
        <f>VLOOKUP(A14,'[1]TAB OGU JUN18'!$A:$G,5,"falso")</f>
        <v>1.33</v>
      </c>
      <c r="M14" s="308">
        <f>H14*L14</f>
        <v>0</v>
      </c>
      <c r="N14" s="296">
        <f>H14*I14</f>
        <v>0</v>
      </c>
      <c r="O14" s="214" t="e">
        <f>N14/$N$17</f>
        <v>#DIV/0!</v>
      </c>
    </row>
    <row r="15" spans="1:15" ht="12.75" hidden="1" customHeight="1" x14ac:dyDescent="0.2">
      <c r="A15" s="140" t="s">
        <v>491</v>
      </c>
      <c r="B15" s="200" t="s">
        <v>565</v>
      </c>
      <c r="C15" s="153"/>
      <c r="D15" s="153"/>
      <c r="E15" s="153"/>
      <c r="F15" s="153"/>
      <c r="G15" s="139" t="s">
        <v>24</v>
      </c>
      <c r="H15" s="189">
        <v>0</v>
      </c>
      <c r="I15" s="323">
        <f>VLOOKUP(A15,'[1]TAB OGU JUN18'!$A:$G,6,"falso")</f>
        <v>1.67</v>
      </c>
      <c r="J15" s="314"/>
      <c r="K15" s="314"/>
      <c r="L15" s="323">
        <f>VLOOKUP(A15,'[1]TAB OGU JUN18'!$A:$G,5,"falso")</f>
        <v>1.67</v>
      </c>
      <c r="M15" s="308">
        <f>H15*L15</f>
        <v>0</v>
      </c>
      <c r="N15" s="296">
        <f>H15*I15</f>
        <v>0</v>
      </c>
      <c r="O15" s="214" t="e">
        <f>N15/$N$17</f>
        <v>#DIV/0!</v>
      </c>
    </row>
    <row r="16" spans="1:15" ht="12.75" hidden="1" customHeight="1" x14ac:dyDescent="0.2">
      <c r="A16" s="182"/>
      <c r="B16" s="576"/>
      <c r="C16" s="576"/>
      <c r="D16" s="576"/>
      <c r="E16" s="576"/>
      <c r="F16" s="576"/>
      <c r="G16" s="139"/>
      <c r="H16" s="189"/>
      <c r="I16" s="296"/>
      <c r="J16" s="311"/>
      <c r="K16" s="311"/>
      <c r="L16" s="311"/>
      <c r="M16" s="311"/>
      <c r="N16" s="296"/>
      <c r="O16" s="234"/>
    </row>
    <row r="17" spans="1:16" ht="12.75" hidden="1" customHeight="1" x14ac:dyDescent="0.2">
      <c r="A17" s="577"/>
      <c r="B17" s="142" t="s">
        <v>18</v>
      </c>
      <c r="C17" s="143"/>
      <c r="D17" s="143"/>
      <c r="E17" s="143"/>
      <c r="F17" s="143"/>
      <c r="G17" s="173"/>
      <c r="H17" s="335"/>
      <c r="I17" s="336"/>
      <c r="J17" s="336"/>
      <c r="K17" s="336"/>
      <c r="L17" s="336"/>
      <c r="M17" s="336"/>
      <c r="N17" s="296">
        <f>SUM(N14:N16)</f>
        <v>0</v>
      </c>
      <c r="O17" s="234" t="e">
        <f>N17/$N$24</f>
        <v>#DIV/0!</v>
      </c>
    </row>
    <row r="18" spans="1:16" s="150" customFormat="1" ht="12.75" hidden="1" customHeight="1" x14ac:dyDescent="0.2">
      <c r="A18" s="577"/>
      <c r="B18" s="576"/>
      <c r="C18" s="576"/>
      <c r="D18" s="576"/>
      <c r="E18" s="576"/>
      <c r="F18" s="576"/>
      <c r="G18" s="162"/>
      <c r="H18" s="333"/>
      <c r="I18" s="330"/>
      <c r="J18" s="370"/>
      <c r="K18" s="370"/>
      <c r="L18" s="370"/>
      <c r="M18" s="370"/>
      <c r="N18" s="296"/>
      <c r="O18" s="234"/>
    </row>
    <row r="19" spans="1:16" ht="12.75" hidden="1" customHeight="1" x14ac:dyDescent="0.2">
      <c r="A19" s="182">
        <v>2411</v>
      </c>
      <c r="B19" s="142" t="s">
        <v>36</v>
      </c>
      <c r="C19" s="153"/>
      <c r="D19" s="153"/>
      <c r="E19" s="153"/>
      <c r="F19" s="153"/>
      <c r="G19" s="162"/>
      <c r="H19" s="333"/>
      <c r="I19" s="330"/>
      <c r="J19" s="311"/>
      <c r="K19" s="311"/>
      <c r="L19" s="311"/>
      <c r="M19" s="311"/>
      <c r="N19" s="330"/>
      <c r="O19" s="68"/>
    </row>
    <row r="20" spans="1:16" ht="12.75" hidden="1" customHeight="1" x14ac:dyDescent="0.2">
      <c r="A20" s="140" t="s">
        <v>499</v>
      </c>
      <c r="B20" s="200" t="s">
        <v>511</v>
      </c>
      <c r="C20" s="153"/>
      <c r="D20" s="153"/>
      <c r="E20" s="153"/>
      <c r="F20" s="153"/>
      <c r="G20" s="139" t="s">
        <v>24</v>
      </c>
      <c r="H20" s="189">
        <v>0</v>
      </c>
      <c r="I20" s="323">
        <f>VLOOKUP(A20,'[1]TAB OGU JUN18'!$A:$G,6,"falso")</f>
        <v>2.19</v>
      </c>
      <c r="J20" s="314"/>
      <c r="K20" s="314"/>
      <c r="L20" s="323">
        <f>VLOOKUP(A20,'[1]TAB OGU JUN18'!$A:$G,5,"falso")</f>
        <v>2.19</v>
      </c>
      <c r="M20" s="308">
        <f t="shared" ref="M20" si="0">H20*L20</f>
        <v>0</v>
      </c>
      <c r="N20" s="296">
        <f t="shared" ref="N20" si="1">H20*I20</f>
        <v>0</v>
      </c>
      <c r="O20" s="214" t="e">
        <f>N20/N22</f>
        <v>#DIV/0!</v>
      </c>
    </row>
    <row r="21" spans="1:16" ht="12.75" hidden="1" customHeight="1" x14ac:dyDescent="0.2">
      <c r="A21" s="182"/>
      <c r="B21" s="576"/>
      <c r="C21" s="576"/>
      <c r="D21" s="576"/>
      <c r="E21" s="576"/>
      <c r="F21" s="576"/>
      <c r="G21" s="139"/>
      <c r="H21" s="189"/>
      <c r="I21" s="296"/>
      <c r="J21" s="311"/>
      <c r="K21" s="311"/>
      <c r="L21" s="311"/>
      <c r="M21" s="311"/>
      <c r="N21" s="296"/>
      <c r="O21" s="234"/>
    </row>
    <row r="22" spans="1:16" ht="12.75" hidden="1" customHeight="1" x14ac:dyDescent="0.2">
      <c r="A22" s="577"/>
      <c r="B22" s="142" t="s">
        <v>18</v>
      </c>
      <c r="C22" s="143"/>
      <c r="D22" s="143"/>
      <c r="E22" s="143"/>
      <c r="F22" s="143"/>
      <c r="G22" s="173"/>
      <c r="H22" s="335"/>
      <c r="I22" s="336"/>
      <c r="J22" s="336"/>
      <c r="K22" s="336"/>
      <c r="L22" s="336"/>
      <c r="M22" s="336"/>
      <c r="N22" s="296">
        <f>SUM(N20:N21)</f>
        <v>0</v>
      </c>
      <c r="O22" s="234" t="e">
        <f>N22/$N$24</f>
        <v>#DIV/0!</v>
      </c>
    </row>
    <row r="23" spans="1:16" s="150" customFormat="1" ht="12.75" hidden="1" customHeight="1" x14ac:dyDescent="0.2">
      <c r="A23" s="577"/>
      <c r="B23" s="576"/>
      <c r="C23" s="576"/>
      <c r="D23" s="576"/>
      <c r="E23" s="576"/>
      <c r="F23" s="576"/>
      <c r="G23" s="162"/>
      <c r="H23" s="333"/>
      <c r="I23" s="330"/>
      <c r="J23" s="370"/>
      <c r="K23" s="370"/>
      <c r="L23" s="370"/>
      <c r="M23" s="370"/>
      <c r="N23" s="296"/>
      <c r="O23" s="234"/>
    </row>
    <row r="24" spans="1:16" s="132" customFormat="1" ht="12.75" hidden="1" customHeight="1" x14ac:dyDescent="0.2">
      <c r="A24" s="318"/>
      <c r="B24" s="175" t="s">
        <v>20</v>
      </c>
      <c r="C24" s="176"/>
      <c r="D24" s="176"/>
      <c r="E24" s="176"/>
      <c r="F24" s="176"/>
      <c r="G24" s="178"/>
      <c r="H24" s="337"/>
      <c r="I24" s="338"/>
      <c r="J24" s="338"/>
      <c r="K24" s="338"/>
      <c r="L24" s="338"/>
      <c r="M24" s="338"/>
      <c r="N24" s="373">
        <f>N17+N22</f>
        <v>0</v>
      </c>
      <c r="O24" s="235" t="e">
        <f>N24/$N$39</f>
        <v>#DIV/0!</v>
      </c>
    </row>
    <row r="25" spans="1:16" s="132" customFormat="1" ht="12.75" hidden="1" customHeight="1" x14ac:dyDescent="0.2">
      <c r="A25" s="318"/>
      <c r="B25" s="175"/>
      <c r="C25" s="175"/>
      <c r="D25" s="175"/>
      <c r="E25" s="175"/>
      <c r="F25" s="175"/>
      <c r="G25" s="425"/>
      <c r="H25" s="371"/>
      <c r="I25" s="372"/>
      <c r="J25" s="372"/>
      <c r="K25" s="372"/>
      <c r="L25" s="372"/>
      <c r="M25" s="372"/>
      <c r="N25" s="373"/>
      <c r="O25" s="235"/>
    </row>
    <row r="26" spans="1:16" ht="12.75" customHeight="1" x14ac:dyDescent="0.2">
      <c r="A26" s="182"/>
      <c r="B26" s="837" t="s">
        <v>556</v>
      </c>
      <c r="C26" s="837"/>
      <c r="D26" s="837"/>
      <c r="E26" s="837"/>
      <c r="F26" s="837"/>
      <c r="G26" s="162"/>
      <c r="H26" s="162"/>
      <c r="I26" s="577"/>
      <c r="N26" s="317"/>
      <c r="O26" s="68"/>
    </row>
    <row r="27" spans="1:16" ht="12.75" customHeight="1" x14ac:dyDescent="0.2">
      <c r="A27" s="182"/>
      <c r="B27" s="142" t="s">
        <v>557</v>
      </c>
      <c r="C27" s="153"/>
      <c r="D27" s="153"/>
      <c r="E27" s="153"/>
      <c r="F27" s="153"/>
      <c r="G27" s="162"/>
      <c r="H27" s="333"/>
      <c r="I27" s="330"/>
      <c r="J27" s="311"/>
      <c r="K27" s="311"/>
      <c r="L27" s="311"/>
      <c r="M27" s="311"/>
      <c r="N27" s="330"/>
      <c r="O27" s="68"/>
    </row>
    <row r="28" spans="1:16" ht="12.75" customHeight="1" x14ac:dyDescent="0.2">
      <c r="A28" s="140" t="s">
        <v>545</v>
      </c>
      <c r="B28" s="426" t="str">
        <f>'23'!B131:F131</f>
        <v>Geomembrana PEAD espessura de 1,00 mm texturizada</v>
      </c>
      <c r="C28" s="153"/>
      <c r="D28" s="153"/>
      <c r="E28" s="153"/>
      <c r="F28" s="153"/>
      <c r="G28" s="139" t="s">
        <v>31</v>
      </c>
      <c r="H28" s="189">
        <v>0</v>
      </c>
      <c r="I28" s="323">
        <v>12.4237</v>
      </c>
      <c r="J28" s="314"/>
      <c r="K28" s="314"/>
      <c r="L28" s="323">
        <v>15.4237</v>
      </c>
      <c r="M28" s="308">
        <f>H28*I28</f>
        <v>0</v>
      </c>
      <c r="N28" s="296">
        <f t="shared" ref="N28:N33" si="2">H28*I28</f>
        <v>0</v>
      </c>
      <c r="O28" s="214" t="e">
        <f>N28/$N$35</f>
        <v>#DIV/0!</v>
      </c>
    </row>
    <row r="29" spans="1:16" ht="12.75" customHeight="1" x14ac:dyDescent="0.2">
      <c r="A29" s="140" t="s">
        <v>545</v>
      </c>
      <c r="B29" s="711" t="s">
        <v>1432</v>
      </c>
      <c r="C29" s="153"/>
      <c r="D29" s="153"/>
      <c r="E29" s="153"/>
      <c r="F29" s="153"/>
      <c r="G29" s="139" t="s">
        <v>31</v>
      </c>
      <c r="H29" s="189">
        <v>0</v>
      </c>
      <c r="I29" s="323">
        <v>20.65</v>
      </c>
      <c r="J29" s="314"/>
      <c r="K29" s="314"/>
      <c r="L29" s="323">
        <v>20.65</v>
      </c>
      <c r="M29" s="308">
        <f t="shared" ref="M29:M33" si="3">H29*I29</f>
        <v>0</v>
      </c>
      <c r="N29" s="296">
        <f t="shared" si="2"/>
        <v>0</v>
      </c>
      <c r="O29" s="214" t="e">
        <f>N29/$N$35</f>
        <v>#DIV/0!</v>
      </c>
    </row>
    <row r="30" spans="1:16" ht="12.75" customHeight="1" x14ac:dyDescent="0.2">
      <c r="A30" s="140" t="s">
        <v>545</v>
      </c>
      <c r="B30" s="426" t="s">
        <v>914</v>
      </c>
      <c r="C30" s="153"/>
      <c r="D30" s="153"/>
      <c r="E30" s="153"/>
      <c r="F30" s="153"/>
      <c r="G30" s="139" t="s">
        <v>24</v>
      </c>
      <c r="H30" s="189">
        <v>0</v>
      </c>
      <c r="I30" s="323">
        <v>235</v>
      </c>
      <c r="J30" s="314"/>
      <c r="K30" s="314"/>
      <c r="L30" s="323">
        <v>235</v>
      </c>
      <c r="M30" s="308">
        <f t="shared" si="3"/>
        <v>0</v>
      </c>
      <c r="N30" s="296">
        <f t="shared" si="2"/>
        <v>0</v>
      </c>
      <c r="O30" s="214" t="e">
        <f>N30/$N$35</f>
        <v>#DIV/0!</v>
      </c>
    </row>
    <row r="31" spans="1:16" ht="12.75" customHeight="1" x14ac:dyDescent="0.2">
      <c r="A31" s="140" t="s">
        <v>545</v>
      </c>
      <c r="B31" s="426" t="s">
        <v>915</v>
      </c>
      <c r="C31" s="153"/>
      <c r="D31" s="153"/>
      <c r="E31" s="153"/>
      <c r="F31" s="153"/>
      <c r="G31" s="139" t="s">
        <v>31</v>
      </c>
      <c r="H31" s="189">
        <v>0</v>
      </c>
      <c r="I31" s="323">
        <v>8785.85</v>
      </c>
      <c r="J31" s="314"/>
      <c r="K31" s="314"/>
      <c r="L31" s="323">
        <v>8785.85</v>
      </c>
      <c r="M31" s="308">
        <f t="shared" si="3"/>
        <v>0</v>
      </c>
      <c r="N31" s="296">
        <f t="shared" si="2"/>
        <v>0</v>
      </c>
      <c r="O31" s="214" t="e">
        <f>N31/$N$35</f>
        <v>#DIV/0!</v>
      </c>
    </row>
    <row r="32" spans="1:16" ht="12.75" customHeight="1" x14ac:dyDescent="0.2">
      <c r="A32" s="140" t="s">
        <v>545</v>
      </c>
      <c r="B32" s="426" t="s">
        <v>916</v>
      </c>
      <c r="C32" s="426"/>
      <c r="D32" s="426"/>
      <c r="E32" s="426"/>
      <c r="F32" s="426"/>
      <c r="G32" s="139" t="s">
        <v>31</v>
      </c>
      <c r="H32" s="189">
        <v>0</v>
      </c>
      <c r="I32" s="323">
        <v>350</v>
      </c>
      <c r="J32" s="314"/>
      <c r="K32" s="314"/>
      <c r="L32" s="323">
        <v>350</v>
      </c>
      <c r="M32" s="308">
        <f t="shared" si="3"/>
        <v>0</v>
      </c>
      <c r="N32" s="296">
        <f t="shared" si="2"/>
        <v>0</v>
      </c>
      <c r="O32" s="214" t="e">
        <f>N32/$N$35</f>
        <v>#DIV/0!</v>
      </c>
      <c r="P32" s="51">
        <v>25888</v>
      </c>
    </row>
    <row r="33" spans="1:16" ht="12.75" customHeight="1" x14ac:dyDescent="0.2">
      <c r="A33" s="140" t="s">
        <v>1399</v>
      </c>
      <c r="B33" s="426" t="s">
        <v>917</v>
      </c>
      <c r="C33" s="153"/>
      <c r="D33" s="153"/>
      <c r="E33" s="153"/>
      <c r="F33" s="153"/>
      <c r="G33" s="139" t="s">
        <v>31</v>
      </c>
      <c r="H33" s="189">
        <v>0</v>
      </c>
      <c r="I33" s="323">
        <v>49.08</v>
      </c>
      <c r="J33" s="314"/>
      <c r="K33" s="314"/>
      <c r="L33" s="323">
        <v>250</v>
      </c>
      <c r="M33" s="308">
        <f t="shared" si="3"/>
        <v>0</v>
      </c>
      <c r="N33" s="296">
        <f t="shared" si="2"/>
        <v>0</v>
      </c>
      <c r="O33" s="214" t="e">
        <f t="shared" ref="O33" si="4">N33/$N$35</f>
        <v>#DIV/0!</v>
      </c>
    </row>
    <row r="34" spans="1:16" ht="12.75" customHeight="1" x14ac:dyDescent="0.2">
      <c r="A34" s="182"/>
      <c r="B34" s="576"/>
      <c r="C34" s="576"/>
      <c r="D34" s="576"/>
      <c r="E34" s="576"/>
      <c r="F34" s="576"/>
      <c r="G34" s="139"/>
      <c r="H34" s="189"/>
      <c r="I34" s="296"/>
      <c r="J34" s="311"/>
      <c r="K34" s="311"/>
      <c r="L34" s="311"/>
      <c r="M34" s="311"/>
      <c r="N34" s="296"/>
      <c r="O34" s="234"/>
    </row>
    <row r="35" spans="1:16" ht="12.75" customHeight="1" x14ac:dyDescent="0.2">
      <c r="A35" s="577"/>
      <c r="B35" s="142" t="s">
        <v>18</v>
      </c>
      <c r="C35" s="143"/>
      <c r="D35" s="143"/>
      <c r="E35" s="143"/>
      <c r="F35" s="143"/>
      <c r="G35" s="173"/>
      <c r="H35" s="335"/>
      <c r="I35" s="336"/>
      <c r="J35" s="336"/>
      <c r="K35" s="336"/>
      <c r="L35" s="336"/>
      <c r="M35" s="336"/>
      <c r="N35" s="296">
        <f>SUM(N28:N34)</f>
        <v>0</v>
      </c>
      <c r="O35" s="234" t="e">
        <f>N35/N37</f>
        <v>#DIV/0!</v>
      </c>
    </row>
    <row r="36" spans="1:16" s="150" customFormat="1" ht="12.75" customHeight="1" x14ac:dyDescent="0.2">
      <c r="A36" s="577"/>
      <c r="B36" s="576"/>
      <c r="C36" s="576"/>
      <c r="D36" s="576"/>
      <c r="E36" s="576"/>
      <c r="F36" s="576"/>
      <c r="G36" s="577"/>
      <c r="H36" s="333"/>
      <c r="I36" s="330"/>
      <c r="J36" s="370"/>
      <c r="K36" s="370"/>
      <c r="L36" s="370"/>
      <c r="M36" s="370"/>
      <c r="N36" s="296"/>
      <c r="O36" s="234"/>
    </row>
    <row r="37" spans="1:16" s="132" customFormat="1" ht="12.75" customHeight="1" x14ac:dyDescent="0.2">
      <c r="A37" s="318"/>
      <c r="B37" s="175" t="s">
        <v>20</v>
      </c>
      <c r="C37" s="176"/>
      <c r="D37" s="176"/>
      <c r="E37" s="176"/>
      <c r="F37" s="176"/>
      <c r="G37" s="191"/>
      <c r="H37" s="337"/>
      <c r="I37" s="338"/>
      <c r="J37" s="338"/>
      <c r="K37" s="338"/>
      <c r="L37" s="338"/>
      <c r="M37" s="338"/>
      <c r="N37" s="373">
        <f>N35</f>
        <v>0</v>
      </c>
      <c r="O37" s="235" t="e">
        <f>N37/$N$39</f>
        <v>#DIV/0!</v>
      </c>
    </row>
    <row r="38" spans="1:16" ht="8.25" customHeight="1" x14ac:dyDescent="0.2">
      <c r="G38" s="52"/>
      <c r="H38" s="313"/>
      <c r="I38" s="313"/>
      <c r="J38" s="313"/>
      <c r="K38" s="313"/>
      <c r="L38" s="313"/>
      <c r="M38" s="313"/>
      <c r="N38" s="313"/>
      <c r="O38" s="187"/>
    </row>
    <row r="39" spans="1:16" ht="12.75" customHeight="1" x14ac:dyDescent="0.2">
      <c r="A39" s="146"/>
      <c r="B39" s="147" t="s">
        <v>30</v>
      </c>
      <c r="C39" s="146"/>
      <c r="D39" s="146"/>
      <c r="E39" s="146"/>
      <c r="F39" s="146"/>
      <c r="G39" s="146"/>
      <c r="H39" s="350"/>
      <c r="I39" s="345"/>
      <c r="J39" s="345"/>
      <c r="K39" s="345"/>
      <c r="L39" s="345"/>
      <c r="M39" s="275">
        <f>SUM(M12:M38)</f>
        <v>0</v>
      </c>
      <c r="N39" s="316">
        <f>N24+N37</f>
        <v>0</v>
      </c>
      <c r="O39" s="29"/>
      <c r="P39" s="149"/>
    </row>
    <row r="40" spans="1:16" ht="8.25" customHeight="1" x14ac:dyDescent="0.2">
      <c r="H40" s="313"/>
      <c r="I40" s="311"/>
      <c r="J40" s="311"/>
      <c r="K40" s="311"/>
      <c r="L40" s="311"/>
      <c r="M40" s="311"/>
      <c r="N40" s="311"/>
      <c r="O40" s="219"/>
      <c r="P40" s="149"/>
    </row>
    <row r="41" spans="1:16" ht="12.75" customHeight="1" x14ac:dyDescent="0.2">
      <c r="A41" s="146"/>
      <c r="B41" s="147" t="s">
        <v>265</v>
      </c>
      <c r="C41" s="146"/>
      <c r="D41" s="146"/>
      <c r="E41" s="146"/>
      <c r="F41" s="146"/>
      <c r="G41" s="146"/>
      <c r="H41" s="350"/>
      <c r="I41" s="345"/>
      <c r="J41" s="345"/>
      <c r="K41" s="345"/>
      <c r="L41" s="345"/>
      <c r="M41" s="275">
        <f>M39+(M39*O7)</f>
        <v>0</v>
      </c>
      <c r="N41" s="316">
        <f>M41</f>
        <v>0</v>
      </c>
      <c r="O41" s="29">
        <f>N41/RESUMO!H95</f>
        <v>0</v>
      </c>
      <c r="P41" s="149"/>
    </row>
    <row r="53" spans="1:15" ht="12.75" customHeight="1" x14ac:dyDescent="0.2">
      <c r="A53" s="150"/>
      <c r="B53" s="150"/>
      <c r="C53" s="150"/>
      <c r="D53" s="150"/>
      <c r="E53" s="150"/>
      <c r="F53" s="150"/>
      <c r="G53" s="150"/>
      <c r="H53" s="209"/>
      <c r="I53" s="150"/>
      <c r="J53" s="150"/>
      <c r="K53" s="150"/>
      <c r="L53" s="150"/>
      <c r="M53" s="150"/>
      <c r="N53" s="211"/>
      <c r="O53" s="210"/>
    </row>
    <row r="54" spans="1:15" ht="12.75" customHeight="1" x14ac:dyDescent="0.2">
      <c r="A54" s="88"/>
      <c r="C54" s="184"/>
      <c r="D54" s="184"/>
      <c r="E54" s="184"/>
      <c r="F54" s="184"/>
      <c r="G54" s="184"/>
      <c r="H54" s="212"/>
      <c r="I54" s="184"/>
      <c r="J54" s="184"/>
      <c r="K54" s="184"/>
      <c r="L54" s="184"/>
      <c r="M54" s="184"/>
      <c r="N54" s="184"/>
      <c r="O54" s="437"/>
    </row>
  </sheetData>
  <mergeCells count="5">
    <mergeCell ref="A2:O2"/>
    <mergeCell ref="N4:O4"/>
    <mergeCell ref="A5:B6"/>
    <mergeCell ref="B12:F12"/>
    <mergeCell ref="B26:F26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Curitiba/PR&amp;R&amp;"Arial,Normal"&amp;11&amp;P</oddFooter>
  </headerFooter>
  <legacyDrawingHF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>
    <tabColor theme="6" tint="0.39997558519241921"/>
    <pageSetUpPr fitToPage="1"/>
  </sheetPr>
  <dimension ref="A1:P148"/>
  <sheetViews>
    <sheetView view="pageBreakPreview" zoomScale="80" zoomScaleNormal="90" zoomScaleSheetLayoutView="80" workbookViewId="0">
      <selection activeCell="N154" sqref="N154"/>
    </sheetView>
  </sheetViews>
  <sheetFormatPr defaultColWidth="11.42578125" defaultRowHeight="12" customHeight="1" x14ac:dyDescent="0.2"/>
  <cols>
    <col min="1" max="1" width="11.42578125" style="156"/>
    <col min="2" max="5" width="11.42578125" style="51"/>
    <col min="6" max="6" width="28.5703125" style="51" customWidth="1"/>
    <col min="7" max="7" width="11.42578125" style="51"/>
    <col min="8" max="9" width="11.42578125" style="51" customWidth="1"/>
    <col min="10" max="10" width="7.85546875" style="51" hidden="1" customWidth="1"/>
    <col min="11" max="11" width="14.28515625" style="51" customWidth="1"/>
    <col min="12" max="12" width="7.85546875" style="51" hidden="1" customWidth="1"/>
    <col min="13" max="13" width="14.28515625" style="51" customWidth="1"/>
    <col min="14" max="14" width="17.140625" style="51" customWidth="1"/>
    <col min="15" max="15" width="11.42578125" style="52" customWidth="1"/>
    <col min="16" max="16384" width="11.42578125" style="51"/>
  </cols>
  <sheetData>
    <row r="1" spans="1:15" ht="7.5" customHeight="1" x14ac:dyDescent="0.2"/>
    <row r="2" spans="1:15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5" ht="7.5" customHeight="1" thickBot="1" x14ac:dyDescent="0.25">
      <c r="A3" s="194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95"/>
    </row>
    <row r="4" spans="1:15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5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5" ht="12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5" ht="12" customHeight="1" x14ac:dyDescent="0.2">
      <c r="A7" s="196"/>
      <c r="B7" s="575"/>
      <c r="C7" s="260" t="s">
        <v>6</v>
      </c>
      <c r="D7" s="263" t="str">
        <f>RESUMO!A47</f>
        <v>U.C. : 13</v>
      </c>
      <c r="E7" s="258"/>
      <c r="F7" s="258"/>
      <c r="G7" s="260" t="s">
        <v>9</v>
      </c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5" ht="12" customHeight="1" thickBot="1" x14ac:dyDescent="0.25">
      <c r="A8" s="197"/>
      <c r="B8" s="125"/>
      <c r="C8" s="266" t="s">
        <v>8</v>
      </c>
      <c r="D8" s="267" t="str">
        <f>RESUMO!B47</f>
        <v>ESTAÇÃO DE TRATAMENTO DE ESGOTO - ETE</v>
      </c>
      <c r="E8" s="268"/>
      <c r="F8" s="268"/>
      <c r="G8" s="266"/>
      <c r="H8" s="123"/>
      <c r="I8" s="278"/>
      <c r="J8" s="278"/>
      <c r="K8" s="278"/>
      <c r="L8" s="278"/>
      <c r="M8" s="278" t="s">
        <v>774</v>
      </c>
      <c r="N8" s="271"/>
      <c r="O8" s="427"/>
    </row>
    <row r="9" spans="1:15" ht="12" customHeight="1" thickTop="1" x14ac:dyDescent="0.2">
      <c r="A9" s="198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5" ht="7.5" customHeight="1" x14ac:dyDescent="0.2">
      <c r="O10" s="19"/>
    </row>
    <row r="11" spans="1:15" ht="12" customHeight="1" x14ac:dyDescent="0.2">
      <c r="A11" s="93">
        <f>RESUMO!A67</f>
        <v>16</v>
      </c>
      <c r="B11" s="93" t="str">
        <f>RESUMO!B67</f>
        <v>BIOFILTRO SUBMERSO - SERVIÇOS</v>
      </c>
      <c r="H11" s="19"/>
      <c r="O11" s="19"/>
    </row>
    <row r="12" spans="1:15" ht="12" customHeight="1" x14ac:dyDescent="0.2">
      <c r="A12" s="129" t="s">
        <v>48</v>
      </c>
      <c r="B12" s="88" t="s">
        <v>16</v>
      </c>
      <c r="C12" s="61"/>
      <c r="D12" s="61"/>
      <c r="E12" s="61"/>
      <c r="F12" s="61"/>
      <c r="G12" s="61"/>
      <c r="H12" s="19"/>
      <c r="I12" s="61"/>
      <c r="J12" s="61"/>
      <c r="K12" s="61"/>
      <c r="L12" s="61"/>
      <c r="M12" s="61"/>
      <c r="N12" s="61"/>
      <c r="O12" s="19"/>
    </row>
    <row r="13" spans="1:15" ht="12" customHeight="1" x14ac:dyDescent="0.2">
      <c r="A13" s="129" t="s">
        <v>79</v>
      </c>
      <c r="B13" s="88" t="s">
        <v>80</v>
      </c>
      <c r="C13" s="61"/>
      <c r="D13" s="61"/>
      <c r="E13" s="61"/>
      <c r="F13" s="61"/>
      <c r="G13" s="61"/>
      <c r="H13" s="19"/>
      <c r="I13" s="61"/>
      <c r="J13" s="61"/>
      <c r="K13" s="61"/>
      <c r="L13" s="61"/>
      <c r="M13" s="61"/>
      <c r="N13" s="61"/>
      <c r="O13" s="19"/>
    </row>
    <row r="14" spans="1:15" ht="12" customHeight="1" x14ac:dyDescent="0.2">
      <c r="A14" s="140" t="s">
        <v>286</v>
      </c>
      <c r="B14" s="834" t="s">
        <v>636</v>
      </c>
      <c r="C14" s="834"/>
      <c r="D14" s="834"/>
      <c r="E14" s="834"/>
      <c r="F14" s="834"/>
      <c r="G14" s="97" t="s">
        <v>31</v>
      </c>
      <c r="H14" s="308"/>
      <c r="I14" s="323">
        <f>VLOOKUP(A14,'[1]TAB OGU JUN18'!$A:$G,6,"falso")</f>
        <v>16.329999999999998</v>
      </c>
      <c r="J14" s="323">
        <f>VLOOKUP(A14,'[1]TAB OGU JUN18'!$A:$G,4,"falso")</f>
        <v>9.6300000000000008</v>
      </c>
      <c r="K14" s="308">
        <f>H14*J14</f>
        <v>0</v>
      </c>
      <c r="L14" s="323">
        <f>VLOOKUP(A14,'[1]TAB OGU JUN18'!$A:$G,5,"falso")</f>
        <v>6.7</v>
      </c>
      <c r="M14" s="308">
        <f>H14*L14</f>
        <v>0</v>
      </c>
      <c r="N14" s="308">
        <f>H14*I14</f>
        <v>0</v>
      </c>
      <c r="O14" s="185" t="e">
        <f>(N14*1)/$N$16</f>
        <v>#DIV/0!</v>
      </c>
    </row>
    <row r="15" spans="1:15" ht="12" customHeight="1" x14ac:dyDescent="0.2">
      <c r="A15" s="647"/>
      <c r="B15" s="61"/>
      <c r="C15" s="61"/>
      <c r="D15" s="61"/>
      <c r="E15" s="61"/>
      <c r="F15" s="61"/>
      <c r="G15" s="19"/>
      <c r="H15" s="324"/>
      <c r="I15" s="324"/>
      <c r="J15" s="324"/>
      <c r="K15" s="324"/>
      <c r="L15" s="324"/>
      <c r="M15" s="324"/>
      <c r="N15" s="309"/>
      <c r="O15" s="185"/>
    </row>
    <row r="16" spans="1:15" ht="12" customHeight="1" x14ac:dyDescent="0.2">
      <c r="A16" s="647"/>
      <c r="B16" s="130" t="s">
        <v>18</v>
      </c>
      <c r="C16" s="648"/>
      <c r="D16" s="648"/>
      <c r="E16" s="648"/>
      <c r="F16" s="648"/>
      <c r="G16" s="20"/>
      <c r="H16" s="325"/>
      <c r="I16" s="325"/>
      <c r="J16" s="325"/>
      <c r="K16" s="325"/>
      <c r="L16" s="325"/>
      <c r="M16" s="325"/>
      <c r="N16" s="308">
        <f>SUM(N14:N14)</f>
        <v>0</v>
      </c>
      <c r="O16" s="185" t="e">
        <f>N16/N23</f>
        <v>#DIV/0!</v>
      </c>
    </row>
    <row r="17" spans="1:15" ht="12" customHeight="1" x14ac:dyDescent="0.2">
      <c r="A17" s="647"/>
      <c r="B17" s="130"/>
      <c r="C17" s="61"/>
      <c r="D17" s="61"/>
      <c r="E17" s="61"/>
      <c r="F17" s="61"/>
      <c r="G17" s="19"/>
      <c r="H17" s="324"/>
      <c r="I17" s="324"/>
      <c r="J17" s="324"/>
      <c r="K17" s="324"/>
      <c r="L17" s="324"/>
      <c r="M17" s="324"/>
      <c r="N17" s="308"/>
      <c r="O17" s="185"/>
    </row>
    <row r="18" spans="1:15" ht="12" customHeight="1" x14ac:dyDescent="0.2">
      <c r="A18" s="129" t="s">
        <v>779</v>
      </c>
      <c r="B18" s="88" t="s">
        <v>780</v>
      </c>
      <c r="C18" s="61"/>
      <c r="D18" s="61"/>
      <c r="E18" s="61"/>
      <c r="F18" s="61"/>
      <c r="G18" s="61"/>
      <c r="H18" s="19"/>
      <c r="I18" s="61"/>
      <c r="J18" s="61"/>
      <c r="K18" s="61"/>
      <c r="L18" s="61"/>
      <c r="M18" s="61"/>
      <c r="N18" s="649"/>
      <c r="O18" s="187"/>
    </row>
    <row r="19" spans="1:15" ht="12" customHeight="1" x14ac:dyDescent="0.2">
      <c r="A19" s="140" t="s">
        <v>789</v>
      </c>
      <c r="B19" s="142" t="s">
        <v>636</v>
      </c>
      <c r="C19" s="153"/>
      <c r="D19" s="153"/>
      <c r="E19" s="153"/>
      <c r="F19" s="153"/>
      <c r="G19" s="97" t="s">
        <v>31</v>
      </c>
      <c r="H19" s="308"/>
      <c r="I19" s="323">
        <f>VLOOKUP(A19,'[1]TAB OGU JUN18'!$A:$G,6,"falso")</f>
        <v>0.47</v>
      </c>
      <c r="J19" s="323">
        <f>VLOOKUP(A19,'[1]TAB OGU JUN18'!$A:$G,4,"falso")</f>
        <v>0.47</v>
      </c>
      <c r="K19" s="308">
        <f>H19*J19</f>
        <v>0</v>
      </c>
      <c r="L19" s="323">
        <f>VLOOKUP(A19,'[1]TAB OGU JUN18'!$A:$G,5,"falso")</f>
        <v>0</v>
      </c>
      <c r="M19" s="308"/>
      <c r="N19" s="308">
        <f>H19*I19</f>
        <v>0</v>
      </c>
      <c r="O19" s="185" t="e">
        <f>N19/N21</f>
        <v>#DIV/0!</v>
      </c>
    </row>
    <row r="20" spans="1:15" ht="12" customHeight="1" x14ac:dyDescent="0.2">
      <c r="A20" s="647"/>
      <c r="B20" s="61"/>
      <c r="C20" s="61"/>
      <c r="D20" s="61"/>
      <c r="E20" s="61"/>
      <c r="F20" s="61"/>
      <c r="G20" s="19"/>
      <c r="H20" s="324"/>
      <c r="I20" s="324"/>
      <c r="J20" s="324"/>
      <c r="K20" s="324"/>
      <c r="L20" s="324"/>
      <c r="M20" s="324"/>
      <c r="N20" s="309"/>
      <c r="O20" s="185"/>
    </row>
    <row r="21" spans="1:15" ht="12" customHeight="1" x14ac:dyDescent="0.2">
      <c r="A21" s="647"/>
      <c r="B21" s="130" t="s">
        <v>18</v>
      </c>
      <c r="C21" s="648"/>
      <c r="D21" s="648"/>
      <c r="E21" s="648"/>
      <c r="F21" s="648"/>
      <c r="G21" s="20"/>
      <c r="H21" s="325"/>
      <c r="I21" s="325"/>
      <c r="J21" s="325"/>
      <c r="K21" s="325"/>
      <c r="L21" s="325"/>
      <c r="M21" s="325"/>
      <c r="N21" s="308">
        <f>SUM(N19:N19)</f>
        <v>0</v>
      </c>
      <c r="O21" s="185" t="e">
        <f>N21/N23</f>
        <v>#DIV/0!</v>
      </c>
    </row>
    <row r="22" spans="1:15" ht="12" customHeight="1" x14ac:dyDescent="0.2">
      <c r="A22" s="647"/>
      <c r="B22" s="130"/>
      <c r="C22" s="61"/>
      <c r="D22" s="61"/>
      <c r="E22" s="61"/>
      <c r="F22" s="61"/>
      <c r="G22" s="19"/>
      <c r="H22" s="324"/>
      <c r="I22" s="324"/>
      <c r="J22" s="324"/>
      <c r="K22" s="324"/>
      <c r="L22" s="324"/>
      <c r="M22" s="324"/>
      <c r="N22" s="308"/>
      <c r="O22" s="185"/>
    </row>
    <row r="23" spans="1:15" s="132" customFormat="1" ht="12" customHeight="1" x14ac:dyDescent="0.2">
      <c r="A23" s="650"/>
      <c r="B23" s="133" t="s">
        <v>20</v>
      </c>
      <c r="C23" s="127"/>
      <c r="D23" s="127"/>
      <c r="E23" s="127"/>
      <c r="F23" s="127"/>
      <c r="G23" s="455"/>
      <c r="H23" s="327"/>
      <c r="I23" s="327"/>
      <c r="J23" s="327"/>
      <c r="K23" s="327"/>
      <c r="L23" s="327"/>
      <c r="M23" s="327"/>
      <c r="N23" s="310">
        <f>N16+N21</f>
        <v>0</v>
      </c>
      <c r="O23" s="186" t="e">
        <f>N23/N146</f>
        <v>#DIV/0!</v>
      </c>
    </row>
    <row r="24" spans="1:15" ht="12" customHeight="1" x14ac:dyDescent="0.2">
      <c r="A24" s="647"/>
      <c r="B24" s="130"/>
      <c r="C24" s="61"/>
      <c r="D24" s="61"/>
      <c r="E24" s="61"/>
      <c r="F24" s="61"/>
      <c r="G24" s="19"/>
      <c r="H24" s="324"/>
      <c r="I24" s="324"/>
      <c r="J24" s="324"/>
      <c r="K24" s="324"/>
      <c r="L24" s="324"/>
      <c r="M24" s="324"/>
      <c r="N24" s="308"/>
      <c r="O24" s="185"/>
    </row>
    <row r="25" spans="1:15" ht="12" customHeight="1" x14ac:dyDescent="0.2">
      <c r="A25" s="129" t="s">
        <v>93</v>
      </c>
      <c r="B25" s="88" t="s">
        <v>96</v>
      </c>
      <c r="C25" s="61"/>
      <c r="D25" s="61"/>
      <c r="E25" s="61"/>
      <c r="F25" s="61"/>
      <c r="G25" s="61"/>
      <c r="H25" s="324"/>
      <c r="I25" s="329"/>
      <c r="J25" s="329"/>
      <c r="K25" s="329"/>
      <c r="L25" s="329"/>
      <c r="M25" s="329"/>
      <c r="N25" s="329"/>
      <c r="O25" s="187"/>
    </row>
    <row r="26" spans="1:15" ht="12" customHeight="1" x14ac:dyDescent="0.2">
      <c r="A26" s="252" t="s">
        <v>540</v>
      </c>
      <c r="B26" s="840" t="s">
        <v>644</v>
      </c>
      <c r="C26" s="840"/>
      <c r="D26" s="840"/>
      <c r="E26" s="840"/>
      <c r="F26" s="840"/>
      <c r="G26" s="61"/>
      <c r="H26" s="329"/>
      <c r="I26" s="329"/>
      <c r="J26" s="308"/>
      <c r="K26" s="329"/>
      <c r="L26" s="329"/>
      <c r="M26" s="329"/>
      <c r="N26" s="324"/>
      <c r="O26" s="187"/>
    </row>
    <row r="27" spans="1:15" ht="12" customHeight="1" x14ac:dyDescent="0.2">
      <c r="A27" s="129" t="s">
        <v>293</v>
      </c>
      <c r="B27" s="88" t="s">
        <v>541</v>
      </c>
      <c r="C27" s="61"/>
      <c r="D27" s="61"/>
      <c r="E27" s="61"/>
      <c r="F27" s="61"/>
      <c r="G27" s="97" t="s">
        <v>32</v>
      </c>
      <c r="H27" s="308"/>
      <c r="I27" s="323">
        <f>VLOOKUP(A27,'[1]TAB OGU JUN18'!$A:$G,6,"falso")</f>
        <v>31.26</v>
      </c>
      <c r="J27" s="323">
        <f>VLOOKUP(A27,'[1]TAB OGU JUN18'!$A:$G,4,"falso")</f>
        <v>31.26</v>
      </c>
      <c r="K27" s="308">
        <f>H27*J27</f>
        <v>0</v>
      </c>
      <c r="L27" s="323">
        <f>VLOOKUP(A27,'[1]TAB OGU JUN18'!$A:$G,5,"falso")</f>
        <v>0</v>
      </c>
      <c r="M27" s="308"/>
      <c r="N27" s="308">
        <f>H27*I27</f>
        <v>0</v>
      </c>
      <c r="O27" s="185" t="e">
        <f>N27/N29</f>
        <v>#DIV/0!</v>
      </c>
    </row>
    <row r="28" spans="1:15" ht="12" customHeight="1" x14ac:dyDescent="0.2">
      <c r="A28" s="647"/>
      <c r="B28" s="61"/>
      <c r="C28" s="61"/>
      <c r="D28" s="61"/>
      <c r="E28" s="61"/>
      <c r="F28" s="61"/>
      <c r="G28" s="19"/>
      <c r="H28" s="324"/>
      <c r="I28" s="324"/>
      <c r="J28" s="308"/>
      <c r="K28" s="324"/>
      <c r="L28" s="324"/>
      <c r="M28" s="324"/>
      <c r="N28" s="309"/>
      <c r="O28" s="185"/>
    </row>
    <row r="29" spans="1:15" ht="12" customHeight="1" x14ac:dyDescent="0.2">
      <c r="A29" s="647"/>
      <c r="B29" s="130" t="s">
        <v>18</v>
      </c>
      <c r="C29" s="648"/>
      <c r="D29" s="648"/>
      <c r="E29" s="648"/>
      <c r="F29" s="648"/>
      <c r="G29" s="20"/>
      <c r="H29" s="325"/>
      <c r="I29" s="325"/>
      <c r="J29" s="325"/>
      <c r="K29" s="325"/>
      <c r="L29" s="325"/>
      <c r="M29" s="325"/>
      <c r="N29" s="308">
        <f>SUM(N27:N27)</f>
        <v>0</v>
      </c>
      <c r="O29" s="185" t="e">
        <f>N29/N62</f>
        <v>#DIV/0!</v>
      </c>
    </row>
    <row r="30" spans="1:15" ht="12" customHeight="1" x14ac:dyDescent="0.2">
      <c r="A30" s="647"/>
      <c r="B30" s="130"/>
      <c r="C30" s="61"/>
      <c r="D30" s="61"/>
      <c r="E30" s="61"/>
      <c r="F30" s="61"/>
      <c r="G30" s="19"/>
      <c r="H30" s="324"/>
      <c r="I30" s="324"/>
      <c r="J30" s="308"/>
      <c r="K30" s="329"/>
      <c r="L30" s="329"/>
      <c r="M30" s="329"/>
      <c r="N30" s="308"/>
      <c r="O30" s="185"/>
    </row>
    <row r="31" spans="1:15" ht="12" customHeight="1" x14ac:dyDescent="0.2">
      <c r="A31" s="252" t="s">
        <v>543</v>
      </c>
      <c r="B31" s="840" t="s">
        <v>645</v>
      </c>
      <c r="C31" s="840"/>
      <c r="D31" s="840"/>
      <c r="E31" s="840"/>
      <c r="F31" s="840"/>
      <c r="G31" s="19"/>
      <c r="H31" s="324"/>
      <c r="I31" s="324"/>
      <c r="J31" s="324"/>
      <c r="K31" s="324"/>
      <c r="L31" s="324"/>
      <c r="M31" s="324"/>
      <c r="N31" s="324"/>
      <c r="O31" s="187"/>
    </row>
    <row r="32" spans="1:15" ht="12" customHeight="1" x14ac:dyDescent="0.2">
      <c r="A32" s="98" t="s">
        <v>295</v>
      </c>
      <c r="B32" s="88" t="s">
        <v>229</v>
      </c>
      <c r="C32" s="61"/>
      <c r="D32" s="61"/>
      <c r="E32" s="61"/>
      <c r="F32" s="61"/>
      <c r="G32" s="97" t="s">
        <v>32</v>
      </c>
      <c r="H32" s="308"/>
      <c r="I32" s="323">
        <f>VLOOKUP(A32,'[1]TAB OGU JUN18'!$A:$G,6,"falso")</f>
        <v>7.1</v>
      </c>
      <c r="J32" s="323">
        <f>VLOOKUP(A32,'[1]TAB OGU JUN18'!$A:$G,4,"falso")</f>
        <v>7.1</v>
      </c>
      <c r="K32" s="308">
        <f>H32*J32</f>
        <v>0</v>
      </c>
      <c r="L32" s="323">
        <f>VLOOKUP(A32,'[1]TAB OGU JUN18'!$A:$G,5,"falso")</f>
        <v>0</v>
      </c>
      <c r="M32" s="308"/>
      <c r="N32" s="308">
        <f>H32*I32</f>
        <v>0</v>
      </c>
      <c r="O32" s="185" t="e">
        <f>N32/N34</f>
        <v>#DIV/0!</v>
      </c>
    </row>
    <row r="33" spans="1:15" ht="12" customHeight="1" x14ac:dyDescent="0.2">
      <c r="A33" s="647"/>
      <c r="B33" s="61"/>
      <c r="C33" s="61"/>
      <c r="D33" s="61"/>
      <c r="E33" s="61"/>
      <c r="F33" s="61"/>
      <c r="G33" s="19"/>
      <c r="H33" s="324"/>
      <c r="I33" s="324"/>
      <c r="J33" s="324"/>
      <c r="K33" s="324"/>
      <c r="L33" s="324"/>
      <c r="M33" s="324"/>
      <c r="N33" s="324"/>
      <c r="O33" s="187"/>
    </row>
    <row r="34" spans="1:15" ht="12" customHeight="1" x14ac:dyDescent="0.2">
      <c r="A34" s="647"/>
      <c r="B34" s="130" t="s">
        <v>18</v>
      </c>
      <c r="C34" s="648"/>
      <c r="D34" s="648"/>
      <c r="E34" s="648"/>
      <c r="F34" s="648"/>
      <c r="G34" s="20"/>
      <c r="H34" s="325"/>
      <c r="I34" s="325"/>
      <c r="J34" s="325"/>
      <c r="K34" s="325"/>
      <c r="L34" s="325"/>
      <c r="M34" s="325"/>
      <c r="N34" s="308">
        <f>N32</f>
        <v>0</v>
      </c>
      <c r="O34" s="185" t="e">
        <f>N34/$N$62</f>
        <v>#DIV/0!</v>
      </c>
    </row>
    <row r="35" spans="1:15" ht="12" hidden="1" customHeight="1" x14ac:dyDescent="0.2">
      <c r="A35" s="647"/>
      <c r="B35" s="130"/>
      <c r="C35" s="61"/>
      <c r="D35" s="61"/>
      <c r="E35" s="61"/>
      <c r="F35" s="61"/>
      <c r="G35" s="19"/>
      <c r="H35" s="324"/>
      <c r="I35" s="324"/>
      <c r="J35" s="324"/>
      <c r="K35" s="324"/>
      <c r="L35" s="324"/>
      <c r="M35" s="324"/>
      <c r="N35" s="308"/>
      <c r="O35" s="185"/>
    </row>
    <row r="36" spans="1:15" ht="12" hidden="1" customHeight="1" x14ac:dyDescent="0.2">
      <c r="A36" s="256" t="s">
        <v>297</v>
      </c>
      <c r="B36" s="142" t="s">
        <v>298</v>
      </c>
      <c r="C36" s="142"/>
      <c r="D36" s="142"/>
      <c r="E36" s="142"/>
      <c r="F36" s="142"/>
      <c r="G36" s="97"/>
      <c r="H36" s="308"/>
      <c r="I36" s="308"/>
      <c r="J36" s="308"/>
      <c r="K36" s="308"/>
      <c r="L36" s="308"/>
      <c r="M36" s="308"/>
      <c r="N36" s="308"/>
      <c r="O36" s="185"/>
    </row>
    <row r="37" spans="1:15" ht="12" hidden="1" customHeight="1" x14ac:dyDescent="0.2">
      <c r="A37" s="256" t="s">
        <v>299</v>
      </c>
      <c r="B37" s="142" t="s">
        <v>300</v>
      </c>
      <c r="C37" s="142"/>
      <c r="D37" s="142"/>
      <c r="E37" s="142"/>
      <c r="F37" s="142"/>
      <c r="G37" s="97" t="s">
        <v>32</v>
      </c>
      <c r="H37" s="308"/>
      <c r="I37" s="323">
        <f>VLOOKUP(A37,'[1]TAB OGU JUN18'!$A:$G,6,"falso")</f>
        <v>9.8699999999999992</v>
      </c>
      <c r="J37" s="323">
        <f>VLOOKUP(A37,'[1]TAB OGU JUN18'!$A:$G,4,"falso")</f>
        <v>9.8699999999999992</v>
      </c>
      <c r="K37" s="308">
        <f>H37*J37</f>
        <v>0</v>
      </c>
      <c r="L37" s="323">
        <f>VLOOKUP(A37,'[1]TAB OGU JUN18'!$A:$G,5,"falso")</f>
        <v>0</v>
      </c>
      <c r="M37" s="308"/>
      <c r="N37" s="308">
        <f>H37*I37</f>
        <v>0</v>
      </c>
      <c r="O37" s="185" t="e">
        <f>N37/N39</f>
        <v>#DIV/0!</v>
      </c>
    </row>
    <row r="38" spans="1:15" ht="12" hidden="1" customHeight="1" x14ac:dyDescent="0.2">
      <c r="A38" s="647"/>
      <c r="B38" s="130"/>
      <c r="C38" s="61"/>
      <c r="D38" s="61"/>
      <c r="E38" s="61"/>
      <c r="F38" s="61"/>
      <c r="G38" s="19"/>
      <c r="H38" s="324"/>
      <c r="I38" s="324"/>
      <c r="J38" s="308"/>
      <c r="K38" s="324"/>
      <c r="L38" s="324"/>
      <c r="M38" s="324"/>
      <c r="N38" s="308"/>
      <c r="O38" s="185"/>
    </row>
    <row r="39" spans="1:15" ht="12" hidden="1" customHeight="1" x14ac:dyDescent="0.2">
      <c r="A39" s="647"/>
      <c r="B39" s="130" t="s">
        <v>18</v>
      </c>
      <c r="C39" s="648"/>
      <c r="D39" s="648"/>
      <c r="E39" s="648"/>
      <c r="F39" s="648"/>
      <c r="G39" s="20"/>
      <c r="H39" s="325"/>
      <c r="I39" s="325"/>
      <c r="J39" s="325"/>
      <c r="K39" s="325"/>
      <c r="L39" s="325"/>
      <c r="M39" s="325"/>
      <c r="N39" s="308">
        <f>N37</f>
        <v>0</v>
      </c>
      <c r="O39" s="185" t="e">
        <f>N39/$N$62</f>
        <v>#DIV/0!</v>
      </c>
    </row>
    <row r="40" spans="1:15" ht="12" customHeight="1" x14ac:dyDescent="0.2">
      <c r="A40" s="647"/>
      <c r="B40" s="130"/>
      <c r="C40" s="61"/>
      <c r="D40" s="61"/>
      <c r="E40" s="61"/>
      <c r="F40" s="61"/>
      <c r="G40" s="19"/>
      <c r="H40" s="324"/>
      <c r="I40" s="324"/>
      <c r="J40" s="308"/>
      <c r="K40" s="324"/>
      <c r="L40" s="324"/>
      <c r="M40" s="324"/>
      <c r="N40" s="308"/>
      <c r="O40" s="185"/>
    </row>
    <row r="41" spans="1:15" ht="12" customHeight="1" x14ac:dyDescent="0.2">
      <c r="A41" s="98" t="s">
        <v>101</v>
      </c>
      <c r="B41" s="88" t="s">
        <v>21</v>
      </c>
      <c r="C41" s="61"/>
      <c r="D41" s="61"/>
      <c r="E41" s="61"/>
      <c r="F41" s="61"/>
      <c r="G41" s="97"/>
      <c r="H41" s="308"/>
      <c r="I41" s="308"/>
      <c r="J41" s="308"/>
      <c r="K41" s="308"/>
      <c r="L41" s="308"/>
      <c r="M41" s="308"/>
      <c r="N41" s="308"/>
      <c r="O41" s="185"/>
    </row>
    <row r="42" spans="1:15" ht="12" hidden="1" customHeight="1" x14ac:dyDescent="0.2">
      <c r="A42" s="98" t="s">
        <v>102</v>
      </c>
      <c r="B42" s="88" t="s">
        <v>104</v>
      </c>
      <c r="C42" s="61"/>
      <c r="D42" s="61"/>
      <c r="E42" s="61"/>
      <c r="F42" s="61"/>
      <c r="G42" s="97" t="s">
        <v>32</v>
      </c>
      <c r="H42" s="308"/>
      <c r="I42" s="323">
        <f>VLOOKUP(A42,'[1]TAB OGU JUN18'!$A:$G,6,"falso")</f>
        <v>7.4</v>
      </c>
      <c r="J42" s="323">
        <f>VLOOKUP(A42,'[1]TAB OGU JUN18'!$A:$G,4,"falso")</f>
        <v>7.4</v>
      </c>
      <c r="K42" s="308">
        <f>H42*J42</f>
        <v>0</v>
      </c>
      <c r="L42" s="323">
        <f>VLOOKUP(A42,'[1]TAB OGU JUN18'!$A:$G,5,"falso")</f>
        <v>0</v>
      </c>
      <c r="M42" s="308"/>
      <c r="N42" s="308">
        <f>H42*I42</f>
        <v>0</v>
      </c>
      <c r="O42" s="185" t="e">
        <f>N42/N45</f>
        <v>#DIV/0!</v>
      </c>
    </row>
    <row r="43" spans="1:15" ht="12" customHeight="1" x14ac:dyDescent="0.2">
      <c r="A43" s="98" t="s">
        <v>103</v>
      </c>
      <c r="B43" s="88" t="s">
        <v>105</v>
      </c>
      <c r="C43" s="61"/>
      <c r="D43" s="61"/>
      <c r="E43" s="61"/>
      <c r="F43" s="61"/>
      <c r="G43" s="97" t="s">
        <v>32</v>
      </c>
      <c r="H43" s="308"/>
      <c r="I43" s="323">
        <f>VLOOKUP(A43,'[1]TAB OGU JUN18'!$A:$G,6,"falso")</f>
        <v>1.32</v>
      </c>
      <c r="J43" s="323">
        <f>VLOOKUP(A43,'[1]TAB OGU JUN18'!$A:$G,4,"falso")</f>
        <v>1.32</v>
      </c>
      <c r="K43" s="308">
        <f>H43*J43</f>
        <v>0</v>
      </c>
      <c r="L43" s="323">
        <f>VLOOKUP(A43,'[1]TAB OGU JUN18'!$A:$G,5,"falso")</f>
        <v>0</v>
      </c>
      <c r="M43" s="308"/>
      <c r="N43" s="308">
        <f>H43*I43</f>
        <v>0</v>
      </c>
      <c r="O43" s="185">
        <v>0</v>
      </c>
    </row>
    <row r="44" spans="1:15" ht="12" customHeight="1" x14ac:dyDescent="0.2">
      <c r="A44" s="647"/>
      <c r="B44" s="130"/>
      <c r="C44" s="61"/>
      <c r="D44" s="61"/>
      <c r="E44" s="61"/>
      <c r="F44" s="61"/>
      <c r="G44" s="19"/>
      <c r="H44" s="324"/>
      <c r="I44" s="324"/>
      <c r="J44" s="324"/>
      <c r="K44" s="324"/>
      <c r="L44" s="324"/>
      <c r="M44" s="324"/>
      <c r="N44" s="308"/>
      <c r="O44" s="185"/>
    </row>
    <row r="45" spans="1:15" ht="12" customHeight="1" x14ac:dyDescent="0.2">
      <c r="A45" s="647"/>
      <c r="B45" s="130" t="s">
        <v>18</v>
      </c>
      <c r="C45" s="648"/>
      <c r="D45" s="648"/>
      <c r="E45" s="648"/>
      <c r="F45" s="648"/>
      <c r="G45" s="20"/>
      <c r="H45" s="325"/>
      <c r="I45" s="325"/>
      <c r="J45" s="325"/>
      <c r="K45" s="325"/>
      <c r="L45" s="325"/>
      <c r="M45" s="325"/>
      <c r="N45" s="308">
        <f>SUM(N42:N44)</f>
        <v>0</v>
      </c>
      <c r="O45" s="185" t="e">
        <f>N45/$N$62</f>
        <v>#DIV/0!</v>
      </c>
    </row>
    <row r="46" spans="1:15" ht="12" customHeight="1" x14ac:dyDescent="0.2">
      <c r="A46" s="647"/>
      <c r="B46" s="130"/>
      <c r="C46" s="61"/>
      <c r="D46" s="61"/>
      <c r="E46" s="61"/>
      <c r="F46" s="61"/>
      <c r="G46" s="19"/>
      <c r="H46" s="324"/>
      <c r="I46" s="324"/>
      <c r="J46" s="324"/>
      <c r="K46" s="324"/>
      <c r="L46" s="324"/>
      <c r="M46" s="324"/>
      <c r="N46" s="308"/>
      <c r="O46" s="185"/>
    </row>
    <row r="47" spans="1:15" ht="12" customHeight="1" x14ac:dyDescent="0.2">
      <c r="A47" s="256" t="s">
        <v>301</v>
      </c>
      <c r="B47" s="834" t="s">
        <v>669</v>
      </c>
      <c r="C47" s="834"/>
      <c r="D47" s="834"/>
      <c r="E47" s="834"/>
      <c r="F47" s="834"/>
      <c r="G47" s="97"/>
      <c r="H47" s="308"/>
      <c r="I47" s="308"/>
      <c r="J47" s="308"/>
      <c r="K47" s="308"/>
      <c r="L47" s="308"/>
      <c r="M47" s="308"/>
      <c r="N47" s="308"/>
      <c r="O47" s="185"/>
    </row>
    <row r="48" spans="1:15" ht="12" customHeight="1" x14ac:dyDescent="0.2">
      <c r="A48" s="256" t="s">
        <v>302</v>
      </c>
      <c r="B48" s="834" t="s">
        <v>303</v>
      </c>
      <c r="C48" s="834"/>
      <c r="D48" s="834"/>
      <c r="E48" s="834"/>
      <c r="F48" s="834"/>
      <c r="G48" s="97" t="s">
        <v>32</v>
      </c>
      <c r="H48" s="308"/>
      <c r="I48" s="323">
        <f>VLOOKUP(A48,'[1]TAB OGU JUN18'!$A:$G,6,"falso")</f>
        <v>4.16</v>
      </c>
      <c r="J48" s="323">
        <f>VLOOKUP(A48,'[1]TAB OGU JUN18'!$A:$G,4,"falso")</f>
        <v>4.16</v>
      </c>
      <c r="K48" s="308">
        <f>H48*J48</f>
        <v>0</v>
      </c>
      <c r="L48" s="323">
        <f>VLOOKUP(A48,'[1]TAB OGU JUN18'!$A:$G,5,"falso")</f>
        <v>0</v>
      </c>
      <c r="M48" s="308"/>
      <c r="N48" s="308">
        <f>H48*I48</f>
        <v>0</v>
      </c>
      <c r="O48" s="185">
        <v>0</v>
      </c>
    </row>
    <row r="49" spans="1:15" ht="12" customHeight="1" x14ac:dyDescent="0.2">
      <c r="A49" s="647"/>
      <c r="B49" s="130"/>
      <c r="C49" s="61"/>
      <c r="D49" s="61"/>
      <c r="E49" s="61"/>
      <c r="F49" s="61"/>
      <c r="G49" s="19"/>
      <c r="H49" s="324"/>
      <c r="I49" s="324"/>
      <c r="J49" s="308"/>
      <c r="K49" s="324"/>
      <c r="L49" s="324"/>
      <c r="M49" s="324"/>
      <c r="N49" s="308"/>
      <c r="O49" s="185"/>
    </row>
    <row r="50" spans="1:15" ht="12" customHeight="1" x14ac:dyDescent="0.2">
      <c r="A50" s="647"/>
      <c r="B50" s="130" t="s">
        <v>18</v>
      </c>
      <c r="C50" s="648"/>
      <c r="D50" s="648"/>
      <c r="E50" s="648"/>
      <c r="F50" s="648"/>
      <c r="G50" s="20"/>
      <c r="H50" s="325"/>
      <c r="I50" s="325"/>
      <c r="J50" s="325"/>
      <c r="K50" s="325"/>
      <c r="L50" s="325"/>
      <c r="M50" s="325"/>
      <c r="N50" s="308">
        <f>N48</f>
        <v>0</v>
      </c>
      <c r="O50" s="185" t="e">
        <f>N50/$N$62</f>
        <v>#DIV/0!</v>
      </c>
    </row>
    <row r="51" spans="1:15" ht="12" customHeight="1" x14ac:dyDescent="0.2">
      <c r="A51" s="647"/>
      <c r="B51" s="130"/>
      <c r="C51" s="61"/>
      <c r="D51" s="61"/>
      <c r="E51" s="61"/>
      <c r="F51" s="61"/>
      <c r="G51" s="19"/>
      <c r="H51" s="324"/>
      <c r="I51" s="324"/>
      <c r="J51" s="308"/>
      <c r="K51" s="324"/>
      <c r="L51" s="324"/>
      <c r="M51" s="324"/>
      <c r="N51" s="308"/>
      <c r="O51" s="185"/>
    </row>
    <row r="52" spans="1:15" ht="12" customHeight="1" x14ac:dyDescent="0.2">
      <c r="A52" s="98" t="s">
        <v>110</v>
      </c>
      <c r="B52" s="88" t="s">
        <v>112</v>
      </c>
      <c r="C52" s="61"/>
      <c r="D52" s="61"/>
      <c r="E52" s="61"/>
      <c r="F52" s="61"/>
      <c r="G52" s="19"/>
      <c r="H52" s="324"/>
      <c r="I52" s="324"/>
      <c r="J52" s="324"/>
      <c r="K52" s="324"/>
      <c r="L52" s="324"/>
      <c r="M52" s="324"/>
      <c r="N52" s="324"/>
      <c r="O52" s="187"/>
    </row>
    <row r="53" spans="1:15" ht="12" customHeight="1" x14ac:dyDescent="0.2">
      <c r="A53" s="98" t="s">
        <v>111</v>
      </c>
      <c r="B53" s="88" t="s">
        <v>113</v>
      </c>
      <c r="C53" s="61"/>
      <c r="D53" s="61"/>
      <c r="E53" s="61"/>
      <c r="F53" s="61"/>
      <c r="G53" s="97" t="s">
        <v>32</v>
      </c>
      <c r="H53" s="308"/>
      <c r="I53" s="323">
        <f>VLOOKUP(A53,'[1]TAB OGU JUN18'!$A:$G,6,"falso")</f>
        <v>1.85</v>
      </c>
      <c r="J53" s="323">
        <f>VLOOKUP(A53,'[1]TAB OGU JUN18'!$A:$G,4,"falso")</f>
        <v>1.85</v>
      </c>
      <c r="K53" s="308">
        <f>H53*J53</f>
        <v>0</v>
      </c>
      <c r="L53" s="323">
        <f>VLOOKUP(A53,'[1]TAB OGU JUN18'!$A:$G,5,"falso")</f>
        <v>0</v>
      </c>
      <c r="M53" s="308"/>
      <c r="N53" s="308">
        <f>H53*I53</f>
        <v>0</v>
      </c>
      <c r="O53" s="185" t="e">
        <f>N53/N55</f>
        <v>#DIV/0!</v>
      </c>
    </row>
    <row r="54" spans="1:15" ht="12" customHeight="1" x14ac:dyDescent="0.2">
      <c r="A54" s="647"/>
      <c r="B54" s="61"/>
      <c r="C54" s="61"/>
      <c r="D54" s="61"/>
      <c r="E54" s="61"/>
      <c r="F54" s="61"/>
      <c r="G54" s="19"/>
      <c r="H54" s="324"/>
      <c r="I54" s="324"/>
      <c r="J54" s="324"/>
      <c r="K54" s="324"/>
      <c r="L54" s="324"/>
      <c r="M54" s="324"/>
      <c r="N54" s="324"/>
      <c r="O54" s="187"/>
    </row>
    <row r="55" spans="1:15" ht="12" customHeight="1" x14ac:dyDescent="0.2">
      <c r="A55" s="647"/>
      <c r="B55" s="130" t="s">
        <v>18</v>
      </c>
      <c r="C55" s="648"/>
      <c r="D55" s="648"/>
      <c r="E55" s="648"/>
      <c r="F55" s="648"/>
      <c r="G55" s="20"/>
      <c r="H55" s="325"/>
      <c r="I55" s="325"/>
      <c r="J55" s="325"/>
      <c r="K55" s="325"/>
      <c r="L55" s="325"/>
      <c r="M55" s="325"/>
      <c r="N55" s="308">
        <f>N53</f>
        <v>0</v>
      </c>
      <c r="O55" s="185" t="e">
        <f>N55/N62</f>
        <v>#DIV/0!</v>
      </c>
    </row>
    <row r="56" spans="1:15" ht="12" customHeight="1" x14ac:dyDescent="0.2">
      <c r="A56" s="647"/>
      <c r="B56" s="130"/>
      <c r="C56" s="61"/>
      <c r="D56" s="61"/>
      <c r="E56" s="61"/>
      <c r="F56" s="61"/>
      <c r="G56" s="19"/>
      <c r="H56" s="324"/>
      <c r="I56" s="324"/>
      <c r="J56" s="324"/>
      <c r="K56" s="324"/>
      <c r="L56" s="324"/>
      <c r="M56" s="324"/>
      <c r="N56" s="308"/>
      <c r="O56" s="185"/>
    </row>
    <row r="57" spans="1:15" ht="12" customHeight="1" x14ac:dyDescent="0.2">
      <c r="A57" s="98" t="s">
        <v>114</v>
      </c>
      <c r="B57" s="88" t="s">
        <v>737</v>
      </c>
      <c r="C57" s="61"/>
      <c r="D57" s="61"/>
      <c r="E57" s="61"/>
      <c r="F57" s="61"/>
      <c r="G57" s="19"/>
      <c r="H57" s="324"/>
      <c r="I57" s="324"/>
      <c r="J57" s="324"/>
      <c r="K57" s="324"/>
      <c r="L57" s="324"/>
      <c r="M57" s="324"/>
      <c r="N57" s="324"/>
      <c r="O57" s="187"/>
    </row>
    <row r="58" spans="1:15" ht="12" customHeight="1" x14ac:dyDescent="0.2">
      <c r="A58" s="98" t="s">
        <v>115</v>
      </c>
      <c r="B58" s="88" t="s">
        <v>116</v>
      </c>
      <c r="C58" s="61"/>
      <c r="D58" s="61"/>
      <c r="E58" s="61"/>
      <c r="F58" s="61"/>
      <c r="G58" s="97" t="s">
        <v>180</v>
      </c>
      <c r="H58" s="308"/>
      <c r="I58" s="323">
        <f>VLOOKUP(A58,'[1]TAB OGU JUN18'!$A:$G,6,"falso")</f>
        <v>1</v>
      </c>
      <c r="J58" s="323">
        <f>VLOOKUP(A58,'[1]TAB OGU JUN18'!$A:$G,4,"falso")</f>
        <v>1</v>
      </c>
      <c r="K58" s="308">
        <f>H58*J58</f>
        <v>0</v>
      </c>
      <c r="L58" s="323">
        <f>VLOOKUP(A58,'[1]TAB OGU JUN18'!$A:$G,5,"falso")</f>
        <v>0</v>
      </c>
      <c r="M58" s="308"/>
      <c r="N58" s="308">
        <f>H58*I58</f>
        <v>0</v>
      </c>
      <c r="O58" s="185" t="e">
        <f>N58/N60</f>
        <v>#DIV/0!</v>
      </c>
    </row>
    <row r="59" spans="1:15" ht="12" customHeight="1" x14ac:dyDescent="0.2">
      <c r="A59" s="647"/>
      <c r="B59" s="61"/>
      <c r="C59" s="61"/>
      <c r="D59" s="61"/>
      <c r="E59" s="61"/>
      <c r="F59" s="61"/>
      <c r="G59" s="19"/>
      <c r="H59" s="324"/>
      <c r="I59" s="324"/>
      <c r="J59" s="324"/>
      <c r="K59" s="324"/>
      <c r="L59" s="324"/>
      <c r="M59" s="324"/>
      <c r="N59" s="324"/>
      <c r="O59" s="187"/>
    </row>
    <row r="60" spans="1:15" ht="12" customHeight="1" x14ac:dyDescent="0.2">
      <c r="A60" s="647"/>
      <c r="B60" s="130" t="s">
        <v>18</v>
      </c>
      <c r="C60" s="648"/>
      <c r="D60" s="648"/>
      <c r="E60" s="648"/>
      <c r="F60" s="648"/>
      <c r="G60" s="20"/>
      <c r="H60" s="325"/>
      <c r="I60" s="325"/>
      <c r="J60" s="325"/>
      <c r="K60" s="325"/>
      <c r="L60" s="325"/>
      <c r="M60" s="325"/>
      <c r="N60" s="308">
        <f>N58</f>
        <v>0</v>
      </c>
      <c r="O60" s="185" t="e">
        <f>N60/N62</f>
        <v>#DIV/0!</v>
      </c>
    </row>
    <row r="61" spans="1:15" ht="12" customHeight="1" x14ac:dyDescent="0.2">
      <c r="A61" s="647"/>
      <c r="B61" s="130"/>
      <c r="C61" s="61"/>
      <c r="D61" s="61"/>
      <c r="E61" s="61"/>
      <c r="F61" s="61"/>
      <c r="G61" s="19"/>
      <c r="H61" s="324"/>
      <c r="I61" s="324"/>
      <c r="J61" s="324"/>
      <c r="K61" s="324"/>
      <c r="L61" s="324"/>
      <c r="M61" s="324"/>
      <c r="N61" s="308"/>
      <c r="O61" s="185"/>
    </row>
    <row r="62" spans="1:15" s="132" customFormat="1" ht="12" customHeight="1" x14ac:dyDescent="0.2">
      <c r="A62" s="650"/>
      <c r="B62" s="133" t="s">
        <v>20</v>
      </c>
      <c r="C62" s="127"/>
      <c r="D62" s="127"/>
      <c r="E62" s="127"/>
      <c r="F62" s="127"/>
      <c r="G62" s="455"/>
      <c r="H62" s="327"/>
      <c r="I62" s="327"/>
      <c r="J62" s="327"/>
      <c r="K62" s="327"/>
      <c r="L62" s="327"/>
      <c r="M62" s="327"/>
      <c r="N62" s="310">
        <f>N60+N55+N50+N34+N45+N39+N29</f>
        <v>0</v>
      </c>
      <c r="O62" s="186" t="e">
        <f>N62/N146</f>
        <v>#DIV/0!</v>
      </c>
    </row>
    <row r="63" spans="1:15" ht="12" customHeight="1" x14ac:dyDescent="0.2">
      <c r="A63" s="647"/>
      <c r="B63" s="130"/>
      <c r="C63" s="61"/>
      <c r="D63" s="61"/>
      <c r="E63" s="61"/>
      <c r="F63" s="61"/>
      <c r="G63" s="19"/>
      <c r="H63" s="324"/>
      <c r="I63" s="324"/>
      <c r="J63" s="324"/>
      <c r="K63" s="324"/>
      <c r="L63" s="324"/>
      <c r="M63" s="324"/>
      <c r="N63" s="308"/>
      <c r="O63" s="185"/>
    </row>
    <row r="64" spans="1:15" ht="12" customHeight="1" x14ac:dyDescent="0.2">
      <c r="A64" s="129" t="s">
        <v>124</v>
      </c>
      <c r="B64" s="88" t="s">
        <v>121</v>
      </c>
      <c r="C64" s="61"/>
      <c r="D64" s="61"/>
      <c r="E64" s="61"/>
      <c r="F64" s="61"/>
      <c r="G64" s="61"/>
      <c r="H64" s="324"/>
      <c r="I64" s="329"/>
      <c r="J64" s="329"/>
      <c r="K64" s="329"/>
      <c r="L64" s="329"/>
      <c r="M64" s="329"/>
      <c r="N64" s="329"/>
      <c r="O64" s="187"/>
    </row>
    <row r="65" spans="1:15" ht="12" customHeight="1" x14ac:dyDescent="0.2">
      <c r="A65" s="129" t="s">
        <v>125</v>
      </c>
      <c r="B65" s="88" t="s">
        <v>122</v>
      </c>
      <c r="C65" s="61"/>
      <c r="D65" s="61"/>
      <c r="E65" s="61"/>
      <c r="F65" s="61"/>
      <c r="G65" s="61"/>
      <c r="H65" s="324"/>
      <c r="I65" s="329"/>
      <c r="J65" s="329"/>
      <c r="K65" s="329"/>
      <c r="L65" s="329"/>
      <c r="M65" s="329"/>
      <c r="N65" s="329"/>
      <c r="O65" s="187"/>
    </row>
    <row r="66" spans="1:15" ht="12" customHeight="1" x14ac:dyDescent="0.2">
      <c r="A66" s="129" t="s">
        <v>126</v>
      </c>
      <c r="B66" s="88" t="s">
        <v>189</v>
      </c>
      <c r="C66" s="61"/>
      <c r="D66" s="61"/>
      <c r="E66" s="61"/>
      <c r="F66" s="61"/>
      <c r="G66" s="97" t="s">
        <v>123</v>
      </c>
      <c r="H66" s="308"/>
      <c r="I66" s="323">
        <f>VLOOKUP(A66,'[1]TAB OGU JUN18'!$A:$G,6,"falso")</f>
        <v>5.52</v>
      </c>
      <c r="J66" s="323">
        <f>VLOOKUP(A66,'[1]TAB OGU JUN18'!$A:$G,4,"falso")</f>
        <v>5.52</v>
      </c>
      <c r="K66" s="308">
        <f>H66*J66</f>
        <v>0</v>
      </c>
      <c r="L66" s="323">
        <f>VLOOKUP(A66,'[1]TAB OGU JUN18'!$A:$G,5,"falso")</f>
        <v>0</v>
      </c>
      <c r="M66" s="308"/>
      <c r="N66" s="308">
        <f>H66*I66</f>
        <v>0</v>
      </c>
      <c r="O66" s="185" t="e">
        <f>N66/N68</f>
        <v>#DIV/0!</v>
      </c>
    </row>
    <row r="67" spans="1:15" ht="12" customHeight="1" x14ac:dyDescent="0.2">
      <c r="A67" s="647"/>
      <c r="B67" s="130"/>
      <c r="C67" s="61"/>
      <c r="D67" s="61"/>
      <c r="E67" s="61"/>
      <c r="F67" s="61"/>
      <c r="G67" s="19"/>
      <c r="H67" s="324"/>
      <c r="I67" s="324"/>
      <c r="J67" s="324"/>
      <c r="K67" s="324"/>
      <c r="L67" s="324"/>
      <c r="M67" s="324"/>
      <c r="N67" s="308"/>
      <c r="O67" s="185"/>
    </row>
    <row r="68" spans="1:15" ht="12" customHeight="1" x14ac:dyDescent="0.2">
      <c r="A68" s="647"/>
      <c r="B68" s="130" t="s">
        <v>18</v>
      </c>
      <c r="C68" s="648"/>
      <c r="D68" s="648"/>
      <c r="E68" s="648"/>
      <c r="F68" s="648"/>
      <c r="G68" s="20"/>
      <c r="H68" s="325"/>
      <c r="I68" s="325"/>
      <c r="J68" s="325"/>
      <c r="K68" s="325"/>
      <c r="L68" s="325"/>
      <c r="M68" s="325"/>
      <c r="N68" s="308">
        <f>N66</f>
        <v>0</v>
      </c>
      <c r="O68" s="185" t="e">
        <f>N68/N70</f>
        <v>#DIV/0!</v>
      </c>
    </row>
    <row r="69" spans="1:15" ht="12" customHeight="1" x14ac:dyDescent="0.2">
      <c r="A69" s="647"/>
      <c r="B69" s="130"/>
      <c r="C69" s="61"/>
      <c r="D69" s="61"/>
      <c r="E69" s="61"/>
      <c r="F69" s="61"/>
      <c r="G69" s="19"/>
      <c r="H69" s="324"/>
      <c r="I69" s="324"/>
      <c r="J69" s="324"/>
      <c r="K69" s="324"/>
      <c r="L69" s="324"/>
      <c r="M69" s="324"/>
      <c r="N69" s="308"/>
      <c r="O69" s="185"/>
    </row>
    <row r="70" spans="1:15" s="132" customFormat="1" ht="12" customHeight="1" x14ac:dyDescent="0.2">
      <c r="A70" s="650"/>
      <c r="B70" s="133" t="s">
        <v>20</v>
      </c>
      <c r="C70" s="127"/>
      <c r="D70" s="127"/>
      <c r="E70" s="127"/>
      <c r="F70" s="127"/>
      <c r="G70" s="455"/>
      <c r="H70" s="327"/>
      <c r="I70" s="327"/>
      <c r="J70" s="327"/>
      <c r="K70" s="327"/>
      <c r="L70" s="327"/>
      <c r="M70" s="327"/>
      <c r="N70" s="310">
        <f>N68</f>
        <v>0</v>
      </c>
      <c r="O70" s="186" t="e">
        <f>N70/N146</f>
        <v>#DIV/0!</v>
      </c>
    </row>
    <row r="71" spans="1:15" ht="12" customHeight="1" x14ac:dyDescent="0.2">
      <c r="A71" s="644"/>
      <c r="B71" s="576"/>
      <c r="C71" s="576"/>
      <c r="D71" s="576"/>
      <c r="E71" s="576"/>
      <c r="F71" s="576"/>
      <c r="G71" s="651"/>
      <c r="H71" s="641"/>
      <c r="I71" s="642"/>
      <c r="J71" s="329"/>
      <c r="K71" s="329"/>
      <c r="L71" s="329"/>
      <c r="M71" s="329"/>
      <c r="N71" s="296"/>
      <c r="O71" s="297"/>
    </row>
    <row r="72" spans="1:15" ht="12" customHeight="1" x14ac:dyDescent="0.2">
      <c r="A72" s="256" t="s">
        <v>308</v>
      </c>
      <c r="B72" s="834" t="s">
        <v>309</v>
      </c>
      <c r="C72" s="834"/>
      <c r="D72" s="834"/>
      <c r="E72" s="834"/>
      <c r="F72" s="834"/>
      <c r="G72" s="651"/>
      <c r="H72" s="652"/>
      <c r="I72" s="653"/>
      <c r="J72" s="653"/>
      <c r="K72" s="653"/>
      <c r="L72" s="329"/>
      <c r="M72" s="329"/>
      <c r="N72" s="329"/>
      <c r="O72" s="187"/>
    </row>
    <row r="73" spans="1:15" ht="11.25" customHeight="1" x14ac:dyDescent="0.2">
      <c r="A73" s="256" t="s">
        <v>310</v>
      </c>
      <c r="B73" s="834" t="s">
        <v>311</v>
      </c>
      <c r="C73" s="834"/>
      <c r="D73" s="834"/>
      <c r="E73" s="834"/>
      <c r="F73" s="834"/>
      <c r="G73" s="651"/>
      <c r="H73" s="652"/>
      <c r="I73" s="641"/>
      <c r="J73" s="324"/>
      <c r="K73" s="324"/>
      <c r="L73" s="324"/>
      <c r="M73" s="324"/>
      <c r="N73" s="641"/>
      <c r="O73" s="654"/>
    </row>
    <row r="74" spans="1:15" ht="12.75" x14ac:dyDescent="0.2">
      <c r="A74" s="140" t="s">
        <v>312</v>
      </c>
      <c r="B74" s="200" t="s">
        <v>313</v>
      </c>
      <c r="C74" s="200"/>
      <c r="D74" s="200"/>
      <c r="E74" s="200"/>
      <c r="F74" s="200"/>
      <c r="G74" s="163" t="s">
        <v>17</v>
      </c>
      <c r="H74" s="293"/>
      <c r="I74" s="323">
        <f>VLOOKUP(A74,'[1]TAB OGU JUN18'!$A:$G,6,"falso")</f>
        <v>51.95</v>
      </c>
      <c r="J74" s="323">
        <f>VLOOKUP(A74,'[1]TAB OGU JUN18'!$A:$G,4,"falso")</f>
        <v>51.95</v>
      </c>
      <c r="K74" s="308">
        <f>H74*J74</f>
        <v>0</v>
      </c>
      <c r="L74" s="323">
        <f>VLOOKUP(A74,'[1]TAB OGU JUN18'!$A:$G,5,"falso")</f>
        <v>0</v>
      </c>
      <c r="M74" s="374"/>
      <c r="N74" s="308">
        <f>H74*I74</f>
        <v>0</v>
      </c>
      <c r="O74" s="424" t="e">
        <f>N74/N76</f>
        <v>#DIV/0!</v>
      </c>
    </row>
    <row r="75" spans="1:15" ht="11.25" customHeight="1" x14ac:dyDescent="0.2">
      <c r="A75" s="256"/>
      <c r="B75" s="576"/>
      <c r="C75" s="576"/>
      <c r="D75" s="576"/>
      <c r="E75" s="576"/>
      <c r="F75" s="576"/>
      <c r="G75" s="139"/>
      <c r="H75" s="293"/>
      <c r="I75" s="189"/>
      <c r="J75" s="308"/>
      <c r="K75" s="308"/>
      <c r="L75" s="308"/>
      <c r="M75" s="308"/>
      <c r="N75" s="189"/>
      <c r="O75" s="300"/>
    </row>
    <row r="76" spans="1:15" ht="11.25" customHeight="1" x14ac:dyDescent="0.2">
      <c r="A76" s="644"/>
      <c r="B76" s="155" t="s">
        <v>18</v>
      </c>
      <c r="C76" s="160"/>
      <c r="D76" s="160"/>
      <c r="E76" s="160"/>
      <c r="F76" s="144"/>
      <c r="G76" s="655"/>
      <c r="H76" s="656"/>
      <c r="I76" s="656"/>
      <c r="J76" s="656"/>
      <c r="K76" s="656"/>
      <c r="L76" s="656"/>
      <c r="M76" s="656"/>
      <c r="N76" s="315">
        <f>SUM(N74:N75)</f>
        <v>0</v>
      </c>
      <c r="O76" s="301" t="e">
        <f>N76/N104</f>
        <v>#DIV/0!</v>
      </c>
    </row>
    <row r="77" spans="1:15" ht="11.25" customHeight="1" x14ac:dyDescent="0.2">
      <c r="A77" s="644"/>
      <c r="B77" s="576"/>
      <c r="C77" s="576"/>
      <c r="D77" s="576"/>
      <c r="E77" s="576"/>
      <c r="F77" s="576"/>
      <c r="G77" s="651"/>
      <c r="H77" s="652"/>
      <c r="I77" s="641"/>
      <c r="J77" s="324"/>
      <c r="K77" s="324"/>
      <c r="L77" s="324"/>
      <c r="M77" s="324"/>
      <c r="N77" s="189"/>
      <c r="O77" s="300"/>
    </row>
    <row r="78" spans="1:15" ht="11.25" customHeight="1" x14ac:dyDescent="0.2">
      <c r="A78" s="256" t="s">
        <v>626</v>
      </c>
      <c r="B78" s="142" t="s">
        <v>627</v>
      </c>
      <c r="C78" s="142"/>
      <c r="D78" s="142"/>
      <c r="E78" s="142"/>
      <c r="F78" s="142"/>
      <c r="G78" s="651"/>
      <c r="H78" s="652"/>
      <c r="I78" s="641"/>
      <c r="J78" s="324"/>
      <c r="K78" s="324"/>
      <c r="L78" s="324"/>
      <c r="M78" s="324"/>
      <c r="N78" s="641"/>
      <c r="O78" s="654"/>
    </row>
    <row r="79" spans="1:15" ht="11.25" customHeight="1" x14ac:dyDescent="0.2">
      <c r="A79" s="256" t="s">
        <v>628</v>
      </c>
      <c r="B79" s="200" t="s">
        <v>629</v>
      </c>
      <c r="C79" s="142"/>
      <c r="D79" s="142"/>
      <c r="E79" s="142"/>
      <c r="F79" s="142"/>
      <c r="G79" s="139" t="s">
        <v>24</v>
      </c>
      <c r="H79" s="293"/>
      <c r="I79" s="323">
        <f>VLOOKUP(A79,'[1]TAB OGU JUN18'!$A:$G,6,"falso")</f>
        <v>59.33</v>
      </c>
      <c r="J79" s="323">
        <f>VLOOKUP(A79,'[1]TAB OGU JUN18'!$A:$G,4,"falso")</f>
        <v>59.33</v>
      </c>
      <c r="K79" s="308">
        <f>H79*J79</f>
        <v>0</v>
      </c>
      <c r="L79" s="323">
        <f>VLOOKUP(A79,'[1]TAB OGU JUN18'!$A:$G,5,"falso")</f>
        <v>0</v>
      </c>
      <c r="M79" s="308"/>
      <c r="N79" s="315">
        <f>H79*I79</f>
        <v>0</v>
      </c>
      <c r="O79" s="192" t="e">
        <f>N79/N81</f>
        <v>#DIV/0!</v>
      </c>
    </row>
    <row r="80" spans="1:15" ht="11.25" customHeight="1" x14ac:dyDescent="0.2">
      <c r="A80" s="256"/>
      <c r="B80" s="576"/>
      <c r="C80" s="576"/>
      <c r="D80" s="576"/>
      <c r="E80" s="576"/>
      <c r="F80" s="576"/>
      <c r="G80" s="139"/>
      <c r="H80" s="293"/>
      <c r="I80" s="189"/>
      <c r="J80" s="308"/>
      <c r="K80" s="308"/>
      <c r="L80" s="308"/>
      <c r="M80" s="308"/>
      <c r="N80" s="189"/>
      <c r="O80" s="300"/>
    </row>
    <row r="81" spans="1:15" ht="11.25" customHeight="1" x14ac:dyDescent="0.2">
      <c r="A81" s="644"/>
      <c r="B81" s="155" t="s">
        <v>18</v>
      </c>
      <c r="C81" s="160"/>
      <c r="D81" s="160"/>
      <c r="E81" s="160"/>
      <c r="F81" s="144"/>
      <c r="G81" s="655"/>
      <c r="H81" s="656"/>
      <c r="I81" s="656"/>
      <c r="J81" s="656"/>
      <c r="K81" s="656"/>
      <c r="L81" s="656"/>
      <c r="M81" s="656"/>
      <c r="N81" s="315">
        <f>SUM(N79:N80)</f>
        <v>0</v>
      </c>
      <c r="O81" s="301" t="e">
        <f>N81/N104</f>
        <v>#DIV/0!</v>
      </c>
    </row>
    <row r="82" spans="1:15" ht="11.25" customHeight="1" x14ac:dyDescent="0.2">
      <c r="A82" s="644"/>
      <c r="B82" s="576"/>
      <c r="C82" s="576"/>
      <c r="D82" s="576"/>
      <c r="E82" s="576"/>
      <c r="F82" s="576"/>
      <c r="G82" s="651"/>
      <c r="H82" s="652"/>
      <c r="I82" s="641"/>
      <c r="J82" s="324"/>
      <c r="K82" s="324"/>
      <c r="L82" s="324"/>
      <c r="M82" s="324"/>
      <c r="N82" s="189"/>
      <c r="O82" s="300"/>
    </row>
    <row r="83" spans="1:15" ht="12" customHeight="1" x14ac:dyDescent="0.2">
      <c r="A83" s="256" t="s">
        <v>679</v>
      </c>
      <c r="B83" s="142" t="s">
        <v>681</v>
      </c>
      <c r="C83" s="142"/>
      <c r="D83" s="142"/>
      <c r="E83" s="142"/>
      <c r="F83" s="142"/>
      <c r="G83" s="651"/>
      <c r="H83" s="652"/>
      <c r="I83" s="641"/>
      <c r="J83" s="324"/>
      <c r="K83" s="324"/>
      <c r="L83" s="324"/>
      <c r="M83" s="324"/>
      <c r="N83" s="641"/>
      <c r="O83" s="654"/>
    </row>
    <row r="84" spans="1:15" ht="12" customHeight="1" x14ac:dyDescent="0.2">
      <c r="A84" s="256" t="s">
        <v>680</v>
      </c>
      <c r="B84" s="142" t="s">
        <v>682</v>
      </c>
      <c r="C84" s="142"/>
      <c r="D84" s="142"/>
      <c r="E84" s="142"/>
      <c r="F84" s="142"/>
      <c r="G84" s="139" t="s">
        <v>31</v>
      </c>
      <c r="H84" s="293"/>
      <c r="I84" s="323">
        <f>VLOOKUP(A84,'[1]TAB OGU JUN18'!$A:$G,6,"falso")</f>
        <v>50.16</v>
      </c>
      <c r="J84" s="323">
        <f>VLOOKUP(A84,'[1]TAB OGU JUN18'!$A:$G,4,"falso")</f>
        <v>41.18</v>
      </c>
      <c r="K84" s="308">
        <f>H84*J84</f>
        <v>0</v>
      </c>
      <c r="L84" s="323">
        <f>VLOOKUP(A84,'[1]TAB OGU JUN18'!$A:$G,5,"falso")</f>
        <v>8.98</v>
      </c>
      <c r="M84" s="308">
        <f>H84*L84</f>
        <v>0</v>
      </c>
      <c r="N84" s="308">
        <f>H84*I84</f>
        <v>0</v>
      </c>
      <c r="O84" s="192" t="e">
        <f>N84/N86</f>
        <v>#DIV/0!</v>
      </c>
    </row>
    <row r="85" spans="1:15" ht="12" customHeight="1" x14ac:dyDescent="0.2">
      <c r="A85" s="256"/>
      <c r="B85" s="576"/>
      <c r="C85" s="576"/>
      <c r="D85" s="576"/>
      <c r="E85" s="576"/>
      <c r="F85" s="576"/>
      <c r="G85" s="139"/>
      <c r="H85" s="293"/>
      <c r="I85" s="189"/>
      <c r="J85" s="308"/>
      <c r="K85" s="308"/>
      <c r="L85" s="308"/>
      <c r="M85" s="308"/>
      <c r="N85" s="189"/>
      <c r="O85" s="300"/>
    </row>
    <row r="86" spans="1:15" ht="12" customHeight="1" x14ac:dyDescent="0.2">
      <c r="A86" s="644"/>
      <c r="B86" s="155" t="s">
        <v>18</v>
      </c>
      <c r="C86" s="160"/>
      <c r="D86" s="160"/>
      <c r="E86" s="160"/>
      <c r="F86" s="144"/>
      <c r="G86" s="655"/>
      <c r="H86" s="656"/>
      <c r="I86" s="656"/>
      <c r="J86" s="656"/>
      <c r="K86" s="656"/>
      <c r="L86" s="656"/>
      <c r="M86" s="656"/>
      <c r="N86" s="315">
        <f>SUM(N84:N85)</f>
        <v>0</v>
      </c>
      <c r="O86" s="301" t="e">
        <f>N86/N104</f>
        <v>#DIV/0!</v>
      </c>
    </row>
    <row r="87" spans="1:15" ht="12" customHeight="1" x14ac:dyDescent="0.2">
      <c r="A87" s="644"/>
      <c r="B87" s="576"/>
      <c r="C87" s="576"/>
      <c r="D87" s="576"/>
      <c r="E87" s="576"/>
      <c r="F87" s="576"/>
      <c r="G87" s="651"/>
      <c r="H87" s="652"/>
      <c r="I87" s="641"/>
      <c r="J87" s="324"/>
      <c r="K87" s="324"/>
      <c r="L87" s="324"/>
      <c r="M87" s="324"/>
      <c r="N87" s="189"/>
      <c r="O87" s="300"/>
    </row>
    <row r="88" spans="1:15" ht="11.25" customHeight="1" x14ac:dyDescent="0.2">
      <c r="A88" s="256" t="s">
        <v>314</v>
      </c>
      <c r="B88" s="142" t="s">
        <v>315</v>
      </c>
      <c r="C88" s="142"/>
      <c r="D88" s="142"/>
      <c r="E88" s="142"/>
      <c r="F88" s="142"/>
      <c r="G88" s="651"/>
      <c r="H88" s="652"/>
      <c r="I88" s="641"/>
      <c r="J88" s="324"/>
      <c r="K88" s="324"/>
      <c r="L88" s="324"/>
      <c r="M88" s="324"/>
      <c r="N88" s="641"/>
      <c r="O88" s="654"/>
    </row>
    <row r="89" spans="1:15" ht="11.25" customHeight="1" x14ac:dyDescent="0.2">
      <c r="A89" s="256" t="s">
        <v>685</v>
      </c>
      <c r="B89" s="200" t="s">
        <v>640</v>
      </c>
      <c r="C89" s="142"/>
      <c r="D89" s="142"/>
      <c r="E89" s="142"/>
      <c r="F89" s="142"/>
      <c r="G89" s="139" t="s">
        <v>31</v>
      </c>
      <c r="H89" s="293"/>
      <c r="I89" s="323">
        <f>VLOOKUP(A89,'[1]TAB OGU JUN18'!$A:$G,6,"falso")</f>
        <v>67.22</v>
      </c>
      <c r="J89" s="323">
        <f>VLOOKUP(A89,'[1]TAB OGU JUN18'!$A:$G,4,"falso")</f>
        <v>41.18</v>
      </c>
      <c r="K89" s="308">
        <f>H89*J89</f>
        <v>0</v>
      </c>
      <c r="L89" s="323">
        <f>VLOOKUP(A89,'[1]TAB OGU JUN18'!$A:$G,5,"falso")</f>
        <v>26.04</v>
      </c>
      <c r="M89" s="374">
        <f>H89*L89</f>
        <v>0</v>
      </c>
      <c r="N89" s="315">
        <f>H89*I89</f>
        <v>0</v>
      </c>
      <c r="O89" s="192" t="e">
        <f>N89/N91</f>
        <v>#DIV/0!</v>
      </c>
    </row>
    <row r="90" spans="1:15" ht="11.25" customHeight="1" x14ac:dyDescent="0.2">
      <c r="A90" s="256"/>
      <c r="B90" s="576"/>
      <c r="C90" s="576"/>
      <c r="D90" s="576"/>
      <c r="E90" s="576"/>
      <c r="F90" s="576"/>
      <c r="G90" s="139"/>
      <c r="H90" s="293"/>
      <c r="I90" s="189"/>
      <c r="J90" s="308"/>
      <c r="K90" s="308"/>
      <c r="L90" s="308"/>
      <c r="M90" s="308"/>
      <c r="N90" s="189"/>
      <c r="O90" s="300"/>
    </row>
    <row r="91" spans="1:15" ht="11.25" customHeight="1" x14ac:dyDescent="0.2">
      <c r="A91" s="644"/>
      <c r="B91" s="155" t="s">
        <v>18</v>
      </c>
      <c r="C91" s="160"/>
      <c r="D91" s="160"/>
      <c r="E91" s="160"/>
      <c r="F91" s="144"/>
      <c r="G91" s="655"/>
      <c r="H91" s="656"/>
      <c r="I91" s="656"/>
      <c r="J91" s="656"/>
      <c r="K91" s="656"/>
      <c r="L91" s="656"/>
      <c r="M91" s="656"/>
      <c r="N91" s="315">
        <f>SUM(N89:N90)</f>
        <v>0</v>
      </c>
      <c r="O91" s="301" t="e">
        <f>N91/N104</f>
        <v>#DIV/0!</v>
      </c>
    </row>
    <row r="92" spans="1:15" ht="11.25" customHeight="1" x14ac:dyDescent="0.2">
      <c r="A92" s="644"/>
      <c r="B92" s="576"/>
      <c r="C92" s="576"/>
      <c r="D92" s="576"/>
      <c r="E92" s="576"/>
      <c r="F92" s="576"/>
      <c r="G92" s="651"/>
      <c r="H92" s="652"/>
      <c r="I92" s="641"/>
      <c r="J92" s="324"/>
      <c r="K92" s="324"/>
      <c r="L92" s="324"/>
      <c r="M92" s="324"/>
      <c r="N92" s="189"/>
      <c r="O92" s="300"/>
    </row>
    <row r="93" spans="1:15" ht="12" customHeight="1" x14ac:dyDescent="0.2">
      <c r="A93" s="256" t="s">
        <v>321</v>
      </c>
      <c r="B93" s="834" t="s">
        <v>322</v>
      </c>
      <c r="C93" s="834"/>
      <c r="D93" s="834"/>
      <c r="E93" s="834"/>
      <c r="F93" s="834"/>
      <c r="G93" s="651"/>
      <c r="H93" s="652"/>
      <c r="I93" s="641"/>
      <c r="J93" s="324"/>
      <c r="K93" s="324"/>
      <c r="L93" s="324"/>
      <c r="M93" s="324"/>
      <c r="N93" s="641"/>
      <c r="O93" s="654"/>
    </row>
    <row r="94" spans="1:15" ht="12" customHeight="1" x14ac:dyDescent="0.2">
      <c r="A94" s="256" t="s">
        <v>323</v>
      </c>
      <c r="B94" s="834" t="s">
        <v>324</v>
      </c>
      <c r="C94" s="834"/>
      <c r="D94" s="834"/>
      <c r="E94" s="834"/>
      <c r="F94" s="834"/>
      <c r="G94" s="139" t="s">
        <v>325</v>
      </c>
      <c r="H94" s="293"/>
      <c r="I94" s="323">
        <f>VLOOKUP(A94,'[1]TAB OGU JUN18'!$A:$G,6,"falso")</f>
        <v>5.01</v>
      </c>
      <c r="J94" s="323">
        <f>VLOOKUP(A94,'[1]TAB OGU JUN18'!$A:$G,4,"falso")</f>
        <v>2.4500000000000002</v>
      </c>
      <c r="K94" s="308">
        <f>H94*J94</f>
        <v>0</v>
      </c>
      <c r="L94" s="323">
        <f>VLOOKUP(A94,'[1]TAB OGU JUN18'!$A:$G,5,"falso")</f>
        <v>2.56</v>
      </c>
      <c r="M94" s="308">
        <f>H94*L94</f>
        <v>0</v>
      </c>
      <c r="N94" s="308">
        <f>H94*I94</f>
        <v>0</v>
      </c>
      <c r="O94" s="192" t="e">
        <f>N94/N97</f>
        <v>#DIV/0!</v>
      </c>
    </row>
    <row r="95" spans="1:15" ht="12" customHeight="1" x14ac:dyDescent="0.2">
      <c r="A95" s="256" t="s">
        <v>326</v>
      </c>
      <c r="B95" s="834" t="s">
        <v>327</v>
      </c>
      <c r="C95" s="834"/>
      <c r="D95" s="834"/>
      <c r="E95" s="834"/>
      <c r="F95" s="834"/>
      <c r="G95" s="139" t="s">
        <v>325</v>
      </c>
      <c r="H95" s="293"/>
      <c r="I95" s="323">
        <f>VLOOKUP(A95,'[1]TAB OGU JUN18'!$A:$G,6,"falso")</f>
        <v>8.01</v>
      </c>
      <c r="J95" s="323">
        <f>VLOOKUP(A95,'[1]TAB OGU JUN18'!$A:$G,4,"falso")</f>
        <v>3.68</v>
      </c>
      <c r="K95" s="308">
        <f>H95*J95</f>
        <v>0</v>
      </c>
      <c r="L95" s="323">
        <f>VLOOKUP(A95,'[1]TAB OGU JUN18'!$A:$G,5,"falso")</f>
        <v>4.33</v>
      </c>
      <c r="M95" s="308">
        <f>H95*L95</f>
        <v>0</v>
      </c>
      <c r="N95" s="308">
        <f>H95*I95</f>
        <v>0</v>
      </c>
      <c r="O95" s="192" t="e">
        <f>N95/N97</f>
        <v>#DIV/0!</v>
      </c>
    </row>
    <row r="96" spans="1:15" ht="12" customHeight="1" x14ac:dyDescent="0.2">
      <c r="A96" s="256"/>
      <c r="B96" s="576"/>
      <c r="C96" s="576"/>
      <c r="D96" s="576"/>
      <c r="E96" s="576"/>
      <c r="F96" s="576"/>
      <c r="G96" s="139"/>
      <c r="H96" s="293"/>
      <c r="I96" s="189"/>
      <c r="J96" s="308"/>
      <c r="K96" s="308"/>
      <c r="L96" s="308"/>
      <c r="M96" s="308"/>
      <c r="N96" s="189"/>
      <c r="O96" s="300"/>
    </row>
    <row r="97" spans="1:16" ht="12" customHeight="1" x14ac:dyDescent="0.2">
      <c r="A97" s="644"/>
      <c r="B97" s="155" t="s">
        <v>18</v>
      </c>
      <c r="C97" s="160"/>
      <c r="D97" s="160"/>
      <c r="E97" s="160"/>
      <c r="F97" s="144"/>
      <c r="G97" s="655"/>
      <c r="H97" s="656"/>
      <c r="I97" s="656"/>
      <c r="J97" s="656"/>
      <c r="K97" s="656"/>
      <c r="L97" s="656"/>
      <c r="M97" s="656"/>
      <c r="N97" s="315">
        <f>SUM(N94:N96)</f>
        <v>0</v>
      </c>
      <c r="O97" s="301" t="e">
        <f>N97/N104</f>
        <v>#DIV/0!</v>
      </c>
    </row>
    <row r="98" spans="1:16" ht="12" customHeight="1" x14ac:dyDescent="0.2">
      <c r="A98" s="644"/>
      <c r="B98" s="576"/>
      <c r="C98" s="576"/>
      <c r="D98" s="576"/>
      <c r="E98" s="576"/>
      <c r="F98" s="576"/>
      <c r="G98" s="640"/>
      <c r="H98" s="641"/>
      <c r="I98" s="641"/>
      <c r="J98" s="324"/>
      <c r="K98" s="324"/>
      <c r="L98" s="324"/>
      <c r="M98" s="324"/>
      <c r="N98" s="189"/>
      <c r="O98" s="300"/>
    </row>
    <row r="99" spans="1:16" ht="12" customHeight="1" x14ac:dyDescent="0.2">
      <c r="A99" s="256" t="s">
        <v>328</v>
      </c>
      <c r="B99" s="834" t="s">
        <v>329</v>
      </c>
      <c r="C99" s="834"/>
      <c r="D99" s="834"/>
      <c r="E99" s="834"/>
      <c r="F99" s="834"/>
      <c r="G99" s="640"/>
      <c r="H99" s="641"/>
      <c r="I99" s="641"/>
      <c r="J99" s="324"/>
      <c r="K99" s="324"/>
      <c r="L99" s="324"/>
      <c r="M99" s="324"/>
      <c r="N99" s="641"/>
      <c r="O99" s="654"/>
    </row>
    <row r="100" spans="1:16" ht="12" customHeight="1" x14ac:dyDescent="0.2">
      <c r="A100" s="256" t="s">
        <v>677</v>
      </c>
      <c r="B100" s="834" t="s">
        <v>676</v>
      </c>
      <c r="C100" s="834"/>
      <c r="D100" s="834"/>
      <c r="E100" s="834"/>
      <c r="F100" s="834"/>
      <c r="G100" s="139" t="s">
        <v>32</v>
      </c>
      <c r="H100" s="189"/>
      <c r="I100" s="323">
        <f>VLOOKUP(A100,'[1]TAB OGU JUN18'!$A:$G,6,"falso")</f>
        <v>542.5</v>
      </c>
      <c r="J100" s="323">
        <f>VLOOKUP(A100,'[1]TAB OGU JUN18'!$A:$G,4,"falso")</f>
        <v>284.58999999999997</v>
      </c>
      <c r="K100" s="308">
        <f>H100*J100</f>
        <v>0</v>
      </c>
      <c r="L100" s="323">
        <f>VLOOKUP(A100,'[1]TAB OGU JUN18'!$A:$G,5,"falso")</f>
        <v>257.91000000000003</v>
      </c>
      <c r="M100" s="308">
        <f>H100*L100</f>
        <v>0</v>
      </c>
      <c r="N100" s="308">
        <f>H100*I100</f>
        <v>0</v>
      </c>
      <c r="O100" s="192" t="e">
        <f>N100/N102</f>
        <v>#DIV/0!</v>
      </c>
    </row>
    <row r="101" spans="1:16" ht="12" customHeight="1" x14ac:dyDescent="0.2">
      <c r="A101" s="292"/>
      <c r="B101" s="578"/>
      <c r="C101" s="578"/>
      <c r="D101" s="578"/>
      <c r="E101" s="578"/>
      <c r="F101" s="578"/>
      <c r="G101" s="163"/>
      <c r="H101" s="293"/>
      <c r="I101" s="293"/>
      <c r="J101" s="308"/>
      <c r="K101" s="308"/>
      <c r="L101" s="308"/>
      <c r="M101" s="308"/>
      <c r="N101" s="293"/>
      <c r="O101" s="320"/>
    </row>
    <row r="102" spans="1:16" ht="12" customHeight="1" x14ac:dyDescent="0.2">
      <c r="A102" s="644"/>
      <c r="B102" s="155" t="s">
        <v>18</v>
      </c>
      <c r="C102" s="160"/>
      <c r="D102" s="160"/>
      <c r="E102" s="160"/>
      <c r="F102" s="144"/>
      <c r="G102" s="655"/>
      <c r="H102" s="656"/>
      <c r="I102" s="656"/>
      <c r="J102" s="656"/>
      <c r="K102" s="656"/>
      <c r="L102" s="656"/>
      <c r="M102" s="656"/>
      <c r="N102" s="315">
        <f>SUM(N100:N101)</f>
        <v>0</v>
      </c>
      <c r="O102" s="301" t="e">
        <f>N102/N104</f>
        <v>#DIV/0!</v>
      </c>
    </row>
    <row r="103" spans="1:16" ht="12" customHeight="1" x14ac:dyDescent="0.2">
      <c r="A103" s="644"/>
      <c r="B103" s="834"/>
      <c r="C103" s="834"/>
      <c r="D103" s="834"/>
      <c r="E103" s="834"/>
      <c r="F103" s="834"/>
      <c r="G103" s="651"/>
      <c r="H103" s="641"/>
      <c r="I103" s="641"/>
      <c r="J103" s="324"/>
      <c r="K103" s="324"/>
      <c r="L103" s="324"/>
      <c r="M103" s="324"/>
      <c r="N103" s="189"/>
      <c r="O103" s="300"/>
    </row>
    <row r="104" spans="1:16" ht="12" customHeight="1" x14ac:dyDescent="0.2">
      <c r="A104" s="657"/>
      <c r="B104" s="165" t="s">
        <v>20</v>
      </c>
      <c r="C104" s="166"/>
      <c r="D104" s="166"/>
      <c r="E104" s="166"/>
      <c r="F104" s="167"/>
      <c r="G104" s="658"/>
      <c r="H104" s="659"/>
      <c r="I104" s="659"/>
      <c r="J104" s="659"/>
      <c r="K104" s="659"/>
      <c r="L104" s="659"/>
      <c r="M104" s="659"/>
      <c r="N104" s="369">
        <f>N76+N81+N86+N91+N97+N102</f>
        <v>0</v>
      </c>
      <c r="O104" s="321" t="e">
        <f>N104/N146</f>
        <v>#DIV/0!</v>
      </c>
    </row>
    <row r="105" spans="1:16" ht="12" customHeight="1" x14ac:dyDescent="0.2">
      <c r="A105" s="657"/>
      <c r="B105" s="165"/>
      <c r="C105" s="165"/>
      <c r="D105" s="165"/>
      <c r="E105" s="165"/>
      <c r="F105" s="480"/>
      <c r="G105" s="660"/>
      <c r="H105" s="661"/>
      <c r="I105" s="661"/>
      <c r="J105" s="661"/>
      <c r="K105" s="661"/>
      <c r="L105" s="661"/>
      <c r="M105" s="661"/>
      <c r="N105" s="369"/>
      <c r="O105" s="321"/>
    </row>
    <row r="106" spans="1:16" ht="12" customHeight="1" x14ac:dyDescent="0.2">
      <c r="A106" s="256" t="s">
        <v>127</v>
      </c>
      <c r="B106" s="834" t="s">
        <v>953</v>
      </c>
      <c r="C106" s="834"/>
      <c r="D106" s="834"/>
      <c r="E106" s="834"/>
      <c r="F106" s="834"/>
      <c r="G106" s="640"/>
      <c r="H106" s="641"/>
      <c r="I106" s="641"/>
      <c r="J106" s="324"/>
      <c r="K106" s="324"/>
      <c r="L106" s="324"/>
      <c r="M106" s="324"/>
      <c r="N106" s="641"/>
      <c r="O106" s="654"/>
    </row>
    <row r="107" spans="1:16" ht="12" customHeight="1" x14ac:dyDescent="0.2">
      <c r="A107" s="256" t="s">
        <v>128</v>
      </c>
      <c r="B107" s="834" t="s">
        <v>943</v>
      </c>
      <c r="C107" s="834"/>
      <c r="D107" s="834"/>
      <c r="E107" s="834"/>
      <c r="F107" s="834"/>
      <c r="G107" s="651"/>
      <c r="H107" s="641"/>
      <c r="I107" s="642"/>
      <c r="J107" s="642"/>
      <c r="K107" s="331"/>
      <c r="L107" s="329"/>
      <c r="M107" s="329"/>
      <c r="N107" s="324"/>
      <c r="O107" s="187"/>
    </row>
    <row r="108" spans="1:16" ht="12.75" x14ac:dyDescent="0.2">
      <c r="A108" s="256" t="s">
        <v>181</v>
      </c>
      <c r="B108" s="834" t="s">
        <v>1381</v>
      </c>
      <c r="C108" s="834"/>
      <c r="D108" s="834"/>
      <c r="E108" s="834"/>
      <c r="F108" s="834"/>
      <c r="G108" s="97" t="s">
        <v>17</v>
      </c>
      <c r="H108" s="189"/>
      <c r="I108" s="323">
        <f>VLOOKUP(A108,'[1]TAB OGU JUN18'!$A:$G,6,"falso")</f>
        <v>2.17</v>
      </c>
      <c r="J108" s="323">
        <f>VLOOKUP(A108,'[1]TAB OGU JUN18'!$A:$G,4,"falso")</f>
        <v>2.13</v>
      </c>
      <c r="K108" s="308">
        <f>H108*J108</f>
        <v>0</v>
      </c>
      <c r="L108" s="323">
        <f>VLOOKUP(A108,'[1]TAB OGU JUN18'!$A:$G,5,"falso")</f>
        <v>0.04</v>
      </c>
      <c r="M108" s="308">
        <f>H108*L108</f>
        <v>0</v>
      </c>
      <c r="N108" s="308">
        <f>H108*I108</f>
        <v>0</v>
      </c>
      <c r="O108" s="297" t="e">
        <f>N108/N111</f>
        <v>#DIV/0!</v>
      </c>
      <c r="P108" s="51" t="s">
        <v>634</v>
      </c>
    </row>
    <row r="109" spans="1:16" ht="12" customHeight="1" x14ac:dyDescent="0.2">
      <c r="A109" s="256" t="s">
        <v>352</v>
      </c>
      <c r="B109" s="576" t="s">
        <v>1382</v>
      </c>
      <c r="C109" s="576"/>
      <c r="D109" s="576"/>
      <c r="E109" s="576"/>
      <c r="F109" s="576"/>
      <c r="G109" s="97" t="s">
        <v>32</v>
      </c>
      <c r="H109" s="189"/>
      <c r="I109" s="323">
        <f>VLOOKUP(A109,'[1]TAB OGU JUN18'!$A:$G,6,"falso")</f>
        <v>172.51</v>
      </c>
      <c r="J109" s="323">
        <f>VLOOKUP(A109,'[1]TAB OGU JUN18'!$A:$G,4,"falso")</f>
        <v>74.180000000000007</v>
      </c>
      <c r="K109" s="308">
        <f>H109*J109</f>
        <v>0</v>
      </c>
      <c r="L109" s="323">
        <f>VLOOKUP(A109,'[1]TAB OGU JUN18'!$A:$G,5,"falso")</f>
        <v>98.33</v>
      </c>
      <c r="M109" s="308">
        <f>H109*L109</f>
        <v>0</v>
      </c>
      <c r="N109" s="308">
        <f>H109*I109</f>
        <v>0</v>
      </c>
      <c r="O109" s="297" t="e">
        <f>N109/N111</f>
        <v>#DIV/0!</v>
      </c>
    </row>
    <row r="110" spans="1:16" ht="12" customHeight="1" x14ac:dyDescent="0.2">
      <c r="A110" s="256"/>
      <c r="B110" s="576"/>
      <c r="C110" s="576"/>
      <c r="D110" s="576"/>
      <c r="E110" s="576"/>
      <c r="F110" s="576"/>
      <c r="G110" s="139"/>
      <c r="H110" s="189"/>
      <c r="I110" s="296"/>
      <c r="J110" s="296"/>
      <c r="K110" s="296"/>
      <c r="L110" s="296"/>
      <c r="M110" s="296"/>
      <c r="N110" s="189"/>
      <c r="O110" s="297"/>
    </row>
    <row r="111" spans="1:16" ht="12" customHeight="1" x14ac:dyDescent="0.2">
      <c r="A111" s="644"/>
      <c r="B111" s="142" t="s">
        <v>18</v>
      </c>
      <c r="C111" s="143"/>
      <c r="D111" s="143"/>
      <c r="E111" s="143"/>
      <c r="F111" s="143"/>
      <c r="G111" s="662"/>
      <c r="H111" s="663"/>
      <c r="I111" s="664"/>
      <c r="J111" s="664"/>
      <c r="K111" s="664"/>
      <c r="L111" s="664"/>
      <c r="M111" s="664"/>
      <c r="N111" s="189">
        <f>SUM(N108:N110)</f>
        <v>0</v>
      </c>
      <c r="O111" s="297" t="e">
        <f>N111/N113</f>
        <v>#DIV/0!</v>
      </c>
    </row>
    <row r="112" spans="1:16" s="132" customFormat="1" ht="12" customHeight="1" x14ac:dyDescent="0.2">
      <c r="A112" s="644"/>
      <c r="B112" s="576"/>
      <c r="C112" s="576"/>
      <c r="D112" s="576"/>
      <c r="E112" s="576"/>
      <c r="F112" s="576"/>
      <c r="G112" s="640"/>
      <c r="H112" s="641"/>
      <c r="I112" s="642"/>
      <c r="J112" s="329"/>
      <c r="K112" s="329"/>
      <c r="L112" s="329"/>
      <c r="M112" s="329"/>
      <c r="N112" s="189"/>
      <c r="O112" s="297"/>
    </row>
    <row r="113" spans="1:15" ht="12" customHeight="1" x14ac:dyDescent="0.2">
      <c r="A113" s="657"/>
      <c r="B113" s="175" t="s">
        <v>20</v>
      </c>
      <c r="C113" s="176"/>
      <c r="D113" s="176"/>
      <c r="E113" s="176"/>
      <c r="F113" s="176"/>
      <c r="G113" s="665"/>
      <c r="H113" s="666"/>
      <c r="I113" s="667"/>
      <c r="J113" s="667"/>
      <c r="K113" s="667"/>
      <c r="L113" s="667"/>
      <c r="M113" s="667"/>
      <c r="N113" s="295">
        <f>N111</f>
        <v>0</v>
      </c>
      <c r="O113" s="186" t="e">
        <f>N113/N146</f>
        <v>#DIV/0!</v>
      </c>
    </row>
    <row r="114" spans="1:15" ht="12" customHeight="1" x14ac:dyDescent="0.2">
      <c r="A114" s="657"/>
      <c r="B114" s="175"/>
      <c r="C114" s="175"/>
      <c r="D114" s="175"/>
      <c r="E114" s="175"/>
      <c r="F114" s="175"/>
      <c r="G114" s="668"/>
      <c r="H114" s="669"/>
      <c r="I114" s="670"/>
      <c r="J114" s="670"/>
      <c r="K114" s="670"/>
      <c r="L114" s="670"/>
      <c r="M114" s="670"/>
      <c r="N114" s="295"/>
      <c r="O114" s="186"/>
    </row>
    <row r="115" spans="1:15" ht="12" hidden="1" customHeight="1" x14ac:dyDescent="0.2">
      <c r="A115" s="256">
        <v>12</v>
      </c>
      <c r="B115" s="834" t="s">
        <v>377</v>
      </c>
      <c r="C115" s="834"/>
      <c r="D115" s="834"/>
      <c r="E115" s="834"/>
      <c r="F115" s="834"/>
      <c r="G115" s="651"/>
      <c r="H115" s="641"/>
      <c r="I115" s="641"/>
      <c r="J115" s="324"/>
      <c r="K115" s="324"/>
      <c r="L115" s="324"/>
      <c r="M115" s="324"/>
      <c r="N115" s="641"/>
      <c r="O115" s="654"/>
    </row>
    <row r="116" spans="1:15" ht="16.5" hidden="1" customHeight="1" x14ac:dyDescent="0.2">
      <c r="A116" s="256">
        <v>1206</v>
      </c>
      <c r="B116" s="834" t="s">
        <v>647</v>
      </c>
      <c r="C116" s="834"/>
      <c r="D116" s="834"/>
      <c r="E116" s="834"/>
      <c r="F116" s="834"/>
      <c r="G116" s="651"/>
      <c r="H116" s="641"/>
      <c r="I116" s="641"/>
      <c r="J116" s="324"/>
      <c r="K116" s="324"/>
      <c r="L116" s="324"/>
      <c r="M116" s="324"/>
      <c r="N116" s="641"/>
      <c r="O116" s="654"/>
    </row>
    <row r="117" spans="1:15" ht="12" hidden="1" customHeight="1" x14ac:dyDescent="0.2">
      <c r="A117" s="256" t="s">
        <v>545</v>
      </c>
      <c r="B117" s="837" t="s">
        <v>1050</v>
      </c>
      <c r="C117" s="837"/>
      <c r="D117" s="837"/>
      <c r="E117" s="837"/>
      <c r="F117" s="837"/>
      <c r="G117" s="163" t="s">
        <v>678</v>
      </c>
      <c r="H117" s="293"/>
      <c r="I117" s="323">
        <v>3</v>
      </c>
      <c r="J117" s="323">
        <v>3</v>
      </c>
      <c r="K117" s="308">
        <f>H117*J117</f>
        <v>0</v>
      </c>
      <c r="L117" s="323"/>
      <c r="M117" s="308"/>
      <c r="N117" s="308">
        <f>H117*I117</f>
        <v>0</v>
      </c>
      <c r="O117" s="192" t="e">
        <f>N117/N119</f>
        <v>#DIV/0!</v>
      </c>
    </row>
    <row r="118" spans="1:15" ht="12" hidden="1" customHeight="1" x14ac:dyDescent="0.2">
      <c r="A118" s="292"/>
      <c r="B118" s="578"/>
      <c r="C118" s="578"/>
      <c r="D118" s="578"/>
      <c r="E118" s="578"/>
      <c r="F118" s="578"/>
      <c r="G118" s="164"/>
      <c r="H118" s="293"/>
      <c r="I118" s="293"/>
      <c r="J118" s="324"/>
      <c r="K118" s="324"/>
      <c r="L118" s="324"/>
      <c r="M118" s="324"/>
      <c r="N118" s="293"/>
      <c r="O118" s="320"/>
    </row>
    <row r="119" spans="1:15" ht="12" hidden="1" customHeight="1" x14ac:dyDescent="0.2">
      <c r="A119" s="644"/>
      <c r="B119" s="155" t="s">
        <v>18</v>
      </c>
      <c r="C119" s="160"/>
      <c r="D119" s="160"/>
      <c r="E119" s="160"/>
      <c r="F119" s="144"/>
      <c r="G119" s="655"/>
      <c r="H119" s="656"/>
      <c r="I119" s="656"/>
      <c r="J119" s="656"/>
      <c r="K119" s="656"/>
      <c r="L119" s="656"/>
      <c r="M119" s="656"/>
      <c r="N119" s="315">
        <f>SUM(N117:N118)</f>
        <v>0</v>
      </c>
      <c r="O119" s="301" t="e">
        <f>N119/N121</f>
        <v>#DIV/0!</v>
      </c>
    </row>
    <row r="120" spans="1:15" s="132" customFormat="1" ht="12" hidden="1" customHeight="1" x14ac:dyDescent="0.2">
      <c r="A120" s="644"/>
      <c r="B120" s="834"/>
      <c r="C120" s="834"/>
      <c r="D120" s="834"/>
      <c r="E120" s="834"/>
      <c r="F120" s="834"/>
      <c r="G120" s="651"/>
      <c r="H120" s="641"/>
      <c r="I120" s="641"/>
      <c r="J120" s="324"/>
      <c r="K120" s="324"/>
      <c r="L120" s="324"/>
      <c r="M120" s="324"/>
      <c r="N120" s="189"/>
      <c r="O120" s="300"/>
    </row>
    <row r="121" spans="1:15" s="132" customFormat="1" ht="12" hidden="1" customHeight="1" x14ac:dyDescent="0.2">
      <c r="A121" s="657"/>
      <c r="B121" s="165" t="s">
        <v>20</v>
      </c>
      <c r="C121" s="166"/>
      <c r="D121" s="166"/>
      <c r="E121" s="166"/>
      <c r="F121" s="167"/>
      <c r="G121" s="658"/>
      <c r="H121" s="659"/>
      <c r="I121" s="659"/>
      <c r="J121" s="659"/>
      <c r="K121" s="659"/>
      <c r="L121" s="659"/>
      <c r="M121" s="659"/>
      <c r="N121" s="369">
        <f>N119</f>
        <v>0</v>
      </c>
      <c r="O121" s="321" t="e">
        <f>N121/N146</f>
        <v>#DIV/0!</v>
      </c>
    </row>
    <row r="122" spans="1:15" s="132" customFormat="1" ht="12" hidden="1" customHeight="1" x14ac:dyDescent="0.2">
      <c r="A122" s="657"/>
      <c r="B122" s="165"/>
      <c r="C122" s="165"/>
      <c r="D122" s="165"/>
      <c r="E122" s="165"/>
      <c r="F122" s="480"/>
      <c r="G122" s="660"/>
      <c r="H122" s="661"/>
      <c r="I122" s="661"/>
      <c r="J122" s="661"/>
      <c r="K122" s="661"/>
      <c r="L122" s="661"/>
      <c r="M122" s="661"/>
      <c r="N122" s="369"/>
      <c r="O122" s="321"/>
    </row>
    <row r="123" spans="1:15" s="132" customFormat="1" ht="12" hidden="1" customHeight="1" x14ac:dyDescent="0.2">
      <c r="A123" s="140">
        <v>1418</v>
      </c>
      <c r="B123" s="834" t="s">
        <v>443</v>
      </c>
      <c r="C123" s="834"/>
      <c r="D123" s="834"/>
      <c r="E123" s="834"/>
      <c r="F123" s="834"/>
      <c r="G123" s="671"/>
      <c r="H123" s="672"/>
      <c r="I123" s="672"/>
      <c r="J123" s="324"/>
      <c r="K123" s="324"/>
      <c r="L123" s="324"/>
      <c r="M123" s="324"/>
      <c r="N123" s="672"/>
      <c r="O123" s="220"/>
    </row>
    <row r="124" spans="1:15" s="132" customFormat="1" ht="12" hidden="1" customHeight="1" x14ac:dyDescent="0.2">
      <c r="A124" s="140" t="s">
        <v>731</v>
      </c>
      <c r="B124" s="142" t="s">
        <v>730</v>
      </c>
      <c r="C124" s="142"/>
      <c r="D124" s="142"/>
      <c r="E124" s="142"/>
      <c r="F124" s="142"/>
      <c r="G124" s="163" t="s">
        <v>17</v>
      </c>
      <c r="H124" s="189"/>
      <c r="I124" s="323">
        <f>VLOOKUP(A124,'[1]TAB OGU JUN18'!$A:$G,6,"falso")</f>
        <v>121.13</v>
      </c>
      <c r="J124" s="323">
        <f>VLOOKUP(A124,'[1]TAB OGU JUN18'!$A:$G,4,"falso")</f>
        <v>43.06</v>
      </c>
      <c r="K124" s="308">
        <f>H124*J124</f>
        <v>0</v>
      </c>
      <c r="L124" s="323">
        <f>VLOOKUP(A124,'[1]TAB OGU JUN18'!$A:$G,5,"falso")</f>
        <v>78.069999999999993</v>
      </c>
      <c r="M124" s="308">
        <f>H124*L124</f>
        <v>0</v>
      </c>
      <c r="N124" s="315">
        <f>H124*I124</f>
        <v>0</v>
      </c>
      <c r="O124" s="192" t="e">
        <f>N124/N126</f>
        <v>#DIV/0!</v>
      </c>
    </row>
    <row r="125" spans="1:15" s="132" customFormat="1" ht="12" hidden="1" customHeight="1" x14ac:dyDescent="0.2">
      <c r="A125" s="140"/>
      <c r="B125" s="576"/>
      <c r="C125" s="576"/>
      <c r="D125" s="576"/>
      <c r="E125" s="576"/>
      <c r="F125" s="576"/>
      <c r="G125" s="163"/>
      <c r="H125" s="221"/>
      <c r="I125" s="221"/>
      <c r="J125" s="324"/>
      <c r="K125" s="324"/>
      <c r="L125" s="324"/>
      <c r="M125" s="324"/>
      <c r="N125" s="221"/>
      <c r="O125" s="220"/>
    </row>
    <row r="126" spans="1:15" s="132" customFormat="1" ht="12" hidden="1" customHeight="1" x14ac:dyDescent="0.2">
      <c r="A126" s="673"/>
      <c r="B126" s="142" t="s">
        <v>18</v>
      </c>
      <c r="C126" s="143"/>
      <c r="D126" s="143"/>
      <c r="E126" s="143"/>
      <c r="F126" s="143"/>
      <c r="G126" s="674"/>
      <c r="H126" s="675"/>
      <c r="I126" s="675"/>
      <c r="J126" s="675"/>
      <c r="K126" s="675"/>
      <c r="L126" s="675"/>
      <c r="M126" s="675"/>
      <c r="N126" s="221">
        <f>SUM(N124:N125)</f>
        <v>0</v>
      </c>
      <c r="O126" s="220" t="e">
        <f>N126/N128</f>
        <v>#DIV/0!</v>
      </c>
    </row>
    <row r="127" spans="1:15" s="132" customFormat="1" ht="12" hidden="1" customHeight="1" x14ac:dyDescent="0.2">
      <c r="A127" s="673"/>
      <c r="B127" s="576"/>
      <c r="C127" s="576"/>
      <c r="D127" s="576"/>
      <c r="E127" s="576"/>
      <c r="F127" s="576"/>
      <c r="G127" s="671"/>
      <c r="H127" s="672"/>
      <c r="I127" s="672"/>
      <c r="J127" s="324"/>
      <c r="K127" s="324"/>
      <c r="L127" s="324"/>
      <c r="M127" s="324"/>
      <c r="N127" s="221"/>
      <c r="O127" s="220"/>
    </row>
    <row r="128" spans="1:15" s="132" customFormat="1" ht="12" hidden="1" customHeight="1" x14ac:dyDescent="0.2">
      <c r="A128" s="633"/>
      <c r="B128" s="175" t="s">
        <v>20</v>
      </c>
      <c r="C128" s="176"/>
      <c r="D128" s="176"/>
      <c r="E128" s="176"/>
      <c r="F128" s="176"/>
      <c r="G128" s="676"/>
      <c r="H128" s="677"/>
      <c r="I128" s="677"/>
      <c r="J128" s="677"/>
      <c r="K128" s="677"/>
      <c r="L128" s="677"/>
      <c r="M128" s="677"/>
      <c r="N128" s="224">
        <f>N126</f>
        <v>0</v>
      </c>
      <c r="O128" s="218" t="e">
        <f>N128/N146</f>
        <v>#DIV/0!</v>
      </c>
    </row>
    <row r="129" spans="1:16" ht="12" hidden="1" customHeight="1" x14ac:dyDescent="0.2">
      <c r="A129" s="633"/>
      <c r="B129" s="175"/>
      <c r="C129" s="175"/>
      <c r="D129" s="175"/>
      <c r="E129" s="175"/>
      <c r="F129" s="175"/>
      <c r="G129" s="678"/>
      <c r="H129" s="679"/>
      <c r="I129" s="679"/>
      <c r="J129" s="679"/>
      <c r="K129" s="679"/>
      <c r="L129" s="679"/>
      <c r="M129" s="679"/>
      <c r="N129" s="224"/>
      <c r="O129" s="218"/>
    </row>
    <row r="130" spans="1:16" ht="12" hidden="1" customHeight="1" x14ac:dyDescent="0.2">
      <c r="A130" s="256">
        <v>15</v>
      </c>
      <c r="B130" s="834" t="s">
        <v>449</v>
      </c>
      <c r="C130" s="834"/>
      <c r="D130" s="834"/>
      <c r="E130" s="834"/>
      <c r="F130" s="834"/>
      <c r="G130" s="651"/>
      <c r="H130" s="641"/>
      <c r="I130" s="642"/>
      <c r="J130" s="329"/>
      <c r="K130" s="329"/>
      <c r="L130" s="329"/>
      <c r="M130" s="329"/>
      <c r="N130" s="642"/>
      <c r="O130" s="297"/>
    </row>
    <row r="131" spans="1:16" ht="12" hidden="1" customHeight="1" x14ac:dyDescent="0.2">
      <c r="A131" s="256">
        <v>1503</v>
      </c>
      <c r="B131" s="834" t="s">
        <v>459</v>
      </c>
      <c r="C131" s="834"/>
      <c r="D131" s="834"/>
      <c r="E131" s="834"/>
      <c r="F131" s="834"/>
      <c r="G131" s="651"/>
      <c r="H131" s="641"/>
      <c r="I131" s="642"/>
      <c r="J131" s="329"/>
      <c r="K131" s="329"/>
      <c r="L131" s="370"/>
      <c r="M131" s="329"/>
      <c r="N131" s="642"/>
      <c r="O131" s="297"/>
    </row>
    <row r="132" spans="1:16" ht="12" hidden="1" customHeight="1" x14ac:dyDescent="0.2">
      <c r="A132" s="256" t="s">
        <v>464</v>
      </c>
      <c r="B132" s="200" t="s">
        <v>465</v>
      </c>
      <c r="C132" s="153"/>
      <c r="D132" s="153"/>
      <c r="E132" s="153"/>
      <c r="F132" s="153"/>
      <c r="G132" s="97" t="s">
        <v>31</v>
      </c>
      <c r="H132" s="189"/>
      <c r="I132" s="323">
        <v>0.32</v>
      </c>
      <c r="J132" s="323">
        <f>VLOOKUP(A132,'[1]TAB OGU JUN18'!$A:$G,4,"falso")</f>
        <v>0.33</v>
      </c>
      <c r="K132" s="308">
        <f>H132*J132</f>
        <v>0</v>
      </c>
      <c r="L132" s="323">
        <f>VLOOKUP(A132,'[1]TAB OGU JUN18'!$A:$G,5,"falso")</f>
        <v>3.41</v>
      </c>
      <c r="M132" s="308"/>
      <c r="N132" s="308">
        <f>H132*I132</f>
        <v>0</v>
      </c>
      <c r="O132" s="297" t="e">
        <f>N132/N134</f>
        <v>#DIV/0!</v>
      </c>
    </row>
    <row r="133" spans="1:16" ht="12" hidden="1" customHeight="1" x14ac:dyDescent="0.2">
      <c r="A133" s="256"/>
      <c r="B133" s="576"/>
      <c r="C133" s="576"/>
      <c r="D133" s="576"/>
      <c r="E133" s="576"/>
      <c r="F133" s="576"/>
      <c r="G133" s="190"/>
      <c r="H133" s="189"/>
      <c r="I133" s="296"/>
      <c r="J133" s="329"/>
      <c r="K133" s="329"/>
      <c r="L133" s="370"/>
      <c r="M133" s="329"/>
      <c r="N133" s="189"/>
      <c r="O133" s="297"/>
    </row>
    <row r="134" spans="1:16" ht="12" hidden="1" customHeight="1" x14ac:dyDescent="0.2">
      <c r="A134" s="644"/>
      <c r="B134" s="142" t="s">
        <v>18</v>
      </c>
      <c r="C134" s="143"/>
      <c r="D134" s="143"/>
      <c r="E134" s="143"/>
      <c r="F134" s="143"/>
      <c r="G134" s="680"/>
      <c r="H134" s="663"/>
      <c r="I134" s="664"/>
      <c r="J134" s="664"/>
      <c r="K134" s="664"/>
      <c r="L134" s="664"/>
      <c r="M134" s="664"/>
      <c r="N134" s="189">
        <f>SUM(N132:N133)</f>
        <v>0</v>
      </c>
      <c r="O134" s="297" t="e">
        <f>N134/N136</f>
        <v>#DIV/0!</v>
      </c>
    </row>
    <row r="135" spans="1:16" s="132" customFormat="1" ht="12" hidden="1" customHeight="1" x14ac:dyDescent="0.2">
      <c r="A135" s="673"/>
      <c r="B135" s="576"/>
      <c r="C135" s="576"/>
      <c r="D135" s="576"/>
      <c r="E135" s="576"/>
      <c r="F135" s="576"/>
      <c r="G135" s="651"/>
      <c r="H135" s="641"/>
      <c r="I135" s="642"/>
      <c r="J135" s="329"/>
      <c r="K135" s="329"/>
      <c r="L135" s="370"/>
      <c r="M135" s="329"/>
      <c r="N135" s="189"/>
      <c r="O135" s="297"/>
    </row>
    <row r="136" spans="1:16" ht="12" hidden="1" customHeight="1" x14ac:dyDescent="0.2">
      <c r="A136" s="633"/>
      <c r="B136" s="175" t="s">
        <v>20</v>
      </c>
      <c r="C136" s="176"/>
      <c r="D136" s="176"/>
      <c r="E136" s="176"/>
      <c r="F136" s="176"/>
      <c r="G136" s="681"/>
      <c r="H136" s="666"/>
      <c r="I136" s="667"/>
      <c r="J136" s="667"/>
      <c r="K136" s="667"/>
      <c r="L136" s="667"/>
      <c r="M136" s="667"/>
      <c r="N136" s="295">
        <f>N134</f>
        <v>0</v>
      </c>
      <c r="O136" s="186" t="e">
        <f>N136/$N$146</f>
        <v>#DIV/0!</v>
      </c>
    </row>
    <row r="137" spans="1:16" ht="12" hidden="1" customHeight="1" x14ac:dyDescent="0.2">
      <c r="A137" s="633"/>
      <c r="B137" s="175"/>
      <c r="C137" s="175"/>
      <c r="D137" s="175"/>
      <c r="E137" s="175"/>
      <c r="F137" s="175"/>
      <c r="G137" s="682"/>
      <c r="H137" s="669"/>
      <c r="I137" s="670"/>
      <c r="J137" s="670"/>
      <c r="K137" s="670"/>
      <c r="L137" s="670"/>
      <c r="M137" s="670"/>
      <c r="N137" s="295"/>
      <c r="O137" s="186"/>
      <c r="P137" s="149"/>
    </row>
    <row r="138" spans="1:16" ht="14.25" customHeight="1" x14ac:dyDescent="0.2">
      <c r="A138" s="98" t="s">
        <v>169</v>
      </c>
      <c r="B138" s="88" t="s">
        <v>172</v>
      </c>
      <c r="C138" s="61"/>
      <c r="D138" s="61"/>
      <c r="E138" s="61"/>
      <c r="F138" s="61"/>
      <c r="G138" s="651"/>
      <c r="H138" s="641"/>
      <c r="I138" s="642"/>
      <c r="J138" s="329"/>
      <c r="K138" s="329"/>
      <c r="L138" s="329"/>
      <c r="M138" s="329"/>
      <c r="N138" s="641"/>
      <c r="O138" s="297"/>
      <c r="P138" s="149"/>
    </row>
    <row r="139" spans="1:16" ht="12" customHeight="1" x14ac:dyDescent="0.2">
      <c r="A139" s="98" t="s">
        <v>170</v>
      </c>
      <c r="B139" s="88" t="s">
        <v>173</v>
      </c>
      <c r="C139" s="61"/>
      <c r="D139" s="61"/>
      <c r="E139" s="61"/>
      <c r="F139" s="61"/>
      <c r="G139" s="651"/>
      <c r="H139" s="641"/>
      <c r="I139" s="642"/>
      <c r="J139" s="329"/>
      <c r="K139" s="329"/>
      <c r="L139" s="370"/>
      <c r="M139" s="329"/>
      <c r="N139" s="641"/>
      <c r="O139" s="297"/>
      <c r="P139" s="149"/>
    </row>
    <row r="140" spans="1:16" ht="12" customHeight="1" x14ac:dyDescent="0.2">
      <c r="A140" s="98" t="s">
        <v>480</v>
      </c>
      <c r="B140" s="834" t="s">
        <v>481</v>
      </c>
      <c r="C140" s="834"/>
      <c r="D140" s="834"/>
      <c r="E140" s="834"/>
      <c r="F140" s="834"/>
      <c r="G140" s="97" t="s">
        <v>31</v>
      </c>
      <c r="H140" s="189"/>
      <c r="I140" s="323">
        <f>VLOOKUP(A140,'[1]TAB OGU JUN18'!$A:$G,6,"falso")</f>
        <v>2.46</v>
      </c>
      <c r="J140" s="323">
        <f>VLOOKUP(A140,'[1]TAB OGU JUN18'!$A:$G,4,"falso")</f>
        <v>2.34</v>
      </c>
      <c r="K140" s="308">
        <f>H140*J140</f>
        <v>0</v>
      </c>
      <c r="L140" s="323">
        <f>VLOOKUP(A140,'[1]TAB OGU JUN18'!$A:$G,5,"falso")</f>
        <v>0.12</v>
      </c>
      <c r="M140" s="308">
        <f>H140*L140</f>
        <v>0</v>
      </c>
      <c r="N140" s="308">
        <f>H140*I140</f>
        <v>0</v>
      </c>
      <c r="O140" s="297" t="e">
        <f>N140/N142</f>
        <v>#DIV/0!</v>
      </c>
    </row>
    <row r="141" spans="1:16" ht="12" customHeight="1" x14ac:dyDescent="0.2">
      <c r="A141" s="256"/>
      <c r="B141" s="576"/>
      <c r="C141" s="576"/>
      <c r="D141" s="576"/>
      <c r="E141" s="576"/>
      <c r="F141" s="576"/>
      <c r="G141" s="190"/>
      <c r="H141" s="189"/>
      <c r="I141" s="296"/>
      <c r="J141" s="329"/>
      <c r="K141" s="329"/>
      <c r="L141" s="370"/>
      <c r="M141" s="329"/>
      <c r="N141" s="189"/>
      <c r="O141" s="297"/>
    </row>
    <row r="142" spans="1:16" ht="12" customHeight="1" x14ac:dyDescent="0.2">
      <c r="A142" s="644"/>
      <c r="B142" s="142" t="s">
        <v>18</v>
      </c>
      <c r="C142" s="143"/>
      <c r="D142" s="143"/>
      <c r="E142" s="143"/>
      <c r="F142" s="143"/>
      <c r="G142" s="680"/>
      <c r="H142" s="663"/>
      <c r="I142" s="664"/>
      <c r="J142" s="664"/>
      <c r="K142" s="664"/>
      <c r="L142" s="664"/>
      <c r="M142" s="664"/>
      <c r="N142" s="189">
        <f>SUM(N140:N141)</f>
        <v>0</v>
      </c>
      <c r="O142" s="297" t="e">
        <f>N142/N144</f>
        <v>#DIV/0!</v>
      </c>
    </row>
    <row r="143" spans="1:16" ht="12" customHeight="1" x14ac:dyDescent="0.2">
      <c r="A143" s="673"/>
      <c r="B143" s="576"/>
      <c r="C143" s="576"/>
      <c r="D143" s="576"/>
      <c r="E143" s="576"/>
      <c r="F143" s="576"/>
      <c r="G143" s="651"/>
      <c r="H143" s="641"/>
      <c r="I143" s="642"/>
      <c r="J143" s="329"/>
      <c r="K143" s="329"/>
      <c r="L143" s="370"/>
      <c r="M143" s="329"/>
      <c r="N143" s="189"/>
      <c r="O143" s="297"/>
    </row>
    <row r="144" spans="1:16" ht="12" customHeight="1" x14ac:dyDescent="0.2">
      <c r="A144" s="633"/>
      <c r="B144" s="175" t="s">
        <v>20</v>
      </c>
      <c r="C144" s="176"/>
      <c r="D144" s="176"/>
      <c r="E144" s="176"/>
      <c r="F144" s="176"/>
      <c r="G144" s="681"/>
      <c r="H144" s="666"/>
      <c r="I144" s="667"/>
      <c r="J144" s="667"/>
      <c r="K144" s="667"/>
      <c r="L144" s="667"/>
      <c r="M144" s="667"/>
      <c r="N144" s="295">
        <f>N142</f>
        <v>0</v>
      </c>
      <c r="O144" s="186" t="e">
        <f>N144/N146</f>
        <v>#DIV/0!</v>
      </c>
    </row>
    <row r="145" spans="1:15" s="150" customFormat="1" ht="12" customHeight="1" x14ac:dyDescent="0.2">
      <c r="A145" s="673"/>
      <c r="B145" s="576"/>
      <c r="C145" s="576"/>
      <c r="D145" s="576"/>
      <c r="E145" s="576"/>
      <c r="F145" s="576"/>
      <c r="G145" s="651"/>
      <c r="H145" s="641"/>
      <c r="I145" s="642"/>
      <c r="J145" s="296"/>
      <c r="K145" s="339"/>
      <c r="L145" s="329"/>
      <c r="M145" s="329"/>
      <c r="N145" s="329"/>
      <c r="O145" s="187"/>
    </row>
    <row r="146" spans="1:15" s="150" customFormat="1" ht="12" customHeight="1" x14ac:dyDescent="0.2">
      <c r="A146" s="683"/>
      <c r="B146" s="147" t="s">
        <v>30</v>
      </c>
      <c r="C146" s="684"/>
      <c r="D146" s="684"/>
      <c r="E146" s="684"/>
      <c r="F146" s="684"/>
      <c r="G146" s="684"/>
      <c r="H146" s="685"/>
      <c r="I146" s="686"/>
      <c r="J146" s="686"/>
      <c r="K146" s="285">
        <f>SUM(K14:K145)</f>
        <v>0</v>
      </c>
      <c r="L146" s="285"/>
      <c r="M146" s="285">
        <f>SUM(M14:M145)</f>
        <v>0</v>
      </c>
      <c r="N146" s="316">
        <f>N70+N62+N23+N136+N121+N104+N144+N113</f>
        <v>0</v>
      </c>
      <c r="O146" s="29"/>
    </row>
    <row r="147" spans="1:15" ht="6" customHeight="1" x14ac:dyDescent="0.2">
      <c r="A147" s="647"/>
      <c r="B147" s="61"/>
      <c r="C147" s="61"/>
      <c r="D147" s="61"/>
      <c r="E147" s="61"/>
      <c r="F147" s="61"/>
      <c r="G147" s="61"/>
      <c r="H147" s="61"/>
      <c r="I147" s="61"/>
      <c r="J147" s="61"/>
      <c r="K147" s="61"/>
      <c r="L147" s="61"/>
      <c r="M147" s="61"/>
      <c r="N147" s="61"/>
      <c r="O147" s="19"/>
    </row>
    <row r="148" spans="1:15" ht="12" customHeight="1" x14ac:dyDescent="0.2">
      <c r="A148" s="206"/>
      <c r="B148" s="147" t="s">
        <v>265</v>
      </c>
      <c r="C148" s="146"/>
      <c r="D148" s="146"/>
      <c r="E148" s="146"/>
      <c r="F148" s="146"/>
      <c r="G148" s="146"/>
      <c r="H148" s="342"/>
      <c r="I148" s="345"/>
      <c r="J148" s="345"/>
      <c r="K148" s="285">
        <f>K146+(K146*O5)</f>
        <v>0</v>
      </c>
      <c r="L148" s="285"/>
      <c r="M148" s="285">
        <f>M146+(M146*O7)</f>
        <v>0</v>
      </c>
      <c r="N148" s="316">
        <f>K148+M148</f>
        <v>0</v>
      </c>
      <c r="O148" s="29">
        <f>N148/RESUMO!H95</f>
        <v>0</v>
      </c>
    </row>
  </sheetData>
  <mergeCells count="27">
    <mergeCell ref="B140:F140"/>
    <mergeCell ref="B120:F120"/>
    <mergeCell ref="B123:F123"/>
    <mergeCell ref="B130:F130"/>
    <mergeCell ref="B131:F131"/>
    <mergeCell ref="B108:F108"/>
    <mergeCell ref="B115:F115"/>
    <mergeCell ref="B116:F116"/>
    <mergeCell ref="B117:F117"/>
    <mergeCell ref="B95:F95"/>
    <mergeCell ref="B99:F99"/>
    <mergeCell ref="B100:F100"/>
    <mergeCell ref="B103:F103"/>
    <mergeCell ref="B106:F106"/>
    <mergeCell ref="B107:F107"/>
    <mergeCell ref="B94:F94"/>
    <mergeCell ref="A2:O2"/>
    <mergeCell ref="N4:O4"/>
    <mergeCell ref="A5:B6"/>
    <mergeCell ref="B14:F14"/>
    <mergeCell ref="B26:F26"/>
    <mergeCell ref="B31:F31"/>
    <mergeCell ref="B47:F47"/>
    <mergeCell ref="B48:F48"/>
    <mergeCell ref="B72:F72"/>
    <mergeCell ref="B73:F73"/>
    <mergeCell ref="B93:F93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rowBreaks count="1" manualBreakCount="1">
    <brk id="24" max="14" man="1"/>
  </rowBreaks>
  <legacyDrawingHF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tabColor theme="6" tint="0.39997558519241921"/>
    <pageSetUpPr fitToPage="1"/>
  </sheetPr>
  <dimension ref="A1:P72"/>
  <sheetViews>
    <sheetView view="pageBreakPreview" zoomScale="90" zoomScaleNormal="90" zoomScaleSheetLayoutView="90" workbookViewId="0">
      <selection activeCell="N76" sqref="N76"/>
    </sheetView>
  </sheetViews>
  <sheetFormatPr defaultColWidth="11.42578125" defaultRowHeight="12.75" customHeight="1" x14ac:dyDescent="0.2"/>
  <cols>
    <col min="1" max="5" width="11.42578125" style="51" customWidth="1"/>
    <col min="6" max="6" width="28.5703125" style="51" customWidth="1"/>
    <col min="7" max="7" width="11.42578125" style="51" customWidth="1"/>
    <col min="8" max="8" width="11.42578125" style="52" customWidth="1"/>
    <col min="9" max="9" width="11.42578125" style="51" customWidth="1"/>
    <col min="10" max="10" width="5.42578125" style="51" hidden="1" customWidth="1"/>
    <col min="11" max="11" width="14.28515625" style="51" customWidth="1"/>
    <col min="12" max="12" width="8.7109375" style="51" hidden="1" customWidth="1"/>
    <col min="13" max="13" width="14.28515625" style="51" customWidth="1"/>
    <col min="14" max="14" width="17.140625" style="51" customWidth="1"/>
    <col min="15" max="15" width="11.42578125" style="52" customWidth="1"/>
    <col min="16" max="16384" width="11.42578125" style="51"/>
  </cols>
  <sheetData>
    <row r="1" spans="1:15" ht="8.25" customHeight="1" x14ac:dyDescent="0.2"/>
    <row r="2" spans="1:15" ht="12.75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5" ht="8.25" customHeight="1" thickBot="1" x14ac:dyDescent="0.25">
      <c r="A3" s="123"/>
      <c r="B3" s="123"/>
      <c r="C3" s="123"/>
      <c r="D3" s="123"/>
      <c r="E3" s="123"/>
      <c r="F3" s="123"/>
      <c r="G3" s="123"/>
      <c r="H3" s="195"/>
      <c r="I3" s="123"/>
      <c r="J3" s="123"/>
      <c r="K3" s="123"/>
      <c r="L3" s="123"/>
      <c r="M3" s="123"/>
      <c r="N3" s="123"/>
      <c r="O3" s="195"/>
    </row>
    <row r="4" spans="1:15" ht="12.75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H4" s="51"/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5" ht="12.75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H5" s="51"/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5" ht="12.75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H6" s="51"/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5" ht="12.75" customHeight="1" x14ac:dyDescent="0.2">
      <c r="A7" s="575"/>
      <c r="B7" s="575"/>
      <c r="C7" s="260" t="s">
        <v>6</v>
      </c>
      <c r="D7" s="263" t="str">
        <f>RESUMO!A47</f>
        <v>U.C. : 13</v>
      </c>
      <c r="E7" s="258"/>
      <c r="F7" s="258"/>
      <c r="G7" s="260" t="s">
        <v>9</v>
      </c>
      <c r="H7" s="51"/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5" ht="12.75" customHeight="1" thickBot="1" x14ac:dyDescent="0.25">
      <c r="A8" s="124"/>
      <c r="B8" s="125"/>
      <c r="C8" s="266" t="s">
        <v>8</v>
      </c>
      <c r="D8" s="267" t="str">
        <f>RESUMO!B47</f>
        <v>ESTAÇÃO DE TRATAMENTO DE ESGOTO - ETE</v>
      </c>
      <c r="E8" s="268"/>
      <c r="F8" s="268"/>
      <c r="G8" s="266"/>
      <c r="H8" s="123"/>
      <c r="I8" s="278"/>
      <c r="J8" s="278"/>
      <c r="K8" s="278"/>
      <c r="L8" s="278"/>
      <c r="M8" s="278" t="s">
        <v>654</v>
      </c>
      <c r="N8" s="271"/>
      <c r="O8" s="427"/>
    </row>
    <row r="9" spans="1:15" ht="12.75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5" ht="8.25" customHeight="1" x14ac:dyDescent="0.2">
      <c r="O10" s="19"/>
    </row>
    <row r="11" spans="1:15" ht="12.75" hidden="1" customHeight="1" x14ac:dyDescent="0.2">
      <c r="A11" s="182"/>
      <c r="B11" s="837"/>
      <c r="C11" s="837"/>
      <c r="D11" s="837"/>
      <c r="E11" s="837"/>
      <c r="F11" s="837"/>
      <c r="G11" s="577"/>
      <c r="H11" s="162"/>
      <c r="I11" s="577"/>
      <c r="N11" s="317"/>
      <c r="O11" s="68"/>
    </row>
    <row r="12" spans="1:15" ht="12.75" hidden="1" customHeight="1" x14ac:dyDescent="0.2">
      <c r="A12" s="182"/>
      <c r="B12" s="142"/>
      <c r="C12" s="153"/>
      <c r="D12" s="153"/>
      <c r="E12" s="153"/>
      <c r="F12" s="153"/>
      <c r="G12" s="162"/>
      <c r="H12" s="162"/>
      <c r="I12" s="577"/>
      <c r="N12" s="317"/>
      <c r="O12" s="68"/>
    </row>
    <row r="13" spans="1:15" ht="12.75" hidden="1" customHeight="1" x14ac:dyDescent="0.2">
      <c r="A13" s="140"/>
      <c r="B13" s="200"/>
      <c r="C13" s="153"/>
      <c r="D13" s="153"/>
      <c r="E13" s="153"/>
      <c r="F13" s="153"/>
      <c r="G13" s="139"/>
      <c r="H13" s="189"/>
      <c r="I13" s="323"/>
      <c r="J13" s="314"/>
      <c r="K13" s="314"/>
      <c r="L13" s="323"/>
      <c r="M13" s="308"/>
      <c r="N13" s="296"/>
      <c r="O13" s="214"/>
    </row>
    <row r="14" spans="1:15" ht="12.75" hidden="1" customHeight="1" x14ac:dyDescent="0.2">
      <c r="A14" s="140"/>
      <c r="B14" s="200"/>
      <c r="C14" s="153"/>
      <c r="D14" s="153"/>
      <c r="E14" s="153"/>
      <c r="F14" s="153"/>
      <c r="G14" s="139"/>
      <c r="H14" s="189"/>
      <c r="I14" s="323"/>
      <c r="J14" s="314"/>
      <c r="K14" s="314"/>
      <c r="L14" s="323"/>
      <c r="M14" s="308"/>
      <c r="N14" s="296"/>
      <c r="O14" s="214"/>
    </row>
    <row r="15" spans="1:15" ht="12.75" hidden="1" customHeight="1" x14ac:dyDescent="0.2">
      <c r="A15" s="182"/>
      <c r="B15" s="576"/>
      <c r="C15" s="576"/>
      <c r="D15" s="576"/>
      <c r="E15" s="576"/>
      <c r="F15" s="576"/>
      <c r="G15" s="139"/>
      <c r="H15" s="189"/>
      <c r="I15" s="296"/>
      <c r="J15" s="311"/>
      <c r="K15" s="311"/>
      <c r="L15" s="311"/>
      <c r="M15" s="311"/>
      <c r="N15" s="296"/>
      <c r="O15" s="234"/>
    </row>
    <row r="16" spans="1:15" ht="12.75" hidden="1" customHeight="1" x14ac:dyDescent="0.2">
      <c r="A16" s="577"/>
      <c r="B16" s="142"/>
      <c r="C16" s="143"/>
      <c r="D16" s="143"/>
      <c r="E16" s="143"/>
      <c r="F16" s="143"/>
      <c r="G16" s="173"/>
      <c r="H16" s="335"/>
      <c r="I16" s="336"/>
      <c r="J16" s="336"/>
      <c r="K16" s="336"/>
      <c r="L16" s="336"/>
      <c r="M16" s="336"/>
      <c r="N16" s="296"/>
      <c r="O16" s="234"/>
    </row>
    <row r="17" spans="1:15" s="150" customFormat="1" ht="12.75" hidden="1" customHeight="1" x14ac:dyDescent="0.2">
      <c r="A17" s="577"/>
      <c r="B17" s="576"/>
      <c r="C17" s="576"/>
      <c r="D17" s="576"/>
      <c r="E17" s="576"/>
      <c r="F17" s="576"/>
      <c r="G17" s="162"/>
      <c r="H17" s="333"/>
      <c r="I17" s="330"/>
      <c r="J17" s="370"/>
      <c r="K17" s="370"/>
      <c r="L17" s="370"/>
      <c r="M17" s="370"/>
      <c r="N17" s="296"/>
      <c r="O17" s="234"/>
    </row>
    <row r="18" spans="1:15" ht="12.75" hidden="1" customHeight="1" x14ac:dyDescent="0.2">
      <c r="A18" s="182"/>
      <c r="B18" s="142"/>
      <c r="C18" s="153"/>
      <c r="D18" s="153"/>
      <c r="E18" s="153"/>
      <c r="F18" s="153"/>
      <c r="G18" s="162"/>
      <c r="H18" s="333"/>
      <c r="I18" s="330"/>
      <c r="J18" s="311"/>
      <c r="K18" s="311"/>
      <c r="L18" s="311"/>
      <c r="M18" s="311"/>
      <c r="N18" s="330"/>
      <c r="O18" s="68"/>
    </row>
    <row r="19" spans="1:15" ht="12.75" hidden="1" customHeight="1" x14ac:dyDescent="0.2">
      <c r="A19" s="140"/>
      <c r="B19" s="200"/>
      <c r="C19" s="153"/>
      <c r="D19" s="153"/>
      <c r="E19" s="153"/>
      <c r="F19" s="153"/>
      <c r="G19" s="139"/>
      <c r="H19" s="189"/>
      <c r="I19" s="323"/>
      <c r="J19" s="314"/>
      <c r="K19" s="314"/>
      <c r="L19" s="323"/>
      <c r="M19" s="308"/>
      <c r="N19" s="296"/>
      <c r="O19" s="214"/>
    </row>
    <row r="20" spans="1:15" ht="12.75" hidden="1" customHeight="1" x14ac:dyDescent="0.2">
      <c r="A20" s="182"/>
      <c r="B20" s="576"/>
      <c r="C20" s="576"/>
      <c r="D20" s="576"/>
      <c r="E20" s="576"/>
      <c r="F20" s="576"/>
      <c r="G20" s="139"/>
      <c r="H20" s="189"/>
      <c r="I20" s="296"/>
      <c r="J20" s="311"/>
      <c r="K20" s="311"/>
      <c r="L20" s="311"/>
      <c r="M20" s="311"/>
      <c r="N20" s="296"/>
      <c r="O20" s="234"/>
    </row>
    <row r="21" spans="1:15" ht="12.75" hidden="1" customHeight="1" x14ac:dyDescent="0.2">
      <c r="A21" s="577"/>
      <c r="B21" s="142"/>
      <c r="C21" s="143"/>
      <c r="D21" s="143"/>
      <c r="E21" s="143"/>
      <c r="F21" s="143"/>
      <c r="G21" s="173"/>
      <c r="H21" s="335"/>
      <c r="I21" s="336"/>
      <c r="J21" s="336"/>
      <c r="K21" s="336"/>
      <c r="L21" s="336"/>
      <c r="M21" s="336"/>
      <c r="N21" s="296"/>
      <c r="O21" s="234"/>
    </row>
    <row r="22" spans="1:15" s="150" customFormat="1" ht="12.75" hidden="1" customHeight="1" x14ac:dyDescent="0.2">
      <c r="A22" s="577"/>
      <c r="B22" s="576"/>
      <c r="C22" s="576"/>
      <c r="D22" s="576"/>
      <c r="E22" s="576"/>
      <c r="F22" s="576"/>
      <c r="G22" s="162"/>
      <c r="H22" s="333"/>
      <c r="I22" s="330"/>
      <c r="J22" s="370"/>
      <c r="K22" s="370"/>
      <c r="L22" s="370"/>
      <c r="M22" s="370"/>
      <c r="N22" s="296"/>
      <c r="O22" s="234"/>
    </row>
    <row r="23" spans="1:15" s="132" customFormat="1" ht="12.75" hidden="1" customHeight="1" x14ac:dyDescent="0.2">
      <c r="A23" s="318"/>
      <c r="B23" s="175"/>
      <c r="C23" s="176"/>
      <c r="D23" s="176"/>
      <c r="E23" s="176"/>
      <c r="F23" s="176"/>
      <c r="G23" s="178"/>
      <c r="H23" s="337"/>
      <c r="I23" s="338"/>
      <c r="J23" s="338"/>
      <c r="K23" s="338"/>
      <c r="L23" s="338"/>
      <c r="M23" s="338"/>
      <c r="N23" s="373"/>
      <c r="O23" s="235"/>
    </row>
    <row r="24" spans="1:15" s="132" customFormat="1" ht="12.75" hidden="1" customHeight="1" x14ac:dyDescent="0.2">
      <c r="A24" s="318"/>
      <c r="B24" s="175"/>
      <c r="C24" s="175"/>
      <c r="D24" s="175"/>
      <c r="E24" s="175"/>
      <c r="F24" s="175"/>
      <c r="G24" s="425"/>
      <c r="H24" s="371"/>
      <c r="I24" s="372"/>
      <c r="J24" s="372"/>
      <c r="K24" s="372"/>
      <c r="L24" s="372"/>
      <c r="M24" s="372"/>
      <c r="N24" s="373"/>
      <c r="O24" s="235"/>
    </row>
    <row r="25" spans="1:15" ht="12.75" customHeight="1" x14ac:dyDescent="0.2">
      <c r="A25" s="696">
        <f>RESUMO!A68</f>
        <v>17</v>
      </c>
      <c r="B25" s="841" t="str">
        <f>RESUMO!B68</f>
        <v>BIOFILTRO SUBMERSO - MATERIAIS</v>
      </c>
      <c r="C25" s="841"/>
      <c r="D25" s="841"/>
      <c r="E25" s="841"/>
      <c r="F25" s="841"/>
      <c r="G25" s="162"/>
      <c r="H25" s="162"/>
      <c r="I25" s="577"/>
      <c r="N25" s="317"/>
      <c r="O25" s="68"/>
    </row>
    <row r="26" spans="1:15" ht="12.75" customHeight="1" x14ac:dyDescent="0.2">
      <c r="A26" s="182">
        <v>25</v>
      </c>
      <c r="B26" s="837" t="s">
        <v>29</v>
      </c>
      <c r="C26" s="837"/>
      <c r="D26" s="837"/>
      <c r="E26" s="837"/>
      <c r="F26" s="837"/>
      <c r="G26" s="640"/>
      <c r="H26" s="640"/>
      <c r="I26" s="651"/>
      <c r="J26" s="61"/>
      <c r="K26" s="61"/>
      <c r="L26" s="61"/>
      <c r="M26" s="61"/>
      <c r="N26" s="687"/>
      <c r="O26" s="68"/>
    </row>
    <row r="27" spans="1:15" ht="12.75" customHeight="1" x14ac:dyDescent="0.2">
      <c r="A27" s="182">
        <v>250203</v>
      </c>
      <c r="B27" s="142" t="s">
        <v>1383</v>
      </c>
      <c r="C27" s="153"/>
      <c r="D27" s="153"/>
      <c r="E27" s="153"/>
      <c r="F27" s="153"/>
      <c r="G27" s="640" t="s">
        <v>24</v>
      </c>
      <c r="H27" s="645"/>
      <c r="I27" s="645">
        <v>23.65</v>
      </c>
      <c r="J27" s="329"/>
      <c r="K27" s="329"/>
      <c r="L27" s="323">
        <v>23.65</v>
      </c>
      <c r="M27" s="308">
        <f>H27*I27</f>
        <v>0</v>
      </c>
      <c r="N27" s="296">
        <f t="shared" ref="N27:N41" si="0">H27*I27</f>
        <v>0</v>
      </c>
      <c r="O27" s="214" t="e">
        <f>N27/$N$32</f>
        <v>#DIV/0!</v>
      </c>
    </row>
    <row r="28" spans="1:15" ht="12.75" customHeight="1" x14ac:dyDescent="0.2">
      <c r="A28" s="140" t="s">
        <v>278</v>
      </c>
      <c r="B28" s="426" t="s">
        <v>1384</v>
      </c>
      <c r="C28" s="153"/>
      <c r="D28" s="153"/>
      <c r="E28" s="153"/>
      <c r="F28" s="153"/>
      <c r="G28" s="139" t="s">
        <v>24</v>
      </c>
      <c r="H28" s="189"/>
      <c r="I28" s="323">
        <v>17.46</v>
      </c>
      <c r="J28" s="314"/>
      <c r="K28" s="314"/>
      <c r="L28" s="323">
        <v>17.46</v>
      </c>
      <c r="M28" s="308">
        <f>H28*I28</f>
        <v>0</v>
      </c>
      <c r="N28" s="296">
        <f t="shared" si="0"/>
        <v>0</v>
      </c>
      <c r="O28" s="214" t="e">
        <f t="shared" ref="O28:O30" si="1">N28/$N$32</f>
        <v>#DIV/0!</v>
      </c>
    </row>
    <row r="29" spans="1:15" ht="12.75" customHeight="1" x14ac:dyDescent="0.2">
      <c r="A29" s="140" t="s">
        <v>1385</v>
      </c>
      <c r="B29" s="426" t="s">
        <v>1386</v>
      </c>
      <c r="C29" s="153"/>
      <c r="D29" s="153"/>
      <c r="E29" s="153"/>
      <c r="F29" s="153"/>
      <c r="G29" s="139" t="s">
        <v>24</v>
      </c>
      <c r="H29" s="189"/>
      <c r="I29" s="323">
        <v>11.96</v>
      </c>
      <c r="J29" s="314"/>
      <c r="K29" s="314"/>
      <c r="L29" s="323">
        <v>11.96</v>
      </c>
      <c r="M29" s="308">
        <f t="shared" ref="M29:M30" si="2">H29*I29</f>
        <v>0</v>
      </c>
      <c r="N29" s="296">
        <f t="shared" si="0"/>
        <v>0</v>
      </c>
      <c r="O29" s="214" t="e">
        <f t="shared" si="1"/>
        <v>#DIV/0!</v>
      </c>
    </row>
    <row r="30" spans="1:15" ht="12.75" customHeight="1" x14ac:dyDescent="0.2">
      <c r="A30" s="140" t="s">
        <v>1387</v>
      </c>
      <c r="B30" s="426" t="s">
        <v>1388</v>
      </c>
      <c r="C30" s="153"/>
      <c r="D30" s="153"/>
      <c r="E30" s="153"/>
      <c r="F30" s="153"/>
      <c r="G30" s="139" t="s">
        <v>24</v>
      </c>
      <c r="H30" s="189"/>
      <c r="I30" s="323">
        <v>64.47</v>
      </c>
      <c r="J30" s="314"/>
      <c r="K30" s="314"/>
      <c r="L30" s="323">
        <v>64.47</v>
      </c>
      <c r="M30" s="308">
        <f t="shared" si="2"/>
        <v>0</v>
      </c>
      <c r="N30" s="296">
        <f t="shared" si="0"/>
        <v>0</v>
      </c>
      <c r="O30" s="214" t="e">
        <f t="shared" si="1"/>
        <v>#DIV/0!</v>
      </c>
    </row>
    <row r="31" spans="1:15" ht="12.75" customHeight="1" x14ac:dyDescent="0.2">
      <c r="A31" s="140"/>
      <c r="B31" s="426"/>
      <c r="C31" s="153"/>
      <c r="D31" s="153"/>
      <c r="E31" s="153"/>
      <c r="F31" s="153"/>
      <c r="G31" s="139"/>
      <c r="H31" s="189"/>
      <c r="I31" s="323"/>
      <c r="J31" s="314"/>
      <c r="K31" s="314"/>
      <c r="L31" s="323"/>
      <c r="M31" s="308"/>
      <c r="N31" s="296"/>
      <c r="O31" s="214"/>
    </row>
    <row r="32" spans="1:15" ht="12.75" customHeight="1" x14ac:dyDescent="0.2">
      <c r="A32" s="644"/>
      <c r="B32" s="155" t="s">
        <v>18</v>
      </c>
      <c r="C32" s="160"/>
      <c r="D32" s="160"/>
      <c r="E32" s="160"/>
      <c r="F32" s="144"/>
      <c r="G32" s="655"/>
      <c r="H32" s="656"/>
      <c r="I32" s="656"/>
      <c r="J32" s="656"/>
      <c r="K32" s="656"/>
      <c r="L32" s="656"/>
      <c r="M32" s="656"/>
      <c r="N32" s="688">
        <f>SUM(N27:N30)</f>
        <v>0</v>
      </c>
      <c r="O32" s="301" t="e">
        <f>N32/N57</f>
        <v>#DIV/0!</v>
      </c>
    </row>
    <row r="33" spans="1:15" ht="12.75" customHeight="1" x14ac:dyDescent="0.2">
      <c r="A33" s="644"/>
      <c r="B33" s="155"/>
      <c r="C33" s="689"/>
      <c r="D33" s="689"/>
      <c r="E33" s="689"/>
      <c r="F33" s="690"/>
      <c r="G33" s="691"/>
      <c r="H33" s="692"/>
      <c r="I33" s="692"/>
      <c r="J33" s="692"/>
      <c r="K33" s="692"/>
      <c r="L33" s="692"/>
      <c r="M33" s="692"/>
      <c r="N33" s="315"/>
      <c r="O33" s="301"/>
    </row>
    <row r="34" spans="1:15" ht="12.75" customHeight="1" x14ac:dyDescent="0.2">
      <c r="A34" s="644"/>
      <c r="B34" s="175" t="s">
        <v>20</v>
      </c>
      <c r="C34" s="176"/>
      <c r="D34" s="176"/>
      <c r="E34" s="176"/>
      <c r="F34" s="176"/>
      <c r="G34" s="681"/>
      <c r="H34" s="666"/>
      <c r="I34" s="667"/>
      <c r="J34" s="667"/>
      <c r="K34" s="667"/>
      <c r="L34" s="667"/>
      <c r="M34" s="667"/>
      <c r="N34" s="373">
        <f>N32</f>
        <v>0</v>
      </c>
      <c r="O34" s="235" t="e">
        <f>N34/$N$57</f>
        <v>#DIV/0!</v>
      </c>
    </row>
    <row r="35" spans="1:15" ht="12.75" customHeight="1" x14ac:dyDescent="0.2">
      <c r="A35" s="644"/>
      <c r="B35" s="155"/>
      <c r="C35" s="689"/>
      <c r="D35" s="689"/>
      <c r="E35" s="689"/>
      <c r="F35" s="690"/>
      <c r="G35" s="691"/>
      <c r="H35" s="692"/>
      <c r="I35" s="692"/>
      <c r="J35" s="692"/>
      <c r="K35" s="692"/>
      <c r="L35" s="692"/>
      <c r="M35" s="692"/>
      <c r="N35" s="315"/>
      <c r="O35" s="301"/>
    </row>
    <row r="36" spans="1:15" ht="12.75" customHeight="1" x14ac:dyDescent="0.2">
      <c r="A36" s="140"/>
      <c r="B36" s="426" t="s">
        <v>557</v>
      </c>
      <c r="C36" s="153"/>
      <c r="D36" s="153"/>
      <c r="E36" s="153"/>
      <c r="F36" s="153"/>
      <c r="G36" s="139"/>
      <c r="H36" s="189"/>
      <c r="I36" s="323"/>
      <c r="J36" s="314"/>
      <c r="K36" s="314"/>
      <c r="L36" s="323"/>
      <c r="M36" s="308"/>
      <c r="N36" s="296"/>
      <c r="O36" s="214"/>
    </row>
    <row r="37" spans="1:15" ht="12.75" customHeight="1" x14ac:dyDescent="0.2">
      <c r="A37" s="140"/>
      <c r="B37" s="426" t="s">
        <v>1389</v>
      </c>
      <c r="C37" s="153"/>
      <c r="D37" s="153"/>
      <c r="E37" s="153"/>
      <c r="F37" s="153"/>
      <c r="G37" s="139"/>
      <c r="H37" s="189"/>
      <c r="I37" s="323"/>
      <c r="J37" s="314"/>
      <c r="K37" s="314"/>
      <c r="L37" s="323"/>
      <c r="M37" s="308"/>
      <c r="N37" s="296"/>
      <c r="O37" s="214"/>
    </row>
    <row r="38" spans="1:15" ht="12.75" customHeight="1" x14ac:dyDescent="0.2">
      <c r="A38" s="140" t="s">
        <v>545</v>
      </c>
      <c r="B38" s="426" t="s">
        <v>1390</v>
      </c>
      <c r="C38" s="426"/>
      <c r="D38" s="426"/>
      <c r="E38" s="426"/>
      <c r="F38" s="426"/>
      <c r="G38" s="139" t="s">
        <v>31</v>
      </c>
      <c r="H38" s="189"/>
      <c r="I38" s="323">
        <v>40.356999999999999</v>
      </c>
      <c r="J38" s="314"/>
      <c r="K38" s="314"/>
      <c r="L38" s="323">
        <f>I38</f>
        <v>40.356999999999999</v>
      </c>
      <c r="M38" s="308">
        <f>H38*L38</f>
        <v>0</v>
      </c>
      <c r="N38" s="296">
        <f t="shared" si="0"/>
        <v>0</v>
      </c>
      <c r="O38" s="214" t="e">
        <f>N38/$N$43</f>
        <v>#DIV/0!</v>
      </c>
    </row>
    <row r="39" spans="1:15" ht="12.75" customHeight="1" x14ac:dyDescent="0.2">
      <c r="A39" s="140" t="s">
        <v>545</v>
      </c>
      <c r="B39" s="426" t="s">
        <v>1391</v>
      </c>
      <c r="C39" s="153"/>
      <c r="D39" s="153"/>
      <c r="E39" s="153"/>
      <c r="F39" s="153"/>
      <c r="G39" s="139" t="s">
        <v>24</v>
      </c>
      <c r="H39" s="189"/>
      <c r="I39" s="323">
        <v>5</v>
      </c>
      <c r="J39" s="314"/>
      <c r="K39" s="314"/>
      <c r="L39" s="323">
        <f t="shared" ref="L39:L41" si="3">I39</f>
        <v>5</v>
      </c>
      <c r="M39" s="308">
        <f t="shared" ref="M39:M41" si="4">H39*L39</f>
        <v>0</v>
      </c>
      <c r="N39" s="296">
        <f t="shared" si="0"/>
        <v>0</v>
      </c>
      <c r="O39" s="214" t="e">
        <f t="shared" ref="O39:O41" si="5">N39/$N$43</f>
        <v>#DIV/0!</v>
      </c>
    </row>
    <row r="40" spans="1:15" ht="12.75" customHeight="1" x14ac:dyDescent="0.2">
      <c r="A40" s="182" t="s">
        <v>545</v>
      </c>
      <c r="B40" s="842" t="s">
        <v>1392</v>
      </c>
      <c r="C40" s="842"/>
      <c r="D40" s="842"/>
      <c r="E40" s="842"/>
      <c r="F40" s="693"/>
      <c r="G40" s="139" t="s">
        <v>24</v>
      </c>
      <c r="H40" s="189"/>
      <c r="I40" s="323">
        <v>0.5</v>
      </c>
      <c r="J40" s="314"/>
      <c r="K40" s="314"/>
      <c r="L40" s="323">
        <f t="shared" si="3"/>
        <v>0.5</v>
      </c>
      <c r="M40" s="308">
        <f t="shared" si="4"/>
        <v>0</v>
      </c>
      <c r="N40" s="296">
        <f t="shared" si="0"/>
        <v>0</v>
      </c>
      <c r="O40" s="214" t="e">
        <f t="shared" si="5"/>
        <v>#DIV/0!</v>
      </c>
    </row>
    <row r="41" spans="1:15" ht="12.75" customHeight="1" x14ac:dyDescent="0.2">
      <c r="A41" s="182" t="s">
        <v>545</v>
      </c>
      <c r="B41" s="842" t="s">
        <v>1393</v>
      </c>
      <c r="C41" s="842"/>
      <c r="D41" s="842"/>
      <c r="E41" s="842"/>
      <c r="F41" s="694"/>
      <c r="G41" s="139" t="s">
        <v>24</v>
      </c>
      <c r="H41" s="189"/>
      <c r="I41" s="323">
        <v>0.5</v>
      </c>
      <c r="J41" s="314"/>
      <c r="K41" s="314"/>
      <c r="L41" s="323">
        <f t="shared" si="3"/>
        <v>0.5</v>
      </c>
      <c r="M41" s="308">
        <f t="shared" si="4"/>
        <v>0</v>
      </c>
      <c r="N41" s="296">
        <f t="shared" si="0"/>
        <v>0</v>
      </c>
      <c r="O41" s="214" t="e">
        <f t="shared" si="5"/>
        <v>#DIV/0!</v>
      </c>
    </row>
    <row r="42" spans="1:15" ht="12.75" customHeight="1" x14ac:dyDescent="0.2">
      <c r="A42" s="182"/>
      <c r="B42" s="694"/>
      <c r="C42" s="694"/>
      <c r="D42" s="694"/>
      <c r="E42" s="694"/>
      <c r="F42" s="694"/>
      <c r="G42" s="139"/>
      <c r="H42" s="189"/>
      <c r="I42" s="296"/>
      <c r="J42" s="329"/>
      <c r="K42" s="329"/>
      <c r="L42" s="329"/>
      <c r="M42" s="329"/>
      <c r="N42" s="296"/>
      <c r="O42" s="234"/>
    </row>
    <row r="43" spans="1:15" ht="12.75" customHeight="1" x14ac:dyDescent="0.2">
      <c r="A43" s="644"/>
      <c r="B43" s="155" t="s">
        <v>18</v>
      </c>
      <c r="C43" s="160"/>
      <c r="D43" s="160"/>
      <c r="E43" s="160"/>
      <c r="F43" s="144"/>
      <c r="G43" s="655"/>
      <c r="H43" s="656"/>
      <c r="I43" s="656"/>
      <c r="J43" s="656"/>
      <c r="K43" s="656"/>
      <c r="L43" s="656"/>
      <c r="M43" s="656"/>
      <c r="N43" s="688">
        <f>SUM(N38:N41)</f>
        <v>0</v>
      </c>
      <c r="O43" s="301" t="e">
        <f>N43/N57</f>
        <v>#DIV/0!</v>
      </c>
    </row>
    <row r="44" spans="1:15" ht="12.75" customHeight="1" x14ac:dyDescent="0.2">
      <c r="A44" s="182"/>
      <c r="B44" s="694"/>
      <c r="C44" s="694"/>
      <c r="D44" s="694"/>
      <c r="E44" s="694"/>
      <c r="F44" s="694"/>
      <c r="G44" s="139"/>
      <c r="H44" s="189"/>
      <c r="I44" s="296"/>
      <c r="J44" s="329"/>
      <c r="K44" s="329"/>
      <c r="L44" s="329"/>
      <c r="M44" s="329"/>
      <c r="N44" s="296"/>
      <c r="O44" s="234"/>
    </row>
    <row r="45" spans="1:15" ht="12.75" customHeight="1" x14ac:dyDescent="0.2">
      <c r="A45" s="182"/>
      <c r="B45" s="842" t="s">
        <v>1394</v>
      </c>
      <c r="C45" s="842"/>
      <c r="D45" s="842"/>
      <c r="E45" s="694"/>
      <c r="F45" s="694"/>
      <c r="G45" s="139"/>
      <c r="H45" s="189"/>
      <c r="I45" s="296"/>
      <c r="J45" s="329"/>
      <c r="K45" s="329"/>
      <c r="L45" s="329"/>
      <c r="M45" s="329"/>
      <c r="N45" s="296"/>
      <c r="O45" s="234"/>
    </row>
    <row r="46" spans="1:15" ht="12.75" customHeight="1" x14ac:dyDescent="0.2">
      <c r="A46" s="182" t="s">
        <v>545</v>
      </c>
      <c r="B46" s="842" t="s">
        <v>1395</v>
      </c>
      <c r="C46" s="842"/>
      <c r="D46" s="842"/>
      <c r="E46" s="842"/>
      <c r="F46" s="694"/>
      <c r="G46" s="139" t="s">
        <v>31</v>
      </c>
      <c r="H46" s="189"/>
      <c r="I46" s="323">
        <v>40.357100000000003</v>
      </c>
      <c r="J46" s="329"/>
      <c r="K46" s="329"/>
      <c r="L46" s="323">
        <f>I46</f>
        <v>40.357100000000003</v>
      </c>
      <c r="M46" s="308">
        <f t="shared" ref="M46:M49" si="6">H46*L46</f>
        <v>0</v>
      </c>
      <c r="N46" s="296">
        <f t="shared" ref="N46:N49" si="7">H46*I46</f>
        <v>0</v>
      </c>
      <c r="O46" s="214" t="e">
        <f>N46/$N$51</f>
        <v>#DIV/0!</v>
      </c>
    </row>
    <row r="47" spans="1:15" ht="12.75" customHeight="1" x14ac:dyDescent="0.2">
      <c r="A47" s="140" t="s">
        <v>545</v>
      </c>
      <c r="B47" s="426" t="s">
        <v>1396</v>
      </c>
      <c r="C47" s="153"/>
      <c r="D47" s="153"/>
      <c r="E47" s="153"/>
      <c r="F47" s="153"/>
      <c r="G47" s="139" t="s">
        <v>24</v>
      </c>
      <c r="H47" s="189"/>
      <c r="I47" s="323">
        <v>5</v>
      </c>
      <c r="J47" s="314"/>
      <c r="K47" s="314"/>
      <c r="L47" s="323">
        <f>I47</f>
        <v>5</v>
      </c>
      <c r="M47" s="308">
        <f t="shared" si="6"/>
        <v>0</v>
      </c>
      <c r="N47" s="296">
        <f t="shared" si="7"/>
        <v>0</v>
      </c>
      <c r="O47" s="214" t="e">
        <f>N47/$N$51</f>
        <v>#DIV/0!</v>
      </c>
    </row>
    <row r="48" spans="1:15" ht="12.75" customHeight="1" x14ac:dyDescent="0.2">
      <c r="A48" s="182" t="s">
        <v>545</v>
      </c>
      <c r="B48" s="842" t="s">
        <v>1397</v>
      </c>
      <c r="C48" s="842"/>
      <c r="D48" s="842"/>
      <c r="E48" s="842"/>
      <c r="F48" s="693"/>
      <c r="G48" s="139" t="s">
        <v>24</v>
      </c>
      <c r="H48" s="189"/>
      <c r="I48" s="323">
        <v>0.5</v>
      </c>
      <c r="J48" s="314"/>
      <c r="K48" s="314"/>
      <c r="L48" s="323">
        <f t="shared" ref="L48:L49" si="8">I48</f>
        <v>0.5</v>
      </c>
      <c r="M48" s="308">
        <f t="shared" si="6"/>
        <v>0</v>
      </c>
      <c r="N48" s="296">
        <f t="shared" si="7"/>
        <v>0</v>
      </c>
      <c r="O48" s="214" t="e">
        <f t="shared" ref="O48:O49" si="9">N48/$N$51</f>
        <v>#DIV/0!</v>
      </c>
    </row>
    <row r="49" spans="1:16" ht="12.75" customHeight="1" x14ac:dyDescent="0.2">
      <c r="A49" s="182" t="s">
        <v>545</v>
      </c>
      <c r="B49" s="842" t="s">
        <v>1398</v>
      </c>
      <c r="C49" s="842"/>
      <c r="D49" s="842"/>
      <c r="E49" s="842"/>
      <c r="F49" s="694"/>
      <c r="G49" s="139" t="s">
        <v>24</v>
      </c>
      <c r="H49" s="189"/>
      <c r="I49" s="323">
        <v>0.5</v>
      </c>
      <c r="J49" s="314"/>
      <c r="K49" s="314"/>
      <c r="L49" s="323">
        <f t="shared" si="8"/>
        <v>0.5</v>
      </c>
      <c r="M49" s="308">
        <f t="shared" si="6"/>
        <v>0</v>
      </c>
      <c r="N49" s="296">
        <f t="shared" si="7"/>
        <v>0</v>
      </c>
      <c r="O49" s="214" t="e">
        <f t="shared" si="9"/>
        <v>#DIV/0!</v>
      </c>
    </row>
    <row r="50" spans="1:16" ht="12.75" customHeight="1" x14ac:dyDescent="0.2">
      <c r="A50" s="182"/>
      <c r="B50" s="694"/>
      <c r="C50" s="694"/>
      <c r="D50" s="694"/>
      <c r="E50" s="694"/>
      <c r="F50" s="694"/>
      <c r="G50" s="139"/>
      <c r="H50" s="189"/>
      <c r="I50" s="296"/>
      <c r="J50" s="329"/>
      <c r="K50" s="329"/>
      <c r="L50" s="329"/>
      <c r="M50" s="329"/>
      <c r="N50" s="296"/>
      <c r="O50" s="234"/>
      <c r="P50" s="51">
        <v>25888</v>
      </c>
    </row>
    <row r="51" spans="1:16" ht="12.75" customHeight="1" x14ac:dyDescent="0.2">
      <c r="A51" s="182"/>
      <c r="B51" s="155" t="s">
        <v>18</v>
      </c>
      <c r="C51" s="160"/>
      <c r="D51" s="160"/>
      <c r="E51" s="160"/>
      <c r="F51" s="144"/>
      <c r="G51" s="655"/>
      <c r="H51" s="656"/>
      <c r="I51" s="656"/>
      <c r="J51" s="656"/>
      <c r="K51" s="656"/>
      <c r="L51" s="656"/>
      <c r="M51" s="656"/>
      <c r="N51" s="688">
        <f>SUM(N46:N49)</f>
        <v>0</v>
      </c>
      <c r="O51" s="301" t="e">
        <f>N51/N57</f>
        <v>#DIV/0!</v>
      </c>
    </row>
    <row r="52" spans="1:16" ht="12.75" customHeight="1" x14ac:dyDescent="0.2">
      <c r="A52" s="182"/>
      <c r="B52" s="694"/>
      <c r="C52" s="694"/>
      <c r="D52" s="694"/>
      <c r="E52" s="694"/>
      <c r="F52" s="694"/>
      <c r="G52" s="139"/>
      <c r="H52" s="189"/>
      <c r="I52" s="296"/>
      <c r="J52" s="329"/>
      <c r="K52" s="329"/>
      <c r="L52" s="329"/>
      <c r="M52" s="329"/>
      <c r="N52" s="296"/>
      <c r="O52" s="234"/>
    </row>
    <row r="53" spans="1:16" ht="12.75" customHeight="1" x14ac:dyDescent="0.2">
      <c r="A53" s="651"/>
      <c r="B53" s="142"/>
      <c r="C53" s="143"/>
      <c r="D53" s="143"/>
      <c r="E53" s="143"/>
      <c r="F53" s="143"/>
      <c r="G53" s="662"/>
      <c r="H53" s="663"/>
      <c r="I53" s="664"/>
      <c r="J53" s="664"/>
      <c r="K53" s="664"/>
      <c r="L53" s="664"/>
      <c r="M53" s="664"/>
      <c r="N53" s="296"/>
      <c r="O53" s="234"/>
    </row>
    <row r="54" spans="1:16" s="150" customFormat="1" ht="12.75" customHeight="1" x14ac:dyDescent="0.2">
      <c r="A54" s="651"/>
      <c r="B54" s="576"/>
      <c r="C54" s="576"/>
      <c r="D54" s="576"/>
      <c r="E54" s="576"/>
      <c r="F54" s="576"/>
      <c r="G54" s="651"/>
      <c r="H54" s="641"/>
      <c r="I54" s="642"/>
      <c r="J54" s="370"/>
      <c r="K54" s="370"/>
      <c r="L54" s="370"/>
      <c r="M54" s="370"/>
      <c r="N54" s="296"/>
      <c r="O54" s="234"/>
    </row>
    <row r="55" spans="1:16" s="132" customFormat="1" ht="12.75" customHeight="1" x14ac:dyDescent="0.2">
      <c r="A55" s="682"/>
      <c r="B55" s="175" t="s">
        <v>20</v>
      </c>
      <c r="C55" s="176"/>
      <c r="D55" s="176"/>
      <c r="E55" s="176"/>
      <c r="F55" s="176"/>
      <c r="G55" s="681"/>
      <c r="H55" s="666"/>
      <c r="I55" s="667"/>
      <c r="J55" s="667"/>
      <c r="K55" s="667"/>
      <c r="L55" s="667"/>
      <c r="M55" s="667"/>
      <c r="N55" s="373">
        <f>N51+N43</f>
        <v>0</v>
      </c>
      <c r="O55" s="235" t="e">
        <f>N55/$N$57</f>
        <v>#DIV/0!</v>
      </c>
    </row>
    <row r="56" spans="1:16" ht="8.25" customHeight="1" x14ac:dyDescent="0.2">
      <c r="A56" s="61"/>
      <c r="B56" s="61"/>
      <c r="C56" s="61"/>
      <c r="D56" s="61"/>
      <c r="E56" s="61"/>
      <c r="F56" s="61"/>
      <c r="G56" s="19"/>
      <c r="H56" s="324"/>
      <c r="I56" s="324"/>
      <c r="J56" s="324"/>
      <c r="K56" s="324"/>
      <c r="L56" s="324"/>
      <c r="M56" s="324"/>
      <c r="N56" s="324"/>
      <c r="O56" s="187"/>
    </row>
    <row r="57" spans="1:16" ht="12.75" customHeight="1" x14ac:dyDescent="0.2">
      <c r="A57" s="684"/>
      <c r="B57" s="147" t="s">
        <v>30</v>
      </c>
      <c r="C57" s="684"/>
      <c r="D57" s="684"/>
      <c r="E57" s="684"/>
      <c r="F57" s="684"/>
      <c r="G57" s="684"/>
      <c r="H57" s="695"/>
      <c r="I57" s="686"/>
      <c r="J57" s="686"/>
      <c r="K57" s="686"/>
      <c r="L57" s="686"/>
      <c r="M57" s="275">
        <f>SUM(M11:M56)</f>
        <v>0</v>
      </c>
      <c r="N57" s="316">
        <f>N34+N55</f>
        <v>0</v>
      </c>
      <c r="O57" s="29"/>
      <c r="P57" s="149"/>
    </row>
    <row r="58" spans="1:16" ht="5.25" customHeight="1" x14ac:dyDescent="0.2">
      <c r="H58" s="313"/>
      <c r="I58" s="311"/>
      <c r="J58" s="311"/>
      <c r="K58" s="311"/>
      <c r="L58" s="311"/>
      <c r="M58" s="311"/>
      <c r="N58" s="311"/>
      <c r="O58" s="219"/>
      <c r="P58" s="149"/>
    </row>
    <row r="59" spans="1:16" ht="12.75" customHeight="1" x14ac:dyDescent="0.2">
      <c r="A59" s="146"/>
      <c r="B59" s="147" t="s">
        <v>265</v>
      </c>
      <c r="C59" s="146"/>
      <c r="D59" s="146"/>
      <c r="E59" s="146"/>
      <c r="F59" s="146"/>
      <c r="G59" s="146"/>
      <c r="H59" s="350"/>
      <c r="I59" s="345"/>
      <c r="J59" s="345"/>
      <c r="K59" s="345"/>
      <c r="L59" s="345"/>
      <c r="M59" s="275">
        <f>M57+(M57*O7)</f>
        <v>0</v>
      </c>
      <c r="N59" s="316">
        <f>M59</f>
        <v>0</v>
      </c>
      <c r="O59" s="29">
        <f>N59/RESUMO!H95</f>
        <v>0</v>
      </c>
      <c r="P59" s="149"/>
    </row>
    <row r="71" spans="1:15" ht="12.75" customHeight="1" x14ac:dyDescent="0.2">
      <c r="A71" s="150"/>
      <c r="B71" s="150"/>
      <c r="C71" s="150"/>
      <c r="D71" s="150"/>
      <c r="E71" s="150"/>
      <c r="F71" s="150"/>
      <c r="G71" s="150"/>
      <c r="H71" s="209"/>
      <c r="I71" s="150"/>
      <c r="J71" s="150"/>
      <c r="K71" s="150"/>
      <c r="L71" s="150"/>
      <c r="M71" s="150"/>
      <c r="N71" s="211"/>
      <c r="O71" s="210"/>
    </row>
    <row r="72" spans="1:15" ht="12.75" customHeight="1" x14ac:dyDescent="0.2">
      <c r="A72" s="88"/>
      <c r="C72" s="184"/>
      <c r="D72" s="184"/>
      <c r="E72" s="184"/>
      <c r="F72" s="184"/>
      <c r="G72" s="184"/>
      <c r="H72" s="212"/>
      <c r="I72" s="184"/>
      <c r="J72" s="184"/>
      <c r="K72" s="184"/>
      <c r="L72" s="184"/>
      <c r="M72" s="184"/>
      <c r="N72" s="184"/>
      <c r="O72" s="437"/>
    </row>
  </sheetData>
  <mergeCells count="12">
    <mergeCell ref="B49:E49"/>
    <mergeCell ref="B40:E40"/>
    <mergeCell ref="B48:E48"/>
    <mergeCell ref="B26:F26"/>
    <mergeCell ref="B41:E41"/>
    <mergeCell ref="B45:D45"/>
    <mergeCell ref="B46:E46"/>
    <mergeCell ref="A2:O2"/>
    <mergeCell ref="N4:O4"/>
    <mergeCell ref="A5:B6"/>
    <mergeCell ref="B11:F11"/>
    <mergeCell ref="B25:F25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Curitiba/PR&amp;R&amp;"Arial,Normal"&amp;11&amp;P</oddFooter>
  </headerFooter>
  <legacyDrawingHF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Planilha20">
    <tabColor theme="6" tint="0.39997558519241921"/>
    <pageSetUpPr fitToPage="1"/>
  </sheetPr>
  <dimension ref="A1:P174"/>
  <sheetViews>
    <sheetView view="pageBreakPreview" topLeftCell="A59" zoomScale="90" zoomScaleNormal="90" zoomScaleSheetLayoutView="90" workbookViewId="0">
      <selection activeCell="H75" sqref="H75"/>
    </sheetView>
  </sheetViews>
  <sheetFormatPr defaultColWidth="11.42578125" defaultRowHeight="12" customHeight="1" x14ac:dyDescent="0.2"/>
  <cols>
    <col min="1" max="1" width="11.42578125" style="156"/>
    <col min="2" max="5" width="11.42578125" style="51"/>
    <col min="6" max="6" width="28.5703125" style="51" customWidth="1"/>
    <col min="7" max="7" width="11.42578125" style="216" customWidth="1"/>
    <col min="8" max="9" width="11.42578125" style="51" customWidth="1"/>
    <col min="10" max="10" width="6.7109375" style="51" hidden="1" customWidth="1"/>
    <col min="11" max="11" width="14.28515625" style="51" customWidth="1"/>
    <col min="12" max="12" width="8.140625" style="51" hidden="1" customWidth="1"/>
    <col min="13" max="13" width="14.28515625" style="51" customWidth="1"/>
    <col min="14" max="14" width="17.140625" style="51" customWidth="1"/>
    <col min="15" max="15" width="11.42578125" style="52" customWidth="1"/>
    <col min="16" max="16384" width="11.42578125" style="51"/>
  </cols>
  <sheetData>
    <row r="1" spans="1:15" ht="7.5" customHeight="1" x14ac:dyDescent="0.2"/>
    <row r="2" spans="1:15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5" ht="7.5" customHeight="1" thickBot="1" x14ac:dyDescent="0.25">
      <c r="A3" s="194"/>
      <c r="B3" s="123"/>
      <c r="C3" s="123"/>
      <c r="D3" s="123"/>
      <c r="E3" s="123"/>
      <c r="F3" s="123"/>
      <c r="G3" s="215"/>
      <c r="H3" s="123"/>
      <c r="I3" s="123"/>
      <c r="J3" s="123"/>
      <c r="K3" s="123"/>
      <c r="L3" s="123"/>
      <c r="M3" s="123"/>
      <c r="N3" s="123"/>
      <c r="O3" s="195"/>
    </row>
    <row r="4" spans="1:15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5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5" ht="12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5" ht="12" customHeight="1" x14ac:dyDescent="0.2">
      <c r="A7" s="196"/>
      <c r="B7" s="253"/>
      <c r="C7" s="260" t="s">
        <v>6</v>
      </c>
      <c r="D7" s="263" t="str">
        <f>RESUMO!A47</f>
        <v>U.C. : 13</v>
      </c>
      <c r="E7" s="258"/>
      <c r="F7" s="258"/>
      <c r="G7" s="260" t="s">
        <v>9</v>
      </c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5" ht="12" customHeight="1" thickBot="1" x14ac:dyDescent="0.25">
      <c r="A8" s="197"/>
      <c r="B8" s="125"/>
      <c r="C8" s="266" t="s">
        <v>8</v>
      </c>
      <c r="D8" s="267" t="str">
        <f>RESUMO!B47</f>
        <v>ESTAÇÃO DE TRATAMENTO DE ESGOTO - ETE</v>
      </c>
      <c r="E8" s="268"/>
      <c r="F8" s="268"/>
      <c r="G8" s="266"/>
      <c r="H8" s="123"/>
      <c r="I8" s="278"/>
      <c r="J8" s="278"/>
      <c r="K8" s="278"/>
      <c r="L8" s="278"/>
      <c r="M8" s="278" t="s">
        <v>774</v>
      </c>
      <c r="N8" s="271"/>
      <c r="O8" s="427"/>
    </row>
    <row r="9" spans="1:15" ht="12" customHeight="1" thickTop="1" x14ac:dyDescent="0.2">
      <c r="A9" s="198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5" ht="7.5" customHeight="1" x14ac:dyDescent="0.2">
      <c r="O10" s="19"/>
    </row>
    <row r="11" spans="1:15" ht="12" customHeight="1" x14ac:dyDescent="0.2">
      <c r="A11" s="93">
        <f>[2]RESUMO!A42</f>
        <v>16</v>
      </c>
      <c r="B11" s="93" t="str">
        <f>[2]RESUMO!B42</f>
        <v>CAIXAS - SERVIÇOS</v>
      </c>
      <c r="H11" s="61"/>
      <c r="O11" s="19"/>
    </row>
    <row r="12" spans="1:15" ht="12" customHeight="1" x14ac:dyDescent="0.2">
      <c r="A12" s="129" t="s">
        <v>48</v>
      </c>
      <c r="B12" s="88" t="s">
        <v>16</v>
      </c>
      <c r="H12" s="61"/>
      <c r="O12" s="19"/>
    </row>
    <row r="13" spans="1:15" ht="12" customHeight="1" x14ac:dyDescent="0.2">
      <c r="A13" s="129" t="s">
        <v>79</v>
      </c>
      <c r="B13" s="88" t="s">
        <v>80</v>
      </c>
      <c r="H13" s="329"/>
      <c r="I13" s="311"/>
      <c r="J13" s="311"/>
      <c r="K13" s="311"/>
      <c r="L13" s="311"/>
      <c r="M13" s="311"/>
      <c r="N13" s="311"/>
      <c r="O13" s="19"/>
    </row>
    <row r="14" spans="1:15" ht="12" customHeight="1" x14ac:dyDescent="0.2">
      <c r="A14" s="140" t="s">
        <v>287</v>
      </c>
      <c r="B14" s="834" t="s">
        <v>288</v>
      </c>
      <c r="C14" s="834"/>
      <c r="D14" s="834"/>
      <c r="E14" s="834"/>
      <c r="F14" s="834"/>
      <c r="G14" s="97" t="s">
        <v>31</v>
      </c>
      <c r="H14" s="374">
        <v>22.33</v>
      </c>
      <c r="I14" s="323">
        <f>VLOOKUP(A14,'[1]TAB OGU JUN18'!$A:$G,6,"falso")</f>
        <v>1.24</v>
      </c>
      <c r="J14" s="323">
        <f>VLOOKUP(A14,'[1]TAB OGU JUN18'!$A:$G,4,"falso")</f>
        <v>0.69</v>
      </c>
      <c r="K14" s="308">
        <f>H14*J14</f>
        <v>15.407699999999998</v>
      </c>
      <c r="L14" s="323">
        <f>VLOOKUP(A14,'[1]TAB OGU JUN18'!$A:$G,5,"falso")</f>
        <v>0.55000000000000004</v>
      </c>
      <c r="M14" s="374">
        <f>H14*L14</f>
        <v>12.281499999999999</v>
      </c>
      <c r="N14" s="374">
        <f>H14*I14</f>
        <v>27.689199999999996</v>
      </c>
      <c r="O14" s="217">
        <f>(N14*1)/$N$16</f>
        <v>1</v>
      </c>
    </row>
    <row r="15" spans="1:15" ht="12" customHeight="1" x14ac:dyDescent="0.2">
      <c r="H15" s="324"/>
      <c r="I15" s="313"/>
      <c r="J15" s="323"/>
      <c r="K15" s="313"/>
      <c r="L15" s="313"/>
      <c r="M15" s="313"/>
      <c r="N15" s="309"/>
      <c r="O15" s="217"/>
    </row>
    <row r="16" spans="1:15" ht="12" customHeight="1" x14ac:dyDescent="0.2">
      <c r="B16" s="130" t="s">
        <v>18</v>
      </c>
      <c r="C16" s="131"/>
      <c r="D16" s="131"/>
      <c r="E16" s="131"/>
      <c r="F16" s="131"/>
      <c r="G16" s="161"/>
      <c r="H16" s="325"/>
      <c r="I16" s="326"/>
      <c r="J16" s="323"/>
      <c r="K16" s="326"/>
      <c r="L16" s="326"/>
      <c r="M16" s="326"/>
      <c r="N16" s="374">
        <f>SUM(N14:N14)</f>
        <v>27.689199999999996</v>
      </c>
      <c r="O16" s="217">
        <f>N16/N23</f>
        <v>0.72514619883040943</v>
      </c>
    </row>
    <row r="17" spans="1:15" ht="12" customHeight="1" x14ac:dyDescent="0.2">
      <c r="B17" s="130"/>
      <c r="H17" s="324"/>
      <c r="I17" s="313"/>
      <c r="J17" s="323"/>
      <c r="K17" s="313"/>
      <c r="L17" s="313"/>
      <c r="M17" s="313"/>
      <c r="N17" s="374"/>
      <c r="O17" s="217"/>
    </row>
    <row r="18" spans="1:15" ht="12" customHeight="1" x14ac:dyDescent="0.2">
      <c r="A18" s="129" t="s">
        <v>779</v>
      </c>
      <c r="B18" s="88" t="s">
        <v>780</v>
      </c>
      <c r="G18" s="51"/>
      <c r="H18" s="704"/>
      <c r="J18" s="323"/>
      <c r="N18" s="303"/>
      <c r="O18" s="187"/>
    </row>
    <row r="19" spans="1:15" ht="12" customHeight="1" x14ac:dyDescent="0.2">
      <c r="A19" s="140" t="s">
        <v>789</v>
      </c>
      <c r="B19" s="142" t="s">
        <v>636</v>
      </c>
      <c r="C19" s="153"/>
      <c r="D19" s="153"/>
      <c r="E19" s="153"/>
      <c r="F19" s="153"/>
      <c r="G19" s="97" t="s">
        <v>31</v>
      </c>
      <c r="H19" s="308">
        <f>H14</f>
        <v>22.33</v>
      </c>
      <c r="I19" s="323">
        <f>VLOOKUP(A19,'[1]TAB OGU JUN18'!$A:$G,6,"falso")</f>
        <v>0.47</v>
      </c>
      <c r="J19" s="323">
        <f>VLOOKUP(A19,'[1]TAB OGU JUN18'!$A:$G,4,"falso")</f>
        <v>0.47</v>
      </c>
      <c r="K19" s="308">
        <f>H19*J19</f>
        <v>10.495099999999999</v>
      </c>
      <c r="L19" s="323">
        <f>VLOOKUP(A19,'[1]TAB OGU JUN18'!$A:$G,5,"falso")</f>
        <v>0</v>
      </c>
      <c r="M19" s="308"/>
      <c r="N19" s="308">
        <f>H19*I19</f>
        <v>10.495099999999999</v>
      </c>
      <c r="O19" s="185">
        <f>N19/N21</f>
        <v>1</v>
      </c>
    </row>
    <row r="20" spans="1:15" ht="12" customHeight="1" x14ac:dyDescent="0.2">
      <c r="G20" s="52"/>
      <c r="H20" s="324"/>
      <c r="I20" s="313"/>
      <c r="J20" s="323"/>
      <c r="K20" s="313"/>
      <c r="L20" s="313"/>
      <c r="M20" s="313"/>
      <c r="N20" s="309"/>
      <c r="O20" s="185"/>
    </row>
    <row r="21" spans="1:15" ht="12" customHeight="1" x14ac:dyDescent="0.2">
      <c r="B21" s="130" t="s">
        <v>18</v>
      </c>
      <c r="C21" s="131"/>
      <c r="D21" s="131"/>
      <c r="E21" s="131"/>
      <c r="F21" s="131"/>
      <c r="G21" s="53"/>
      <c r="H21" s="325"/>
      <c r="I21" s="326"/>
      <c r="J21" s="323"/>
      <c r="K21" s="326"/>
      <c r="L21" s="326"/>
      <c r="M21" s="326"/>
      <c r="N21" s="308">
        <f>SUM(N19:N19)</f>
        <v>10.495099999999999</v>
      </c>
      <c r="O21" s="185">
        <f>N21/N23</f>
        <v>0.27485380116959068</v>
      </c>
    </row>
    <row r="22" spans="1:15" ht="12" customHeight="1" x14ac:dyDescent="0.2">
      <c r="B22" s="130"/>
      <c r="G22" s="52"/>
      <c r="H22" s="324"/>
      <c r="I22" s="313"/>
      <c r="J22" s="323"/>
      <c r="K22" s="313"/>
      <c r="L22" s="313"/>
      <c r="M22" s="313"/>
      <c r="N22" s="308"/>
      <c r="O22" s="185"/>
    </row>
    <row r="23" spans="1:15" s="132" customFormat="1" ht="12" customHeight="1" x14ac:dyDescent="0.2">
      <c r="A23" s="157"/>
      <c r="B23" s="133" t="s">
        <v>20</v>
      </c>
      <c r="C23" s="134"/>
      <c r="D23" s="134"/>
      <c r="E23" s="134"/>
      <c r="F23" s="134"/>
      <c r="G23" s="168"/>
      <c r="H23" s="327"/>
      <c r="I23" s="328"/>
      <c r="J23" s="323"/>
      <c r="K23" s="328"/>
      <c r="L23" s="328"/>
      <c r="M23" s="328"/>
      <c r="N23" s="375">
        <f>N16+N21</f>
        <v>38.184299999999993</v>
      </c>
      <c r="O23" s="218">
        <f>N23/N166</f>
        <v>5.8455674664132143E-4</v>
      </c>
    </row>
    <row r="24" spans="1:15" ht="12" customHeight="1" x14ac:dyDescent="0.2">
      <c r="B24" s="130"/>
      <c r="H24" s="324"/>
      <c r="I24" s="313"/>
      <c r="J24" s="323"/>
      <c r="K24" s="313"/>
      <c r="L24" s="313"/>
      <c r="M24" s="313"/>
      <c r="N24" s="374"/>
      <c r="O24" s="217"/>
    </row>
    <row r="25" spans="1:15" ht="12" customHeight="1" x14ac:dyDescent="0.2">
      <c r="A25" s="129" t="s">
        <v>93</v>
      </c>
      <c r="B25" s="88" t="s">
        <v>96</v>
      </c>
      <c r="H25" s="324"/>
      <c r="I25" s="313"/>
      <c r="J25" s="323"/>
      <c r="K25" s="313"/>
      <c r="L25" s="313"/>
      <c r="M25" s="313"/>
      <c r="N25" s="313"/>
      <c r="O25" s="187"/>
    </row>
    <row r="26" spans="1:15" ht="12" customHeight="1" x14ac:dyDescent="0.2">
      <c r="A26" s="129" t="s">
        <v>291</v>
      </c>
      <c r="B26" s="200" t="s">
        <v>292</v>
      </c>
      <c r="H26" s="324"/>
      <c r="I26" s="313"/>
      <c r="J26" s="323"/>
      <c r="K26" s="313"/>
      <c r="L26" s="313"/>
      <c r="M26" s="313"/>
      <c r="N26" s="313"/>
      <c r="O26" s="187"/>
    </row>
    <row r="27" spans="1:15" ht="12" customHeight="1" x14ac:dyDescent="0.2">
      <c r="A27" s="129" t="s">
        <v>293</v>
      </c>
      <c r="B27" s="88" t="s">
        <v>541</v>
      </c>
      <c r="G27" s="97" t="s">
        <v>32</v>
      </c>
      <c r="H27" s="374">
        <f>(4.59+2.28+10.45+11.31)*0.3</f>
        <v>8.5890000000000004</v>
      </c>
      <c r="I27" s="323">
        <f>VLOOKUP(A27,'[1]TAB OGU JUN18'!$A:$G,6,"falso")</f>
        <v>31.26</v>
      </c>
      <c r="J27" s="323">
        <f>VLOOKUP(A27,'[1]TAB OGU JUN18'!$A:$G,4,"falso")</f>
        <v>31.26</v>
      </c>
      <c r="K27" s="308">
        <f>H27*J27</f>
        <v>268.49214000000001</v>
      </c>
      <c r="L27" s="323">
        <f>VLOOKUP(A27,'[1]TAB OGU JUN18'!$A:$G,5,"falso")</f>
        <v>0</v>
      </c>
      <c r="M27" s="374"/>
      <c r="N27" s="374">
        <f>H27*I27</f>
        <v>268.49214000000001</v>
      </c>
      <c r="O27" s="217">
        <f>N27/N30</f>
        <v>0.25336359215431997</v>
      </c>
    </row>
    <row r="28" spans="1:15" ht="12" customHeight="1" x14ac:dyDescent="0.2">
      <c r="A28" s="129" t="s">
        <v>294</v>
      </c>
      <c r="B28" s="88" t="s">
        <v>542</v>
      </c>
      <c r="G28" s="97" t="s">
        <v>32</v>
      </c>
      <c r="H28" s="374">
        <f>(4.59+2.28+10.45+11.31)*0.7</f>
        <v>20.041</v>
      </c>
      <c r="I28" s="323">
        <f>VLOOKUP(A28,'[1]TAB OGU JUN18'!$A:$G,6,"falso")</f>
        <v>39.479999999999997</v>
      </c>
      <c r="J28" s="323">
        <f>VLOOKUP(A28,'[1]TAB OGU JUN18'!$A:$G,4,"falso")</f>
        <v>39.479999999999997</v>
      </c>
      <c r="K28" s="308">
        <f>H28*J28</f>
        <v>791.21867999999995</v>
      </c>
      <c r="L28" s="323">
        <f>VLOOKUP(A28,'[1]TAB OGU JUN18'!$A:$G,5,"falso")</f>
        <v>0</v>
      </c>
      <c r="M28" s="374"/>
      <c r="N28" s="374">
        <f>H28*I28</f>
        <v>791.21867999999995</v>
      </c>
      <c r="O28" s="217">
        <f>N28/N30</f>
        <v>0.74663640784567997</v>
      </c>
    </row>
    <row r="29" spans="1:15" ht="12" customHeight="1" x14ac:dyDescent="0.2">
      <c r="H29" s="324"/>
      <c r="I29" s="313"/>
      <c r="J29" s="323"/>
      <c r="K29" s="313"/>
      <c r="L29" s="313"/>
      <c r="M29" s="313"/>
      <c r="N29" s="309"/>
      <c r="O29" s="217"/>
    </row>
    <row r="30" spans="1:15" ht="12" customHeight="1" x14ac:dyDescent="0.2">
      <c r="B30" s="130" t="s">
        <v>18</v>
      </c>
      <c r="C30" s="131"/>
      <c r="D30" s="131"/>
      <c r="E30" s="131"/>
      <c r="F30" s="131"/>
      <c r="G30" s="161"/>
      <c r="H30" s="325"/>
      <c r="I30" s="326"/>
      <c r="J30" s="323"/>
      <c r="K30" s="326"/>
      <c r="L30" s="326"/>
      <c r="M30" s="326"/>
      <c r="N30" s="374">
        <f>SUM(N27:N28)</f>
        <v>1059.71082</v>
      </c>
      <c r="O30" s="217">
        <f>N30/N52</f>
        <v>0.88414867188992941</v>
      </c>
    </row>
    <row r="31" spans="1:15" ht="12" customHeight="1" x14ac:dyDescent="0.2">
      <c r="B31" s="130"/>
      <c r="H31" s="324"/>
      <c r="I31" s="313"/>
      <c r="J31" s="323"/>
      <c r="K31" s="313"/>
      <c r="L31" s="313"/>
      <c r="M31" s="313"/>
      <c r="N31" s="374"/>
      <c r="O31" s="217"/>
    </row>
    <row r="32" spans="1:15" ht="12" customHeight="1" x14ac:dyDescent="0.2">
      <c r="A32" s="98" t="s">
        <v>101</v>
      </c>
      <c r="B32" s="88" t="s">
        <v>21</v>
      </c>
      <c r="G32" s="97"/>
      <c r="H32" s="374"/>
      <c r="I32" s="374"/>
      <c r="J32" s="323"/>
      <c r="K32" s="374"/>
      <c r="L32" s="374"/>
      <c r="M32" s="374"/>
      <c r="N32" s="374"/>
      <c r="O32" s="217"/>
    </row>
    <row r="33" spans="1:15" ht="12" customHeight="1" x14ac:dyDescent="0.2">
      <c r="A33" s="98" t="s">
        <v>102</v>
      </c>
      <c r="B33" s="88" t="s">
        <v>104</v>
      </c>
      <c r="G33" s="97" t="s">
        <v>32</v>
      </c>
      <c r="H33" s="308">
        <v>0</v>
      </c>
      <c r="I33" s="323">
        <f>VLOOKUP(A33,'[1]TAB OGU JUN18'!$A:$G,6,"falso")</f>
        <v>7.4</v>
      </c>
      <c r="J33" s="323">
        <f>VLOOKUP(A33,'[1]TAB OGU JUN18'!$A:$G,4,"falso")</f>
        <v>7.4</v>
      </c>
      <c r="K33" s="308">
        <f>H33*J33</f>
        <v>0</v>
      </c>
      <c r="L33" s="323">
        <f>VLOOKUP(A33,'[1]TAB OGU JUN18'!$A:$G,5,"falso")</f>
        <v>0</v>
      </c>
      <c r="M33" s="308"/>
      <c r="N33" s="308">
        <f>H33*I33</f>
        <v>0</v>
      </c>
      <c r="O33" s="185">
        <v>0</v>
      </c>
    </row>
    <row r="34" spans="1:15" ht="12" customHeight="1" x14ac:dyDescent="0.2">
      <c r="B34" s="130"/>
      <c r="H34" s="324"/>
      <c r="I34" s="313"/>
      <c r="J34" s="323"/>
      <c r="K34" s="313"/>
      <c r="L34" s="313"/>
      <c r="M34" s="313"/>
      <c r="N34" s="374"/>
      <c r="O34" s="217"/>
    </row>
    <row r="35" spans="1:15" ht="12" customHeight="1" x14ac:dyDescent="0.2">
      <c r="B35" s="130" t="s">
        <v>18</v>
      </c>
      <c r="C35" s="131"/>
      <c r="D35" s="131"/>
      <c r="E35" s="131"/>
      <c r="F35" s="131"/>
      <c r="G35" s="161"/>
      <c r="H35" s="325"/>
      <c r="I35" s="326"/>
      <c r="J35" s="323"/>
      <c r="K35" s="326"/>
      <c r="L35" s="326"/>
      <c r="M35" s="326"/>
      <c r="N35" s="374">
        <f>N33</f>
        <v>0</v>
      </c>
      <c r="O35" s="217">
        <f>N35/N52</f>
        <v>0</v>
      </c>
    </row>
    <row r="36" spans="1:15" ht="12" customHeight="1" x14ac:dyDescent="0.2">
      <c r="B36" s="130"/>
      <c r="H36" s="324"/>
      <c r="I36" s="313"/>
      <c r="J36" s="323"/>
      <c r="K36" s="313"/>
      <c r="L36" s="313"/>
      <c r="M36" s="313"/>
      <c r="N36" s="374"/>
      <c r="O36" s="217"/>
    </row>
    <row r="37" spans="1:15" ht="12" customHeight="1" x14ac:dyDescent="0.2">
      <c r="A37" s="98" t="s">
        <v>106</v>
      </c>
      <c r="B37" s="88" t="s">
        <v>109</v>
      </c>
      <c r="G37" s="97"/>
      <c r="H37" s="308"/>
      <c r="I37" s="308"/>
      <c r="J37" s="323"/>
      <c r="K37" s="308"/>
      <c r="L37" s="308"/>
      <c r="M37" s="308"/>
      <c r="N37" s="308"/>
      <c r="O37" s="185"/>
    </row>
    <row r="38" spans="1:15" ht="12" customHeight="1" x14ac:dyDescent="0.2">
      <c r="A38" s="98" t="s">
        <v>107</v>
      </c>
      <c r="B38" s="88" t="s">
        <v>104</v>
      </c>
      <c r="G38" s="97" t="s">
        <v>32</v>
      </c>
      <c r="H38" s="308">
        <f>H33</f>
        <v>0</v>
      </c>
      <c r="I38" s="323">
        <f>VLOOKUP(A38,'[1]TAB OGU JUN18'!$A:$G,6,"falso")</f>
        <v>20.56</v>
      </c>
      <c r="J38" s="323">
        <f>VLOOKUP(A38,'[1]TAB OGU JUN18'!$A:$G,4,"falso")</f>
        <v>20.56</v>
      </c>
      <c r="K38" s="308">
        <f>H38*J38</f>
        <v>0</v>
      </c>
      <c r="L38" s="323">
        <f>VLOOKUP(A38,'[1]TAB OGU JUN18'!$A:$G,5,"falso")</f>
        <v>0</v>
      </c>
      <c r="M38" s="308"/>
      <c r="N38" s="308">
        <f>H38*I38</f>
        <v>0</v>
      </c>
      <c r="O38" s="185">
        <v>0</v>
      </c>
    </row>
    <row r="39" spans="1:15" ht="12" customHeight="1" x14ac:dyDescent="0.2">
      <c r="B39" s="130"/>
      <c r="H39" s="324"/>
      <c r="I39" s="313"/>
      <c r="J39" s="323"/>
      <c r="K39" s="313"/>
      <c r="L39" s="313"/>
      <c r="M39" s="313"/>
      <c r="N39" s="374"/>
      <c r="O39" s="217"/>
    </row>
    <row r="40" spans="1:15" ht="12" customHeight="1" x14ac:dyDescent="0.2">
      <c r="B40" s="130" t="s">
        <v>18</v>
      </c>
      <c r="C40" s="131"/>
      <c r="D40" s="131"/>
      <c r="E40" s="131"/>
      <c r="F40" s="131"/>
      <c r="G40" s="161"/>
      <c r="H40" s="325"/>
      <c r="I40" s="326"/>
      <c r="J40" s="323"/>
      <c r="K40" s="326"/>
      <c r="L40" s="326"/>
      <c r="M40" s="326"/>
      <c r="N40" s="374">
        <f>N38</f>
        <v>0</v>
      </c>
      <c r="O40" s="217">
        <f>N40/N52</f>
        <v>0</v>
      </c>
    </row>
    <row r="41" spans="1:15" ht="12" customHeight="1" x14ac:dyDescent="0.2">
      <c r="B41" s="130"/>
      <c r="H41" s="324"/>
      <c r="I41" s="313"/>
      <c r="J41" s="323"/>
      <c r="K41" s="313"/>
      <c r="L41" s="313"/>
      <c r="M41" s="313"/>
      <c r="N41" s="374"/>
      <c r="O41" s="217"/>
    </row>
    <row r="42" spans="1:15" ht="12" customHeight="1" x14ac:dyDescent="0.2">
      <c r="A42" s="98" t="s">
        <v>110</v>
      </c>
      <c r="B42" s="88" t="s">
        <v>112</v>
      </c>
      <c r="H42" s="324"/>
      <c r="I42" s="313"/>
      <c r="J42" s="323"/>
      <c r="K42" s="313"/>
      <c r="L42" s="313"/>
      <c r="M42" s="313"/>
      <c r="N42" s="313"/>
      <c r="O42" s="187"/>
    </row>
    <row r="43" spans="1:15" ht="12" customHeight="1" x14ac:dyDescent="0.2">
      <c r="A43" s="98" t="s">
        <v>111</v>
      </c>
      <c r="B43" s="88" t="s">
        <v>113</v>
      </c>
      <c r="G43" s="97" t="s">
        <v>32</v>
      </c>
      <c r="H43" s="374">
        <f>ABS((H27+H28)-H33)</f>
        <v>28.630000000000003</v>
      </c>
      <c r="I43" s="323">
        <f>VLOOKUP(A43,'[1]TAB OGU JUN18'!$A:$G,6,"falso")</f>
        <v>1.85</v>
      </c>
      <c r="J43" s="323">
        <f>VLOOKUP(A43,'[1]TAB OGU JUN18'!$A:$G,4,"falso")</f>
        <v>1.85</v>
      </c>
      <c r="K43" s="308">
        <f>H43*J43</f>
        <v>52.965500000000006</v>
      </c>
      <c r="L43" s="323">
        <f>VLOOKUP(A43,'[1]TAB OGU JUN18'!$A:$G,5,"falso")</f>
        <v>0</v>
      </c>
      <c r="M43" s="374"/>
      <c r="N43" s="374">
        <f>H43*I43</f>
        <v>52.965500000000006</v>
      </c>
      <c r="O43" s="217">
        <f>N43/N45</f>
        <v>1</v>
      </c>
    </row>
    <row r="44" spans="1:15" ht="12" customHeight="1" x14ac:dyDescent="0.2">
      <c r="H44" s="324"/>
      <c r="I44" s="313"/>
      <c r="J44" s="323"/>
      <c r="K44" s="313"/>
      <c r="L44" s="313"/>
      <c r="M44" s="313"/>
      <c r="N44" s="313"/>
      <c r="O44" s="187"/>
    </row>
    <row r="45" spans="1:15" ht="12" customHeight="1" x14ac:dyDescent="0.2">
      <c r="B45" s="130" t="s">
        <v>18</v>
      </c>
      <c r="C45" s="131"/>
      <c r="D45" s="131"/>
      <c r="E45" s="131"/>
      <c r="F45" s="131"/>
      <c r="G45" s="161"/>
      <c r="H45" s="325"/>
      <c r="I45" s="326"/>
      <c r="J45" s="323"/>
      <c r="K45" s="326"/>
      <c r="L45" s="326"/>
      <c r="M45" s="326"/>
      <c r="N45" s="374">
        <f>N43</f>
        <v>52.965500000000006</v>
      </c>
      <c r="O45" s="217">
        <f>N45/N52</f>
        <v>4.419071278425378E-2</v>
      </c>
    </row>
    <row r="46" spans="1:15" ht="12" customHeight="1" x14ac:dyDescent="0.2">
      <c r="B46" s="130"/>
      <c r="H46" s="324"/>
      <c r="I46" s="313"/>
      <c r="J46" s="323"/>
      <c r="K46" s="313"/>
      <c r="L46" s="313"/>
      <c r="M46" s="313"/>
      <c r="N46" s="374"/>
      <c r="O46" s="217"/>
    </row>
    <row r="47" spans="1:15" ht="12" customHeight="1" x14ac:dyDescent="0.2">
      <c r="A47" s="98" t="s">
        <v>114</v>
      </c>
      <c r="B47" s="88" t="s">
        <v>737</v>
      </c>
      <c r="H47" s="324"/>
      <c r="I47" s="313"/>
      <c r="J47" s="323"/>
      <c r="K47" s="313"/>
      <c r="L47" s="313"/>
      <c r="M47" s="313"/>
      <c r="N47" s="313"/>
      <c r="O47" s="187"/>
    </row>
    <row r="48" spans="1:15" ht="12" customHeight="1" x14ac:dyDescent="0.2">
      <c r="A48" s="98" t="s">
        <v>115</v>
      </c>
      <c r="B48" s="88" t="s">
        <v>116</v>
      </c>
      <c r="G48" s="97" t="s">
        <v>180</v>
      </c>
      <c r="H48" s="374">
        <f>H43*3</f>
        <v>85.890000000000015</v>
      </c>
      <c r="I48" s="323">
        <f>VLOOKUP(A48,'[1]TAB OGU JUN18'!$A:$G,6,"falso")</f>
        <v>1</v>
      </c>
      <c r="J48" s="323">
        <f>VLOOKUP(A48,'[1]TAB OGU JUN18'!$A:$G,4,"falso")</f>
        <v>1</v>
      </c>
      <c r="K48" s="308">
        <f>H48*J48</f>
        <v>85.890000000000015</v>
      </c>
      <c r="L48" s="323">
        <f>VLOOKUP(A48,'[1]TAB OGU JUN18'!$A:$G,5,"falso")</f>
        <v>0</v>
      </c>
      <c r="M48" s="374"/>
      <c r="N48" s="374">
        <f>H48*I48</f>
        <v>85.890000000000015</v>
      </c>
      <c r="O48" s="217">
        <f>N48/N50</f>
        <v>1</v>
      </c>
    </row>
    <row r="49" spans="1:15" ht="12" customHeight="1" x14ac:dyDescent="0.2">
      <c r="H49" s="324"/>
      <c r="I49" s="313"/>
      <c r="J49" s="313"/>
      <c r="K49" s="313"/>
      <c r="L49" s="313"/>
      <c r="M49" s="313"/>
      <c r="N49" s="313"/>
      <c r="O49" s="187"/>
    </row>
    <row r="50" spans="1:15" ht="12" customHeight="1" x14ac:dyDescent="0.2">
      <c r="B50" s="130" t="s">
        <v>18</v>
      </c>
      <c r="C50" s="131"/>
      <c r="D50" s="131"/>
      <c r="E50" s="131"/>
      <c r="F50" s="131"/>
      <c r="G50" s="161"/>
      <c r="H50" s="325"/>
      <c r="I50" s="326"/>
      <c r="J50" s="326"/>
      <c r="K50" s="326"/>
      <c r="L50" s="326"/>
      <c r="M50" s="326"/>
      <c r="N50" s="374">
        <f>N48</f>
        <v>85.890000000000015</v>
      </c>
      <c r="O50" s="217">
        <f>N50/N52</f>
        <v>7.1660615325816954E-2</v>
      </c>
    </row>
    <row r="51" spans="1:15" ht="12" customHeight="1" x14ac:dyDescent="0.2">
      <c r="B51" s="130"/>
      <c r="H51" s="324"/>
      <c r="I51" s="313"/>
      <c r="J51" s="313"/>
      <c r="K51" s="313"/>
      <c r="L51" s="313"/>
      <c r="M51" s="313"/>
      <c r="N51" s="374"/>
      <c r="O51" s="217"/>
    </row>
    <row r="52" spans="1:15" s="132" customFormat="1" ht="12" customHeight="1" x14ac:dyDescent="0.2">
      <c r="A52" s="157"/>
      <c r="B52" s="133" t="s">
        <v>20</v>
      </c>
      <c r="C52" s="134"/>
      <c r="D52" s="134"/>
      <c r="E52" s="134"/>
      <c r="F52" s="134"/>
      <c r="G52" s="168"/>
      <c r="H52" s="327"/>
      <c r="I52" s="328"/>
      <c r="J52" s="328"/>
      <c r="K52" s="328"/>
      <c r="L52" s="328"/>
      <c r="M52" s="328"/>
      <c r="N52" s="375">
        <f>N50+N45+N40+N35+N30</f>
        <v>1198.5663199999999</v>
      </c>
      <c r="O52" s="218">
        <f>N52/N166</f>
        <v>1.8348641422078212E-2</v>
      </c>
    </row>
    <row r="53" spans="1:15" s="132" customFormat="1" ht="12" customHeight="1" x14ac:dyDescent="0.2">
      <c r="A53" s="157"/>
      <c r="B53" s="133"/>
      <c r="C53" s="487"/>
      <c r="D53" s="487"/>
      <c r="E53" s="487"/>
      <c r="F53" s="487"/>
      <c r="G53" s="736"/>
      <c r="H53" s="628"/>
      <c r="I53" s="629"/>
      <c r="J53" s="629"/>
      <c r="K53" s="629"/>
      <c r="L53" s="629"/>
      <c r="M53" s="629"/>
      <c r="N53" s="375"/>
      <c r="O53" s="218"/>
    </row>
    <row r="54" spans="1:15" ht="12" customHeight="1" x14ac:dyDescent="0.2">
      <c r="A54" s="129" t="s">
        <v>117</v>
      </c>
      <c r="B54" s="88" t="s">
        <v>22</v>
      </c>
      <c r="G54" s="51"/>
      <c r="H54" s="329"/>
      <c r="I54" s="323"/>
      <c r="J54" s="323"/>
      <c r="K54" s="311"/>
      <c r="L54" s="323"/>
      <c r="M54" s="311"/>
      <c r="N54" s="311"/>
      <c r="O54" s="723"/>
    </row>
    <row r="55" spans="1:15" ht="12" customHeight="1" x14ac:dyDescent="0.2">
      <c r="A55" s="129" t="s">
        <v>118</v>
      </c>
      <c r="B55" s="88" t="s">
        <v>23</v>
      </c>
      <c r="G55" s="51"/>
      <c r="H55" s="329"/>
      <c r="I55" s="323"/>
      <c r="J55" s="323"/>
      <c r="K55" s="311"/>
      <c r="L55" s="323"/>
      <c r="M55" s="311"/>
      <c r="N55" s="311"/>
      <c r="O55" s="723"/>
    </row>
    <row r="56" spans="1:15" ht="12" customHeight="1" x14ac:dyDescent="0.2">
      <c r="A56" s="129" t="s">
        <v>119</v>
      </c>
      <c r="B56" s="88" t="s">
        <v>120</v>
      </c>
      <c r="G56" s="97" t="s">
        <v>31</v>
      </c>
      <c r="H56" s="308">
        <v>34.64</v>
      </c>
      <c r="I56" s="323">
        <f>VLOOKUP(A56,'[1]TAB OGU JUN18'!$A:$G,6,"falso")</f>
        <v>14.81</v>
      </c>
      <c r="J56" s="323">
        <f>VLOOKUP(A56,'[1]TAB OGU JUN18'!$A:$G,4,"falso")</f>
        <v>13.63</v>
      </c>
      <c r="K56" s="308">
        <f>H56*J56</f>
        <v>472.14320000000004</v>
      </c>
      <c r="L56" s="323">
        <f>VLOOKUP(A56,'[1]TAB OGU JUN18'!$A:$G,5,"falso")</f>
        <v>1.18</v>
      </c>
      <c r="M56" s="308">
        <f>L56*H56</f>
        <v>40.8752</v>
      </c>
      <c r="N56" s="308">
        <f>H56*I56</f>
        <v>513.01840000000004</v>
      </c>
      <c r="O56" s="25">
        <f>N56/N59</f>
        <v>0.92437813025011728</v>
      </c>
    </row>
    <row r="57" spans="1:15" ht="12" customHeight="1" x14ac:dyDescent="0.2">
      <c r="A57" s="129" t="s">
        <v>224</v>
      </c>
      <c r="B57" s="88" t="s">
        <v>225</v>
      </c>
      <c r="G57" s="97" t="s">
        <v>31</v>
      </c>
      <c r="H57" s="308">
        <v>1.82</v>
      </c>
      <c r="I57" s="323">
        <f>VLOOKUP(A57,'[1]TAB OGU JUN18'!$A:$G,6,"falso")</f>
        <v>23.06</v>
      </c>
      <c r="J57" s="323">
        <f>VLOOKUP(A57,'[1]TAB OGU JUN18'!$A:$G,4,"falso")</f>
        <v>22.37</v>
      </c>
      <c r="K57" s="308">
        <f>H57*J57</f>
        <v>40.7134</v>
      </c>
      <c r="L57" s="323">
        <f>VLOOKUP(A57,'[1]TAB OGU JUN18'!$A:$G,5,"falso")</f>
        <v>0.69</v>
      </c>
      <c r="M57" s="308">
        <f>L57*H57</f>
        <v>1.2558</v>
      </c>
      <c r="N57" s="308">
        <f>H57*I57</f>
        <v>41.969200000000001</v>
      </c>
      <c r="O57" s="25">
        <f>N57/N59</f>
        <v>7.5621869749882692E-2</v>
      </c>
    </row>
    <row r="58" spans="1:15" ht="12" customHeight="1" x14ac:dyDescent="0.2">
      <c r="A58" s="51"/>
      <c r="B58" s="130"/>
      <c r="G58" s="52"/>
      <c r="H58" s="324"/>
      <c r="I58" s="323"/>
      <c r="J58" s="323"/>
      <c r="K58" s="313"/>
      <c r="L58" s="323"/>
      <c r="M58" s="313"/>
      <c r="N58" s="308"/>
      <c r="O58" s="25"/>
    </row>
    <row r="59" spans="1:15" ht="12" customHeight="1" x14ac:dyDescent="0.2">
      <c r="A59" s="51"/>
      <c r="B59" s="130" t="s">
        <v>18</v>
      </c>
      <c r="C59" s="131"/>
      <c r="D59" s="131"/>
      <c r="E59" s="131"/>
      <c r="F59" s="131"/>
      <c r="G59" s="53"/>
      <c r="H59" s="325"/>
      <c r="I59" s="582"/>
      <c r="J59" s="582"/>
      <c r="K59" s="326"/>
      <c r="L59" s="582"/>
      <c r="M59" s="326"/>
      <c r="N59" s="308">
        <f>N56+N57</f>
        <v>554.98760000000004</v>
      </c>
      <c r="O59" s="25">
        <f>N59/N61</f>
        <v>1</v>
      </c>
    </row>
    <row r="60" spans="1:15" ht="12" customHeight="1" x14ac:dyDescent="0.2">
      <c r="A60" s="51"/>
      <c r="B60" s="130"/>
      <c r="G60" s="52"/>
      <c r="H60" s="324"/>
      <c r="I60" s="323"/>
      <c r="J60" s="323"/>
      <c r="K60" s="313"/>
      <c r="L60" s="323"/>
      <c r="M60" s="313"/>
      <c r="N60" s="308"/>
      <c r="O60" s="25"/>
    </row>
    <row r="61" spans="1:15" s="132" customFormat="1" ht="12" customHeight="1" x14ac:dyDescent="0.2">
      <c r="B61" s="133" t="s">
        <v>20</v>
      </c>
      <c r="C61" s="134"/>
      <c r="D61" s="134"/>
      <c r="E61" s="134"/>
      <c r="F61" s="134"/>
      <c r="G61" s="78"/>
      <c r="H61" s="327"/>
      <c r="I61" s="582"/>
      <c r="J61" s="582"/>
      <c r="K61" s="328"/>
      <c r="L61" s="582"/>
      <c r="M61" s="328"/>
      <c r="N61" s="310">
        <f>N59</f>
        <v>554.98760000000004</v>
      </c>
      <c r="O61" s="77">
        <f>N61/N166</f>
        <v>8.4962077576981928E-3</v>
      </c>
    </row>
    <row r="62" spans="1:15" s="132" customFormat="1" ht="12" customHeight="1" x14ac:dyDescent="0.2">
      <c r="B62" s="133"/>
      <c r="C62" s="487"/>
      <c r="D62" s="487"/>
      <c r="E62" s="487"/>
      <c r="F62" s="487"/>
      <c r="G62" s="488"/>
      <c r="H62" s="628"/>
      <c r="I62" s="583"/>
      <c r="J62" s="583"/>
      <c r="K62" s="629"/>
      <c r="L62" s="583"/>
      <c r="M62" s="629"/>
      <c r="N62" s="310"/>
      <c r="O62" s="77"/>
    </row>
    <row r="63" spans="1:15" ht="12.75" customHeight="1" x14ac:dyDescent="0.2">
      <c r="A63" s="140" t="s">
        <v>308</v>
      </c>
      <c r="B63" s="834" t="s">
        <v>309</v>
      </c>
      <c r="C63" s="834"/>
      <c r="D63" s="834"/>
      <c r="E63" s="834"/>
      <c r="F63" s="834"/>
      <c r="G63" s="158"/>
      <c r="H63" s="672"/>
      <c r="I63" s="376"/>
      <c r="J63" s="376"/>
      <c r="K63" s="377"/>
      <c r="L63" s="313"/>
      <c r="M63" s="313"/>
      <c r="N63" s="313"/>
      <c r="O63" s="219"/>
    </row>
    <row r="64" spans="1:15" ht="11.25" customHeight="1" x14ac:dyDescent="0.2">
      <c r="A64" s="256" t="s">
        <v>310</v>
      </c>
      <c r="B64" s="834" t="s">
        <v>311</v>
      </c>
      <c r="C64" s="834"/>
      <c r="D64" s="834"/>
      <c r="E64" s="834"/>
      <c r="F64" s="834"/>
      <c r="G64" s="137"/>
      <c r="H64" s="652"/>
      <c r="I64" s="333"/>
      <c r="J64" s="313"/>
      <c r="K64" s="313"/>
      <c r="L64" s="313"/>
      <c r="M64" s="313"/>
      <c r="N64" s="333"/>
      <c r="O64" s="299"/>
    </row>
    <row r="65" spans="1:15" ht="12.75" x14ac:dyDescent="0.2">
      <c r="A65" s="140" t="s">
        <v>312</v>
      </c>
      <c r="B65" s="200" t="s">
        <v>313</v>
      </c>
      <c r="C65" s="200"/>
      <c r="D65" s="200"/>
      <c r="E65" s="200"/>
      <c r="F65" s="200"/>
      <c r="G65" s="163" t="s">
        <v>17</v>
      </c>
      <c r="H65" s="293">
        <f>H70*0.8</f>
        <v>7.2</v>
      </c>
      <c r="I65" s="323">
        <f>VLOOKUP(A65,'[1]TAB OGU JUN18'!$A:$G,6,"falso")</f>
        <v>51.95</v>
      </c>
      <c r="J65" s="323">
        <f>VLOOKUP(A65,'[1]TAB OGU JUN18'!$A:$G,4,"falso")</f>
        <v>51.95</v>
      </c>
      <c r="K65" s="308">
        <f>H65*J65</f>
        <v>374.04</v>
      </c>
      <c r="L65" s="323">
        <f>VLOOKUP(A65,'[1]TAB OGU JUN18'!$A:$G,5,"falso")</f>
        <v>0</v>
      </c>
      <c r="M65" s="374"/>
      <c r="N65" s="308">
        <f>H65*I65</f>
        <v>374.04</v>
      </c>
      <c r="O65" s="424">
        <f>N65/N67</f>
        <v>1</v>
      </c>
    </row>
    <row r="66" spans="1:15" ht="11.25" customHeight="1" x14ac:dyDescent="0.2">
      <c r="A66" s="256"/>
      <c r="B66" s="138"/>
      <c r="C66" s="138"/>
      <c r="D66" s="138"/>
      <c r="E66" s="138"/>
      <c r="F66" s="138"/>
      <c r="G66" s="139"/>
      <c r="H66" s="293"/>
      <c r="I66" s="189"/>
      <c r="J66" s="323"/>
      <c r="K66" s="308"/>
      <c r="L66" s="308"/>
      <c r="M66" s="308"/>
      <c r="N66" s="189"/>
      <c r="O66" s="300"/>
    </row>
    <row r="67" spans="1:15" ht="11.25" customHeight="1" x14ac:dyDescent="0.2">
      <c r="A67" s="291"/>
      <c r="B67" s="155" t="s">
        <v>18</v>
      </c>
      <c r="C67" s="160"/>
      <c r="D67" s="160"/>
      <c r="E67" s="160"/>
      <c r="F67" s="144"/>
      <c r="G67" s="161"/>
      <c r="H67" s="656"/>
      <c r="I67" s="334"/>
      <c r="J67" s="323"/>
      <c r="K67" s="334"/>
      <c r="L67" s="334"/>
      <c r="M67" s="334"/>
      <c r="N67" s="315">
        <f>SUM(N65:N66)</f>
        <v>374.04</v>
      </c>
      <c r="O67" s="301">
        <f>N67/N95</f>
        <v>6.8360763783064191E-3</v>
      </c>
    </row>
    <row r="68" spans="1:15" ht="11.25" customHeight="1" x14ac:dyDescent="0.2">
      <c r="A68" s="291"/>
      <c r="B68" s="138"/>
      <c r="C68" s="138"/>
      <c r="D68" s="138"/>
      <c r="E68" s="138"/>
      <c r="F68" s="138"/>
      <c r="G68" s="137"/>
      <c r="H68" s="652"/>
      <c r="I68" s="333"/>
      <c r="J68" s="323"/>
      <c r="K68" s="313"/>
      <c r="L68" s="313"/>
      <c r="M68" s="313"/>
      <c r="N68" s="189"/>
      <c r="O68" s="300"/>
    </row>
    <row r="69" spans="1:15" ht="11.25" customHeight="1" x14ac:dyDescent="0.2">
      <c r="A69" s="256" t="s">
        <v>626</v>
      </c>
      <c r="B69" s="142" t="s">
        <v>627</v>
      </c>
      <c r="C69" s="142"/>
      <c r="D69" s="142"/>
      <c r="E69" s="142"/>
      <c r="F69" s="142"/>
      <c r="G69" s="137"/>
      <c r="H69" s="652"/>
      <c r="I69" s="333"/>
      <c r="J69" s="323"/>
      <c r="K69" s="313"/>
      <c r="L69" s="313"/>
      <c r="M69" s="313"/>
      <c r="N69" s="333"/>
      <c r="O69" s="299"/>
    </row>
    <row r="70" spans="1:15" ht="11.25" customHeight="1" x14ac:dyDescent="0.2">
      <c r="A70" s="256" t="s">
        <v>628</v>
      </c>
      <c r="B70" s="200" t="s">
        <v>629</v>
      </c>
      <c r="C70" s="142"/>
      <c r="D70" s="142"/>
      <c r="E70" s="142"/>
      <c r="F70" s="142"/>
      <c r="G70" s="139" t="s">
        <v>24</v>
      </c>
      <c r="H70" s="293">
        <v>9</v>
      </c>
      <c r="I70" s="323">
        <f>VLOOKUP(A70,'[1]TAB OGU JUN18'!$A:$G,6,"falso")</f>
        <v>59.33</v>
      </c>
      <c r="J70" s="323">
        <f>VLOOKUP(A70,'[1]TAB OGU JUN18'!$A:$G,4,"falso")</f>
        <v>59.33</v>
      </c>
      <c r="K70" s="308">
        <f>H70*J70</f>
        <v>533.97</v>
      </c>
      <c r="L70" s="323">
        <f>VLOOKUP(A70,'[1]TAB OGU JUN18'!$A:$G,5,"falso")</f>
        <v>0</v>
      </c>
      <c r="M70" s="308"/>
      <c r="N70" s="315">
        <f>H70*I70</f>
        <v>533.97</v>
      </c>
      <c r="O70" s="192">
        <f>N70/N72</f>
        <v>1</v>
      </c>
    </row>
    <row r="71" spans="1:15" ht="11.25" customHeight="1" x14ac:dyDescent="0.2">
      <c r="A71" s="256"/>
      <c r="B71" s="138"/>
      <c r="C71" s="138"/>
      <c r="D71" s="138"/>
      <c r="E71" s="138"/>
      <c r="F71" s="138"/>
      <c r="G71" s="139"/>
      <c r="H71" s="293"/>
      <c r="I71" s="189"/>
      <c r="J71" s="323"/>
      <c r="K71" s="308"/>
      <c r="L71" s="308"/>
      <c r="M71" s="308"/>
      <c r="N71" s="189"/>
      <c r="O71" s="300"/>
    </row>
    <row r="72" spans="1:15" ht="11.25" customHeight="1" x14ac:dyDescent="0.2">
      <c r="A72" s="291"/>
      <c r="B72" s="155" t="s">
        <v>18</v>
      </c>
      <c r="C72" s="160"/>
      <c r="D72" s="160"/>
      <c r="E72" s="160"/>
      <c r="F72" s="144"/>
      <c r="G72" s="161"/>
      <c r="H72" s="656"/>
      <c r="I72" s="334"/>
      <c r="J72" s="323"/>
      <c r="K72" s="334"/>
      <c r="L72" s="334"/>
      <c r="M72" s="334"/>
      <c r="N72" s="315">
        <f>SUM(N70:N71)</f>
        <v>533.97</v>
      </c>
      <c r="O72" s="301">
        <f>N72/N95</f>
        <v>9.7590089394831523E-3</v>
      </c>
    </row>
    <row r="73" spans="1:15" ht="11.25" customHeight="1" x14ac:dyDescent="0.2">
      <c r="A73" s="291"/>
      <c r="B73" s="138"/>
      <c r="C73" s="138"/>
      <c r="D73" s="138"/>
      <c r="E73" s="138"/>
      <c r="F73" s="138"/>
      <c r="G73" s="137"/>
      <c r="H73" s="652"/>
      <c r="I73" s="333"/>
      <c r="J73" s="323"/>
      <c r="K73" s="313"/>
      <c r="L73" s="313"/>
      <c r="M73" s="313"/>
      <c r="N73" s="189"/>
      <c r="O73" s="300"/>
    </row>
    <row r="74" spans="1:15" ht="11.25" customHeight="1" x14ac:dyDescent="0.2">
      <c r="A74" s="256" t="s">
        <v>314</v>
      </c>
      <c r="B74" s="142" t="s">
        <v>315</v>
      </c>
      <c r="C74" s="142"/>
      <c r="D74" s="142"/>
      <c r="E74" s="142"/>
      <c r="F74" s="142"/>
      <c r="G74" s="137"/>
      <c r="H74" s="652"/>
      <c r="I74" s="333"/>
      <c r="J74" s="323"/>
      <c r="K74" s="313"/>
      <c r="L74" s="313"/>
      <c r="M74" s="313"/>
      <c r="N74" s="333"/>
      <c r="O74" s="299"/>
    </row>
    <row r="75" spans="1:15" ht="11.25" customHeight="1" x14ac:dyDescent="0.2">
      <c r="A75" s="256" t="s">
        <v>685</v>
      </c>
      <c r="B75" s="200" t="s">
        <v>640</v>
      </c>
      <c r="C75" s="142"/>
      <c r="D75" s="142"/>
      <c r="E75" s="142"/>
      <c r="F75" s="142"/>
      <c r="G75" s="139" t="s">
        <v>31</v>
      </c>
      <c r="H75" s="293">
        <f>1.75*172.23</f>
        <v>301.40249999999997</v>
      </c>
      <c r="I75" s="323">
        <f>VLOOKUP(A75,'[1]TAB OGU JUN18'!$A:$G,6,"falso")</f>
        <v>67.22</v>
      </c>
      <c r="J75" s="323">
        <f>VLOOKUP(A75,'[1]TAB OGU JUN18'!$A:$G,4,"falso")</f>
        <v>41.18</v>
      </c>
      <c r="K75" s="308">
        <f>H75*J75</f>
        <v>12411.754949999999</v>
      </c>
      <c r="L75" s="323">
        <f>VLOOKUP(A75,'[1]TAB OGU JUN18'!$A:$G,5,"falso")</f>
        <v>26.04</v>
      </c>
      <c r="M75" s="374">
        <f>H75*L75</f>
        <v>7848.521099999999</v>
      </c>
      <c r="N75" s="315">
        <f>H75*I75</f>
        <v>20260.276049999997</v>
      </c>
      <c r="O75" s="192">
        <f>N75/N77</f>
        <v>1</v>
      </c>
    </row>
    <row r="76" spans="1:15" ht="11.25" customHeight="1" x14ac:dyDescent="0.2">
      <c r="A76" s="256"/>
      <c r="B76" s="138"/>
      <c r="C76" s="138"/>
      <c r="D76" s="138"/>
      <c r="E76" s="138"/>
      <c r="F76" s="138"/>
      <c r="G76" s="139"/>
      <c r="H76" s="293"/>
      <c r="I76" s="189"/>
      <c r="J76" s="308"/>
      <c r="K76" s="308"/>
      <c r="L76" s="308"/>
      <c r="M76" s="308"/>
      <c r="N76" s="189"/>
      <c r="O76" s="300"/>
    </row>
    <row r="77" spans="1:15" ht="11.25" customHeight="1" x14ac:dyDescent="0.2">
      <c r="A77" s="291"/>
      <c r="B77" s="155" t="s">
        <v>18</v>
      </c>
      <c r="C77" s="160"/>
      <c r="D77" s="160"/>
      <c r="E77" s="160"/>
      <c r="F77" s="144"/>
      <c r="G77" s="161"/>
      <c r="H77" s="656"/>
      <c r="I77" s="334"/>
      <c r="J77" s="334"/>
      <c r="K77" s="334"/>
      <c r="L77" s="334"/>
      <c r="M77" s="334"/>
      <c r="N77" s="315">
        <f>SUM(N75:N76)</f>
        <v>20260.276049999997</v>
      </c>
      <c r="O77" s="301">
        <f>N77/N95</f>
        <v>0.3702833775087484</v>
      </c>
    </row>
    <row r="78" spans="1:15" ht="11.25" customHeight="1" x14ac:dyDescent="0.2">
      <c r="A78" s="291"/>
      <c r="B78" s="138"/>
      <c r="C78" s="138"/>
      <c r="D78" s="138"/>
      <c r="E78" s="138"/>
      <c r="F78" s="138"/>
      <c r="G78" s="137"/>
      <c r="H78" s="652"/>
      <c r="I78" s="333"/>
      <c r="J78" s="313"/>
      <c r="K78" s="313"/>
      <c r="L78" s="313"/>
      <c r="M78" s="313"/>
      <c r="N78" s="189"/>
      <c r="O78" s="300"/>
    </row>
    <row r="79" spans="1:15" ht="12" customHeight="1" x14ac:dyDescent="0.2">
      <c r="A79" s="140" t="s">
        <v>321</v>
      </c>
      <c r="B79" s="834" t="s">
        <v>322</v>
      </c>
      <c r="C79" s="834"/>
      <c r="D79" s="834"/>
      <c r="E79" s="834"/>
      <c r="F79" s="834"/>
      <c r="G79" s="158"/>
      <c r="H79" s="672"/>
      <c r="I79" s="376"/>
      <c r="J79" s="313"/>
      <c r="K79" s="313"/>
      <c r="L79" s="313"/>
      <c r="M79" s="313"/>
      <c r="N79" s="376"/>
      <c r="O79" s="220"/>
    </row>
    <row r="80" spans="1:15" ht="12" customHeight="1" x14ac:dyDescent="0.2">
      <c r="A80" s="140" t="s">
        <v>323</v>
      </c>
      <c r="B80" s="834" t="s">
        <v>324</v>
      </c>
      <c r="C80" s="834"/>
      <c r="D80" s="834"/>
      <c r="E80" s="834"/>
      <c r="F80" s="834"/>
      <c r="G80" s="163" t="s">
        <v>325</v>
      </c>
      <c r="H80" s="293">
        <f>H91*80*0.98</f>
        <v>3389.5742496888574</v>
      </c>
      <c r="I80" s="323">
        <f>VLOOKUP(A80,'[1]TAB OGU JUN18'!$A:$G,6,"falso")</f>
        <v>5.01</v>
      </c>
      <c r="J80" s="323">
        <f>VLOOKUP(A80,'[1]TAB OGU JUN18'!$A:$G,4,"falso")</f>
        <v>2.4500000000000002</v>
      </c>
      <c r="K80" s="308">
        <f>H80*J80</f>
        <v>8304.4569117377014</v>
      </c>
      <c r="L80" s="323">
        <f>VLOOKUP(A80,'[1]TAB OGU JUN18'!$A:$G,5,"falso")</f>
        <v>2.56</v>
      </c>
      <c r="M80" s="374">
        <f>H80*L80</f>
        <v>8677.3100792034747</v>
      </c>
      <c r="N80" s="374">
        <f>H80*I80</f>
        <v>16981.766990941174</v>
      </c>
      <c r="O80" s="297">
        <f>N80/N83</f>
        <v>0.96840236686390524</v>
      </c>
    </row>
    <row r="81" spans="1:15" ht="12" customHeight="1" x14ac:dyDescent="0.2">
      <c r="A81" s="140" t="s">
        <v>326</v>
      </c>
      <c r="B81" s="834" t="s">
        <v>327</v>
      </c>
      <c r="C81" s="834"/>
      <c r="D81" s="834"/>
      <c r="E81" s="834"/>
      <c r="F81" s="834"/>
      <c r="G81" s="163" t="s">
        <v>325</v>
      </c>
      <c r="H81" s="293">
        <f>H91*80*0.02</f>
        <v>69.174984687527711</v>
      </c>
      <c r="I81" s="323">
        <f>VLOOKUP(A81,'[1]TAB OGU JUN18'!$A:$G,6,"falso")</f>
        <v>8.01</v>
      </c>
      <c r="J81" s="323">
        <f>VLOOKUP(A81,'[1]TAB OGU JUN18'!$A:$G,4,"falso")</f>
        <v>3.68</v>
      </c>
      <c r="K81" s="308">
        <f>H81*J81</f>
        <v>254.56394365010198</v>
      </c>
      <c r="L81" s="323">
        <f>VLOOKUP(A81,'[1]TAB OGU JUN18'!$A:$G,5,"falso")</f>
        <v>4.33</v>
      </c>
      <c r="M81" s="374">
        <f>H81*L81</f>
        <v>299.52768369699498</v>
      </c>
      <c r="N81" s="374">
        <f>H81*I81</f>
        <v>554.09162734709696</v>
      </c>
      <c r="O81" s="297">
        <f>N81/N83</f>
        <v>3.1597633136094677E-2</v>
      </c>
    </row>
    <row r="82" spans="1:15" ht="12" customHeight="1" x14ac:dyDescent="0.2">
      <c r="A82" s="140"/>
      <c r="B82" s="138"/>
      <c r="C82" s="138"/>
      <c r="D82" s="138"/>
      <c r="E82" s="138"/>
      <c r="F82" s="138"/>
      <c r="G82" s="163"/>
      <c r="H82" s="221"/>
      <c r="I82" s="221"/>
      <c r="J82" s="313"/>
      <c r="K82" s="313"/>
      <c r="L82" s="313"/>
      <c r="M82" s="313"/>
      <c r="N82" s="221"/>
      <c r="O82" s="220"/>
    </row>
    <row r="83" spans="1:15" ht="12" customHeight="1" x14ac:dyDescent="0.2">
      <c r="A83" s="202"/>
      <c r="B83" s="142" t="s">
        <v>18</v>
      </c>
      <c r="C83" s="143"/>
      <c r="D83" s="143"/>
      <c r="E83" s="143"/>
      <c r="F83" s="143"/>
      <c r="G83" s="222"/>
      <c r="H83" s="675"/>
      <c r="I83" s="378"/>
      <c r="J83" s="378"/>
      <c r="K83" s="378"/>
      <c r="L83" s="378"/>
      <c r="M83" s="378"/>
      <c r="N83" s="221">
        <f>SUM(N80:N82)</f>
        <v>17535.858618288272</v>
      </c>
      <c r="O83" s="220">
        <f>N83/$N$95</f>
        <v>0.3204910407277336</v>
      </c>
    </row>
    <row r="84" spans="1:15" ht="12" customHeight="1" x14ac:dyDescent="0.2">
      <c r="A84" s="202"/>
      <c r="B84" s="142"/>
      <c r="C84" s="142"/>
      <c r="D84" s="142"/>
      <c r="E84" s="142"/>
      <c r="F84" s="142"/>
      <c r="G84" s="158"/>
      <c r="H84" s="672"/>
      <c r="I84" s="376"/>
      <c r="J84" s="376"/>
      <c r="K84" s="376"/>
      <c r="L84" s="376"/>
      <c r="M84" s="376"/>
      <c r="N84" s="221"/>
      <c r="O84" s="220"/>
    </row>
    <row r="85" spans="1:15" ht="12" customHeight="1" x14ac:dyDescent="0.2">
      <c r="A85" s="140" t="s">
        <v>328</v>
      </c>
      <c r="B85" s="142" t="s">
        <v>329</v>
      </c>
      <c r="C85" s="142"/>
      <c r="D85" s="142"/>
      <c r="E85" s="142"/>
      <c r="F85" s="142"/>
      <c r="G85" s="158"/>
      <c r="H85" s="672"/>
      <c r="I85" s="376"/>
      <c r="J85" s="313"/>
      <c r="K85" s="313"/>
      <c r="L85" s="313"/>
      <c r="M85" s="313"/>
      <c r="N85" s="376"/>
      <c r="O85" s="220"/>
    </row>
    <row r="86" spans="1:15" ht="12" customHeight="1" x14ac:dyDescent="0.2">
      <c r="A86" s="140" t="s">
        <v>330</v>
      </c>
      <c r="B86" s="142" t="s">
        <v>331</v>
      </c>
      <c r="C86" s="142"/>
      <c r="D86" s="142"/>
      <c r="E86" s="142"/>
      <c r="F86" s="142"/>
      <c r="G86" s="163" t="s">
        <v>32</v>
      </c>
      <c r="H86" s="189">
        <v>2.23</v>
      </c>
      <c r="I86" s="323">
        <f>VLOOKUP(A86,'[1]TAB OGU JUN18'!$A:$G,6,"falso")</f>
        <v>354.81</v>
      </c>
      <c r="J86" s="323">
        <f>VLOOKUP(A86,'[1]TAB OGU JUN18'!$A:$G,4,"falso")</f>
        <v>214.2</v>
      </c>
      <c r="K86" s="308">
        <f>H86*J86</f>
        <v>477.666</v>
      </c>
      <c r="L86" s="323">
        <f>VLOOKUP(A86,'[1]TAB OGU JUN18'!$A:$G,5,"falso")</f>
        <v>140.61000000000001</v>
      </c>
      <c r="M86" s="374">
        <f>H86*L86</f>
        <v>313.56030000000004</v>
      </c>
      <c r="N86" s="374">
        <f>H86*I86</f>
        <v>791.22630000000004</v>
      </c>
      <c r="O86" s="192">
        <f>N86/N88</f>
        <v>1</v>
      </c>
    </row>
    <row r="87" spans="1:15" ht="12" customHeight="1" x14ac:dyDescent="0.2">
      <c r="A87" s="140"/>
      <c r="B87" s="138"/>
      <c r="C87" s="138"/>
      <c r="D87" s="138"/>
      <c r="E87" s="138"/>
      <c r="F87" s="138"/>
      <c r="G87" s="163"/>
      <c r="H87" s="221"/>
      <c r="I87" s="221"/>
      <c r="J87" s="313"/>
      <c r="K87" s="313"/>
      <c r="L87" s="313"/>
      <c r="M87" s="313"/>
      <c r="N87" s="221"/>
      <c r="O87" s="220"/>
    </row>
    <row r="88" spans="1:15" ht="12" customHeight="1" x14ac:dyDescent="0.2">
      <c r="A88" s="202"/>
      <c r="B88" s="142" t="s">
        <v>18</v>
      </c>
      <c r="C88" s="143"/>
      <c r="D88" s="143"/>
      <c r="E88" s="143"/>
      <c r="F88" s="143"/>
      <c r="G88" s="222"/>
      <c r="H88" s="675"/>
      <c r="I88" s="378"/>
      <c r="J88" s="378"/>
      <c r="K88" s="378"/>
      <c r="L88" s="378"/>
      <c r="M88" s="378"/>
      <c r="N88" s="221">
        <f>SUM(N86:N87)</f>
        <v>791.22630000000004</v>
      </c>
      <c r="O88" s="220">
        <f>N88/$N$95</f>
        <v>1.446070853204146E-2</v>
      </c>
    </row>
    <row r="89" spans="1:15" ht="12" customHeight="1" x14ac:dyDescent="0.2">
      <c r="A89" s="202"/>
      <c r="B89" s="138"/>
      <c r="C89" s="138"/>
      <c r="D89" s="138"/>
      <c r="E89" s="138"/>
      <c r="F89" s="138"/>
      <c r="G89" s="158"/>
      <c r="H89" s="672"/>
      <c r="I89" s="376"/>
      <c r="J89" s="313"/>
      <c r="K89" s="313"/>
      <c r="L89" s="313"/>
      <c r="M89" s="313"/>
      <c r="N89" s="221"/>
      <c r="O89" s="220"/>
    </row>
    <row r="90" spans="1:15" ht="12" customHeight="1" x14ac:dyDescent="0.2">
      <c r="A90" s="140" t="s">
        <v>332</v>
      </c>
      <c r="B90" s="142" t="s">
        <v>333</v>
      </c>
      <c r="C90" s="142"/>
      <c r="D90" s="142"/>
      <c r="E90" s="142"/>
      <c r="F90" s="142"/>
      <c r="G90" s="158"/>
      <c r="H90" s="672"/>
      <c r="I90" s="376"/>
      <c r="J90" s="313"/>
      <c r="K90" s="313"/>
      <c r="L90" s="313"/>
      <c r="M90" s="313"/>
      <c r="N90" s="376"/>
      <c r="O90" s="220"/>
    </row>
    <row r="91" spans="1:15" ht="12" customHeight="1" x14ac:dyDescent="0.2">
      <c r="A91" s="140" t="s">
        <v>631</v>
      </c>
      <c r="B91" s="142" t="s">
        <v>630</v>
      </c>
      <c r="C91" s="142"/>
      <c r="D91" s="142"/>
      <c r="E91" s="142"/>
      <c r="F91" s="142"/>
      <c r="G91" s="163" t="s">
        <v>32</v>
      </c>
      <c r="H91" s="189">
        <f>(4.179+9.8125+2.41+6+((H65*PI()*(0.25^2)/4)))*1.9</f>
        <v>43.234365429704816</v>
      </c>
      <c r="I91" s="323">
        <f>VLOOKUP(A91,'[1]TAB OGU JUN18'!$A:$G,6,"falso")</f>
        <v>352.04</v>
      </c>
      <c r="J91" s="323">
        <f>VLOOKUP(A91,'[1]TAB OGU JUN18'!$A:$G,4,"falso")</f>
        <v>40.92</v>
      </c>
      <c r="K91" s="308">
        <f>H91*J91</f>
        <v>1769.1502333835213</v>
      </c>
      <c r="L91" s="323">
        <f>VLOOKUP(A91,'[1]TAB OGU JUN18'!$A:$G,5,"falso")</f>
        <v>311.12</v>
      </c>
      <c r="M91" s="374">
        <f>H91*L91</f>
        <v>13451.075772489763</v>
      </c>
      <c r="N91" s="374">
        <f>H91*I91</f>
        <v>15220.226005873285</v>
      </c>
      <c r="O91" s="192">
        <f>N91/N93</f>
        <v>1</v>
      </c>
    </row>
    <row r="92" spans="1:15" ht="12" customHeight="1" x14ac:dyDescent="0.2">
      <c r="A92" s="140"/>
      <c r="B92" s="138"/>
      <c r="C92" s="138"/>
      <c r="D92" s="138"/>
      <c r="E92" s="138"/>
      <c r="F92" s="138"/>
      <c r="G92" s="163"/>
      <c r="H92" s="221"/>
      <c r="I92" s="221"/>
      <c r="J92" s="313"/>
      <c r="K92" s="313"/>
      <c r="L92" s="313"/>
      <c r="M92" s="313"/>
      <c r="N92" s="221"/>
      <c r="O92" s="220"/>
    </row>
    <row r="93" spans="1:15" ht="12" customHeight="1" x14ac:dyDescent="0.2">
      <c r="A93" s="202"/>
      <c r="B93" s="142" t="s">
        <v>18</v>
      </c>
      <c r="C93" s="143"/>
      <c r="D93" s="143"/>
      <c r="E93" s="143"/>
      <c r="F93" s="143"/>
      <c r="G93" s="222"/>
      <c r="H93" s="675"/>
      <c r="I93" s="378"/>
      <c r="J93" s="378"/>
      <c r="K93" s="378"/>
      <c r="L93" s="378"/>
      <c r="M93" s="378"/>
      <c r="N93" s="221">
        <f>SUM(N91:N92)</f>
        <v>15220.226005873285</v>
      </c>
      <c r="O93" s="220">
        <f>N93/$N$95</f>
        <v>0.27816978791368679</v>
      </c>
    </row>
    <row r="94" spans="1:15" ht="12" customHeight="1" x14ac:dyDescent="0.2">
      <c r="A94" s="202"/>
      <c r="B94" s="138"/>
      <c r="C94" s="138"/>
      <c r="D94" s="138"/>
      <c r="E94" s="138"/>
      <c r="F94" s="138"/>
      <c r="G94" s="158"/>
      <c r="H94" s="672"/>
      <c r="I94" s="376"/>
      <c r="J94" s="313"/>
      <c r="K94" s="313"/>
      <c r="L94" s="313"/>
      <c r="M94" s="313"/>
      <c r="N94" s="221"/>
      <c r="O94" s="220"/>
    </row>
    <row r="95" spans="1:15" s="132" customFormat="1" ht="12" customHeight="1" x14ac:dyDescent="0.2">
      <c r="A95" s="203"/>
      <c r="B95" s="175" t="s">
        <v>20</v>
      </c>
      <c r="C95" s="176"/>
      <c r="D95" s="176"/>
      <c r="E95" s="176"/>
      <c r="F95" s="176"/>
      <c r="G95" s="223"/>
      <c r="H95" s="677"/>
      <c r="I95" s="379"/>
      <c r="J95" s="379"/>
      <c r="K95" s="379"/>
      <c r="L95" s="379"/>
      <c r="M95" s="379"/>
      <c r="N95" s="224">
        <f>N93+N83+N72+N67+N77+N88</f>
        <v>54715.596974161563</v>
      </c>
      <c r="O95" s="218">
        <f>N95/$N$166</f>
        <v>0.83763147046701447</v>
      </c>
    </row>
    <row r="96" spans="1:15" ht="12" hidden="1" customHeight="1" x14ac:dyDescent="0.2">
      <c r="A96" s="202"/>
      <c r="B96" s="138"/>
      <c r="C96" s="138"/>
      <c r="D96" s="138"/>
      <c r="E96" s="138"/>
      <c r="F96" s="138"/>
      <c r="G96" s="158"/>
      <c r="H96" s="672"/>
      <c r="I96" s="376"/>
      <c r="J96" s="221"/>
      <c r="K96" s="377"/>
      <c r="L96" s="313"/>
      <c r="M96" s="313"/>
      <c r="N96" s="313"/>
      <c r="O96" s="219"/>
    </row>
    <row r="97" spans="1:16" ht="12" hidden="1" customHeight="1" x14ac:dyDescent="0.2">
      <c r="A97" s="140">
        <v>12</v>
      </c>
      <c r="B97" s="834" t="s">
        <v>377</v>
      </c>
      <c r="C97" s="834"/>
      <c r="D97" s="834"/>
      <c r="E97" s="834"/>
      <c r="F97" s="834"/>
      <c r="G97" s="158"/>
      <c r="H97" s="672"/>
      <c r="I97" s="376"/>
      <c r="J97" s="313"/>
      <c r="K97" s="313"/>
      <c r="L97" s="313"/>
      <c r="M97" s="313"/>
      <c r="N97" s="376"/>
      <c r="O97" s="220"/>
    </row>
    <row r="98" spans="1:16" ht="12" hidden="1" customHeight="1" x14ac:dyDescent="0.2">
      <c r="A98" s="140">
        <v>1203</v>
      </c>
      <c r="B98" s="834" t="s">
        <v>386</v>
      </c>
      <c r="C98" s="834"/>
      <c r="D98" s="834"/>
      <c r="E98" s="834"/>
      <c r="F98" s="834"/>
      <c r="G98" s="158"/>
      <c r="H98" s="672"/>
      <c r="I98" s="376"/>
      <c r="J98" s="313"/>
      <c r="K98" s="313"/>
      <c r="L98" s="313"/>
      <c r="M98" s="313"/>
      <c r="N98" s="376"/>
      <c r="O98" s="220"/>
    </row>
    <row r="99" spans="1:16" ht="12" hidden="1" customHeight="1" x14ac:dyDescent="0.2">
      <c r="A99" s="140" t="s">
        <v>387</v>
      </c>
      <c r="B99" s="834" t="s">
        <v>388</v>
      </c>
      <c r="C99" s="834"/>
      <c r="D99" s="834"/>
      <c r="E99" s="834"/>
      <c r="F99" s="834"/>
      <c r="G99" s="97" t="s">
        <v>31</v>
      </c>
      <c r="H99" s="189">
        <v>0</v>
      </c>
      <c r="I99" s="323">
        <f>VLOOKUP(A99,'[1]TAB OGU JUN18'!$A:$G,6,"falso")</f>
        <v>3.38</v>
      </c>
      <c r="J99" s="323">
        <f>VLOOKUP(A99,'[1]TAB OGU JUN18'!$A:$G,4,"falso")</f>
        <v>2.74</v>
      </c>
      <c r="K99" s="308">
        <f>H99*J99</f>
        <v>0</v>
      </c>
      <c r="L99" s="323">
        <f>VLOOKUP(A99,'[1]TAB OGU JUN18'!$A:$G,5,"falso")</f>
        <v>0.64</v>
      </c>
      <c r="M99" s="374">
        <f>H99*L99</f>
        <v>0</v>
      </c>
      <c r="N99" s="189">
        <f>H99*I99</f>
        <v>0</v>
      </c>
      <c r="O99" s="297" t="e">
        <f>N99/$N$103</f>
        <v>#DIV/0!</v>
      </c>
    </row>
    <row r="100" spans="1:16" ht="12" hidden="1" customHeight="1" x14ac:dyDescent="0.2">
      <c r="A100" s="140" t="s">
        <v>729</v>
      </c>
      <c r="B100" s="200" t="s">
        <v>728</v>
      </c>
      <c r="C100" s="200"/>
      <c r="D100" s="200"/>
      <c r="E100" s="200"/>
      <c r="F100" s="200"/>
      <c r="G100" s="139" t="s">
        <v>31</v>
      </c>
      <c r="H100" s="189">
        <f>H99</f>
        <v>0</v>
      </c>
      <c r="I100" s="323">
        <f>VLOOKUP(A100,'[1]TAB OGU JUN18'!$A:$G,6,"falso")</f>
        <v>32.47</v>
      </c>
      <c r="J100" s="323">
        <f>VLOOKUP(A100,'[1]TAB OGU JUN18'!$A:$G,4,"falso")</f>
        <v>27.92</v>
      </c>
      <c r="K100" s="308">
        <f>H100*J100</f>
        <v>0</v>
      </c>
      <c r="L100" s="323">
        <f>VLOOKUP(A100,'[1]TAB OGU JUN18'!$A:$G,5,"falso")</f>
        <v>4.55</v>
      </c>
      <c r="M100" s="374">
        <f>H100*L100</f>
        <v>0</v>
      </c>
      <c r="N100" s="189">
        <f t="shared" ref="N100:N101" si="0">H100*I100</f>
        <v>0</v>
      </c>
      <c r="O100" s="297" t="e">
        <f t="shared" ref="O100:O101" si="1">N100/$N$103</f>
        <v>#DIV/0!</v>
      </c>
    </row>
    <row r="101" spans="1:16" ht="12" hidden="1" customHeight="1" x14ac:dyDescent="0.2">
      <c r="A101" s="140" t="s">
        <v>395</v>
      </c>
      <c r="B101" s="834" t="s">
        <v>396</v>
      </c>
      <c r="C101" s="834"/>
      <c r="D101" s="834"/>
      <c r="E101" s="834"/>
      <c r="F101" s="834"/>
      <c r="G101" s="97" t="s">
        <v>31</v>
      </c>
      <c r="H101" s="189">
        <f>H100</f>
        <v>0</v>
      </c>
      <c r="I101" s="323">
        <f>VLOOKUP(A101,'[1]TAB OGU JUN18'!$A:$G,6,"falso")</f>
        <v>21.53</v>
      </c>
      <c r="J101" s="323">
        <f>VLOOKUP(A101,'[1]TAB OGU JUN18'!$A:$G,4,"falso")</f>
        <v>20.82</v>
      </c>
      <c r="K101" s="308">
        <f>H101*J101</f>
        <v>0</v>
      </c>
      <c r="L101" s="323">
        <f>VLOOKUP(A101,'[1]TAB OGU JUN18'!$A:$G,5,"falso")</f>
        <v>0.71</v>
      </c>
      <c r="M101" s="374">
        <f>H101*L101</f>
        <v>0</v>
      </c>
      <c r="N101" s="189">
        <f t="shared" si="0"/>
        <v>0</v>
      </c>
      <c r="O101" s="297" t="e">
        <f t="shared" si="1"/>
        <v>#DIV/0!</v>
      </c>
    </row>
    <row r="102" spans="1:16" ht="12" hidden="1" customHeight="1" x14ac:dyDescent="0.2">
      <c r="A102" s="140"/>
      <c r="B102" s="138"/>
      <c r="C102" s="138"/>
      <c r="D102" s="138"/>
      <c r="E102" s="138"/>
      <c r="F102" s="138"/>
      <c r="G102" s="163"/>
      <c r="H102" s="221"/>
      <c r="I102" s="221"/>
      <c r="J102" s="313"/>
      <c r="K102" s="313"/>
      <c r="L102" s="313"/>
      <c r="M102" s="313"/>
      <c r="N102" s="221"/>
      <c r="O102" s="220"/>
    </row>
    <row r="103" spans="1:16" ht="12" hidden="1" customHeight="1" x14ac:dyDescent="0.2">
      <c r="A103" s="202"/>
      <c r="B103" s="142" t="s">
        <v>18</v>
      </c>
      <c r="C103" s="143"/>
      <c r="D103" s="143"/>
      <c r="E103" s="143"/>
      <c r="F103" s="143"/>
      <c r="G103" s="222"/>
      <c r="H103" s="675"/>
      <c r="I103" s="378"/>
      <c r="J103" s="378"/>
      <c r="K103" s="378"/>
      <c r="L103" s="378"/>
      <c r="M103" s="378"/>
      <c r="N103" s="221">
        <f>SUM(N99:N102)</f>
        <v>0</v>
      </c>
      <c r="O103" s="220">
        <f>N103/$N$111</f>
        <v>0</v>
      </c>
    </row>
    <row r="104" spans="1:16" ht="12" customHeight="1" x14ac:dyDescent="0.2">
      <c r="A104" s="202"/>
      <c r="B104" s="138"/>
      <c r="C104" s="138"/>
      <c r="D104" s="138"/>
      <c r="E104" s="138"/>
      <c r="F104" s="138"/>
      <c r="G104" s="158"/>
      <c r="H104" s="672"/>
      <c r="I104" s="376"/>
      <c r="J104" s="313"/>
      <c r="K104" s="313"/>
      <c r="L104" s="313"/>
      <c r="M104" s="313"/>
      <c r="N104" s="221"/>
      <c r="O104" s="220"/>
    </row>
    <row r="105" spans="1:16" ht="12" customHeight="1" x14ac:dyDescent="0.2">
      <c r="A105" s="140">
        <v>1206</v>
      </c>
      <c r="B105" s="834" t="s">
        <v>647</v>
      </c>
      <c r="C105" s="834"/>
      <c r="D105" s="834"/>
      <c r="E105" s="834"/>
      <c r="F105" s="834"/>
      <c r="G105" s="137"/>
      <c r="H105" s="641"/>
      <c r="I105" s="333"/>
      <c r="J105" s="313"/>
      <c r="K105" s="313"/>
      <c r="L105" s="313"/>
      <c r="M105" s="313"/>
      <c r="N105" s="333"/>
      <c r="O105" s="299"/>
    </row>
    <row r="106" spans="1:16" ht="12" customHeight="1" x14ac:dyDescent="0.2">
      <c r="A106" s="140" t="s">
        <v>405</v>
      </c>
      <c r="B106" s="142" t="s">
        <v>648</v>
      </c>
      <c r="C106" s="142"/>
      <c r="D106" s="142"/>
      <c r="E106" s="142"/>
      <c r="F106" s="142"/>
      <c r="G106" s="163" t="s">
        <v>31</v>
      </c>
      <c r="H106" s="293">
        <v>74.92</v>
      </c>
      <c r="I106" s="323">
        <f>VLOOKUP(A106,'[1]TAB OGU JUN18'!$A:$G,6,"falso")</f>
        <v>12.42</v>
      </c>
      <c r="J106" s="323">
        <f>VLOOKUP(A106,'[1]TAB OGU JUN18'!$A:$G,4,"falso")</f>
        <v>8.42</v>
      </c>
      <c r="K106" s="308">
        <f>H106*J106</f>
        <v>630.82640000000004</v>
      </c>
      <c r="L106" s="323">
        <f>VLOOKUP(A106,'[1]TAB OGU JUN18'!$A:$G,5,"falso")</f>
        <v>4</v>
      </c>
      <c r="M106" s="308">
        <f>H106*L106</f>
        <v>299.68</v>
      </c>
      <c r="N106" s="308">
        <f>H106*I106</f>
        <v>930.50639999999999</v>
      </c>
      <c r="O106" s="192">
        <f>N106/N109</f>
        <v>1</v>
      </c>
    </row>
    <row r="107" spans="1:16" ht="28.5" hidden="1" customHeight="1" x14ac:dyDescent="0.2">
      <c r="A107" s="140" t="s">
        <v>559</v>
      </c>
      <c r="B107" s="834" t="s">
        <v>560</v>
      </c>
      <c r="C107" s="834"/>
      <c r="D107" s="834"/>
      <c r="E107" s="834"/>
      <c r="F107" s="834"/>
      <c r="G107" s="163" t="s">
        <v>31</v>
      </c>
      <c r="H107" s="293">
        <v>0</v>
      </c>
      <c r="I107" s="323">
        <v>46.09</v>
      </c>
      <c r="J107" s="323">
        <v>5.54</v>
      </c>
      <c r="K107" s="308">
        <f>H107*J107</f>
        <v>0</v>
      </c>
      <c r="L107" s="323">
        <v>40.549999999999997</v>
      </c>
      <c r="M107" s="308">
        <f>H107*L107</f>
        <v>0</v>
      </c>
      <c r="N107" s="308">
        <f>H107*I107</f>
        <v>0</v>
      </c>
      <c r="O107" s="192">
        <f>N107/N109</f>
        <v>0</v>
      </c>
      <c r="P107" s="51" t="s">
        <v>634</v>
      </c>
    </row>
    <row r="108" spans="1:16" ht="12" customHeight="1" x14ac:dyDescent="0.2">
      <c r="A108" s="204"/>
      <c r="B108" s="254"/>
      <c r="C108" s="254"/>
      <c r="D108" s="254"/>
      <c r="E108" s="254"/>
      <c r="F108" s="254"/>
      <c r="G108" s="164"/>
      <c r="H108" s="293"/>
      <c r="I108" s="293"/>
      <c r="J108" s="313"/>
      <c r="K108" s="313"/>
      <c r="L108" s="313"/>
      <c r="M108" s="313"/>
      <c r="N108" s="293"/>
      <c r="O108" s="320"/>
    </row>
    <row r="109" spans="1:16" ht="12" customHeight="1" x14ac:dyDescent="0.2">
      <c r="A109" s="202"/>
      <c r="B109" s="155" t="s">
        <v>18</v>
      </c>
      <c r="C109" s="160"/>
      <c r="D109" s="160"/>
      <c r="E109" s="160"/>
      <c r="F109" s="144"/>
      <c r="G109" s="161"/>
      <c r="H109" s="656"/>
      <c r="I109" s="334"/>
      <c r="J109" s="334"/>
      <c r="K109" s="334"/>
      <c r="L109" s="334"/>
      <c r="M109" s="334"/>
      <c r="N109" s="315">
        <f>SUM(N106:N108)</f>
        <v>930.50639999999999</v>
      </c>
      <c r="O109" s="301">
        <f>N109/N111</f>
        <v>1</v>
      </c>
    </row>
    <row r="110" spans="1:16" ht="12" customHeight="1" x14ac:dyDescent="0.2">
      <c r="A110" s="202"/>
      <c r="B110" s="834"/>
      <c r="C110" s="834"/>
      <c r="D110" s="834"/>
      <c r="E110" s="834"/>
      <c r="F110" s="834"/>
      <c r="G110" s="137"/>
      <c r="H110" s="641"/>
      <c r="I110" s="333"/>
      <c r="J110" s="313"/>
      <c r="K110" s="313"/>
      <c r="L110" s="313"/>
      <c r="M110" s="313"/>
      <c r="N110" s="189"/>
      <c r="O110" s="300"/>
    </row>
    <row r="111" spans="1:16" s="132" customFormat="1" ht="12" customHeight="1" x14ac:dyDescent="0.2">
      <c r="A111" s="203"/>
      <c r="B111" s="175" t="s">
        <v>20</v>
      </c>
      <c r="C111" s="176"/>
      <c r="D111" s="176"/>
      <c r="E111" s="176"/>
      <c r="F111" s="176"/>
      <c r="G111" s="223"/>
      <c r="H111" s="677"/>
      <c r="I111" s="379"/>
      <c r="J111" s="379"/>
      <c r="K111" s="379"/>
      <c r="L111" s="379"/>
      <c r="M111" s="379"/>
      <c r="N111" s="224">
        <f>N109</f>
        <v>930.50639999999999</v>
      </c>
      <c r="O111" s="218">
        <f>N111/$N$166</f>
        <v>1.4244959156326767E-2</v>
      </c>
    </row>
    <row r="112" spans="1:16" ht="12" customHeight="1" x14ac:dyDescent="0.2">
      <c r="A112" s="202"/>
      <c r="B112" s="138"/>
      <c r="C112" s="138"/>
      <c r="D112" s="138"/>
      <c r="E112" s="138"/>
      <c r="F112" s="138"/>
      <c r="G112" s="158"/>
      <c r="H112" s="672"/>
      <c r="I112" s="376"/>
      <c r="J112" s="313"/>
      <c r="K112" s="313"/>
      <c r="L112" s="313"/>
      <c r="M112" s="313"/>
      <c r="N112" s="221"/>
      <c r="O112" s="220"/>
    </row>
    <row r="113" spans="1:15" ht="12" customHeight="1" x14ac:dyDescent="0.2">
      <c r="A113" s="140">
        <v>14</v>
      </c>
      <c r="B113" s="834" t="s">
        <v>427</v>
      </c>
      <c r="C113" s="834"/>
      <c r="D113" s="834"/>
      <c r="E113" s="834"/>
      <c r="F113" s="834"/>
      <c r="G113" s="158"/>
      <c r="H113" s="672"/>
      <c r="I113" s="376"/>
      <c r="J113" s="313"/>
      <c r="K113" s="313"/>
      <c r="L113" s="313"/>
      <c r="M113" s="313"/>
      <c r="N113" s="376"/>
      <c r="O113" s="220"/>
    </row>
    <row r="114" spans="1:15" ht="12" customHeight="1" x14ac:dyDescent="0.2">
      <c r="A114" s="140" t="s">
        <v>979</v>
      </c>
      <c r="B114" s="834" t="s">
        <v>440</v>
      </c>
      <c r="C114" s="834"/>
      <c r="D114" s="834"/>
      <c r="E114" s="834"/>
      <c r="F114" s="834"/>
      <c r="G114" s="162"/>
      <c r="H114" s="641"/>
      <c r="I114" s="333"/>
      <c r="J114" s="313"/>
      <c r="K114" s="313"/>
      <c r="L114" s="313"/>
      <c r="M114" s="313"/>
      <c r="N114" s="333"/>
      <c r="O114" s="299"/>
    </row>
    <row r="115" spans="1:15" ht="12" hidden="1" customHeight="1" x14ac:dyDescent="0.2">
      <c r="A115" s="140" t="s">
        <v>436</v>
      </c>
      <c r="B115" s="834" t="s">
        <v>320</v>
      </c>
      <c r="C115" s="834"/>
      <c r="D115" s="834"/>
      <c r="E115" s="834"/>
      <c r="F115" s="834"/>
      <c r="G115" s="139" t="s">
        <v>24</v>
      </c>
      <c r="H115" s="189">
        <v>0</v>
      </c>
      <c r="I115" s="323">
        <f>VLOOKUP(A115,'[1]TAB OGU JUN18'!$A:$G,6,"falso")</f>
        <v>215.36</v>
      </c>
      <c r="J115" s="323">
        <f>VLOOKUP(A115,'[1]TAB OGU JUN18'!$A:$G,4,"falso")</f>
        <v>215.36</v>
      </c>
      <c r="K115" s="308">
        <f>H115*J115</f>
        <v>0</v>
      </c>
      <c r="L115" s="323">
        <f>VLOOKUP(A115,'[1]TAB OGU JUN18'!$A:$G,5,"falso")</f>
        <v>0</v>
      </c>
      <c r="M115" s="308"/>
      <c r="N115" s="315">
        <f>H115*I115</f>
        <v>0</v>
      </c>
      <c r="O115" s="192">
        <f>N115/N118</f>
        <v>0</v>
      </c>
    </row>
    <row r="116" spans="1:15" ht="12" customHeight="1" x14ac:dyDescent="0.2">
      <c r="A116" s="140" t="s">
        <v>441</v>
      </c>
      <c r="B116" s="834" t="s">
        <v>442</v>
      </c>
      <c r="C116" s="834"/>
      <c r="D116" s="834"/>
      <c r="E116" s="834"/>
      <c r="F116" s="834"/>
      <c r="G116" s="139" t="s">
        <v>24</v>
      </c>
      <c r="H116" s="189">
        <v>3</v>
      </c>
      <c r="I116" s="323">
        <f>VLOOKUP(A116,'[1]TAB OGU JUN18'!$A:$G,6,"falso")</f>
        <v>793.62</v>
      </c>
      <c r="J116" s="323">
        <f>VLOOKUP(A116,'[1]TAB OGU JUN18'!$A:$G,4,"falso")</f>
        <v>793.62</v>
      </c>
      <c r="K116" s="308">
        <f>H116*J116</f>
        <v>2380.86</v>
      </c>
      <c r="L116" s="323">
        <f>VLOOKUP(A116,'[1]TAB OGU JUN18'!$A:$G,5,"falso")</f>
        <v>0</v>
      </c>
      <c r="M116" s="308"/>
      <c r="N116" s="315">
        <f>H116*I116</f>
        <v>2380.86</v>
      </c>
      <c r="O116" s="192">
        <f>N116/N118</f>
        <v>1</v>
      </c>
    </row>
    <row r="117" spans="1:15" ht="12" customHeight="1" x14ac:dyDescent="0.2">
      <c r="A117" s="140"/>
      <c r="B117" s="138"/>
      <c r="C117" s="138"/>
      <c r="D117" s="138"/>
      <c r="E117" s="138"/>
      <c r="F117" s="138"/>
      <c r="G117" s="139"/>
      <c r="H117" s="189"/>
      <c r="I117" s="189"/>
      <c r="J117" s="313"/>
      <c r="K117" s="313"/>
      <c r="L117" s="313"/>
      <c r="M117" s="313"/>
      <c r="N117" s="189"/>
      <c r="O117" s="302"/>
    </row>
    <row r="118" spans="1:15" ht="12" customHeight="1" x14ac:dyDescent="0.2">
      <c r="A118" s="202"/>
      <c r="B118" s="155" t="s">
        <v>18</v>
      </c>
      <c r="C118" s="160"/>
      <c r="D118" s="160"/>
      <c r="E118" s="160"/>
      <c r="F118" s="144"/>
      <c r="G118" s="161"/>
      <c r="H118" s="656"/>
      <c r="I118" s="334"/>
      <c r="J118" s="334"/>
      <c r="K118" s="334"/>
      <c r="L118" s="334"/>
      <c r="M118" s="334"/>
      <c r="N118" s="315">
        <f>SUM(N114:N116)</f>
        <v>2380.86</v>
      </c>
      <c r="O118" s="301">
        <f>N118/N130</f>
        <v>1</v>
      </c>
    </row>
    <row r="119" spans="1:15" ht="12" hidden="1" customHeight="1" x14ac:dyDescent="0.2">
      <c r="B119" s="130"/>
      <c r="G119" s="52"/>
      <c r="H119" s="324"/>
      <c r="I119" s="324"/>
      <c r="J119" s="313"/>
      <c r="K119" s="313"/>
      <c r="L119" s="313"/>
      <c r="M119" s="313"/>
      <c r="N119" s="313"/>
      <c r="O119" s="185"/>
    </row>
    <row r="120" spans="1:15" ht="12" hidden="1" customHeight="1" x14ac:dyDescent="0.2">
      <c r="A120" s="140">
        <v>1411</v>
      </c>
      <c r="B120" s="834" t="s">
        <v>440</v>
      </c>
      <c r="C120" s="834"/>
      <c r="D120" s="834"/>
      <c r="E120" s="834"/>
      <c r="F120" s="834"/>
      <c r="G120" s="158"/>
      <c r="H120" s="672"/>
      <c r="I120" s="376"/>
      <c r="J120" s="313"/>
      <c r="K120" s="313"/>
      <c r="L120" s="313"/>
      <c r="M120" s="313"/>
      <c r="N120" s="376"/>
      <c r="O120" s="220"/>
    </row>
    <row r="121" spans="1:15" ht="12" hidden="1" customHeight="1" x14ac:dyDescent="0.2">
      <c r="A121" s="140" t="s">
        <v>441</v>
      </c>
      <c r="B121" s="834" t="s">
        <v>442</v>
      </c>
      <c r="C121" s="834"/>
      <c r="D121" s="834"/>
      <c r="E121" s="834"/>
      <c r="F121" s="834"/>
      <c r="G121" s="163" t="s">
        <v>24</v>
      </c>
      <c r="H121" s="189">
        <v>0</v>
      </c>
      <c r="I121" s="323">
        <f>VLOOKUP(A121,'[1]TAB OGU JUN18'!$A:$G,6,"falso")</f>
        <v>793.62</v>
      </c>
      <c r="J121" s="323">
        <f>VLOOKUP(A121,'[1]TAB OGU JUN18'!$A:$G,4,"falso")</f>
        <v>793.62</v>
      </c>
      <c r="K121" s="308">
        <f>H121*J121</f>
        <v>0</v>
      </c>
      <c r="L121" s="323">
        <f>VLOOKUP(A121,'[1]TAB OGU JUN18'!$A:$G,5,"falso")</f>
        <v>0</v>
      </c>
      <c r="M121" s="308"/>
      <c r="N121" s="315">
        <f>H121*I121</f>
        <v>0</v>
      </c>
      <c r="O121" s="192" t="e">
        <f>N121/N123</f>
        <v>#DIV/0!</v>
      </c>
    </row>
    <row r="122" spans="1:15" ht="12" hidden="1" customHeight="1" x14ac:dyDescent="0.2">
      <c r="A122" s="140"/>
      <c r="B122" s="138"/>
      <c r="C122" s="138"/>
      <c r="D122" s="138"/>
      <c r="E122" s="138"/>
      <c r="F122" s="138"/>
      <c r="G122" s="163"/>
      <c r="H122" s="221"/>
      <c r="I122" s="221"/>
      <c r="J122" s="313"/>
      <c r="K122" s="313"/>
      <c r="L122" s="313"/>
      <c r="M122" s="313"/>
      <c r="N122" s="221"/>
      <c r="O122" s="220"/>
    </row>
    <row r="123" spans="1:15" s="150" customFormat="1" ht="12" hidden="1" customHeight="1" x14ac:dyDescent="0.2">
      <c r="A123" s="202"/>
      <c r="B123" s="142" t="s">
        <v>18</v>
      </c>
      <c r="C123" s="143"/>
      <c r="D123" s="143"/>
      <c r="E123" s="143"/>
      <c r="F123" s="143"/>
      <c r="G123" s="222"/>
      <c r="H123" s="675"/>
      <c r="I123" s="378"/>
      <c r="J123" s="378"/>
      <c r="K123" s="378"/>
      <c r="L123" s="378"/>
      <c r="M123" s="378"/>
      <c r="N123" s="221">
        <f>SUM(N121:N122)</f>
        <v>0</v>
      </c>
      <c r="O123" s="220">
        <f>N123/$N$130</f>
        <v>0</v>
      </c>
    </row>
    <row r="124" spans="1:15" ht="12" hidden="1" customHeight="1" x14ac:dyDescent="0.2">
      <c r="A124" s="202"/>
      <c r="B124" s="138"/>
      <c r="C124" s="138"/>
      <c r="D124" s="138"/>
      <c r="E124" s="138"/>
      <c r="F124" s="138"/>
      <c r="G124" s="158"/>
      <c r="H124" s="672"/>
      <c r="I124" s="376"/>
      <c r="J124" s="313"/>
      <c r="K124" s="313"/>
      <c r="L124" s="313"/>
      <c r="M124" s="313"/>
      <c r="N124" s="221"/>
      <c r="O124" s="220"/>
    </row>
    <row r="125" spans="1:15" ht="12" hidden="1" customHeight="1" x14ac:dyDescent="0.2">
      <c r="A125" s="140">
        <v>1418</v>
      </c>
      <c r="B125" s="834" t="s">
        <v>443</v>
      </c>
      <c r="C125" s="834"/>
      <c r="D125" s="834"/>
      <c r="E125" s="834"/>
      <c r="F125" s="834"/>
      <c r="G125" s="158"/>
      <c r="H125" s="672"/>
      <c r="I125" s="376"/>
      <c r="J125" s="313"/>
      <c r="K125" s="313"/>
      <c r="L125" s="313"/>
      <c r="M125" s="313"/>
      <c r="N125" s="376"/>
      <c r="O125" s="220"/>
    </row>
    <row r="126" spans="1:15" ht="12" hidden="1" customHeight="1" x14ac:dyDescent="0.2">
      <c r="A126" s="140" t="s">
        <v>731</v>
      </c>
      <c r="B126" s="142" t="s">
        <v>730</v>
      </c>
      <c r="C126" s="142"/>
      <c r="D126" s="142"/>
      <c r="E126" s="142"/>
      <c r="F126" s="142"/>
      <c r="G126" s="163" t="s">
        <v>17</v>
      </c>
      <c r="H126" s="189">
        <v>0</v>
      </c>
      <c r="I126" s="323">
        <f>VLOOKUP(A126,'[1]TAB OGU JUN18'!$A:$G,6,"falso")</f>
        <v>121.13</v>
      </c>
      <c r="J126" s="323">
        <f>VLOOKUP(A126,'[1]TAB OGU JUN18'!$A:$G,4,"falso")</f>
        <v>43.06</v>
      </c>
      <c r="K126" s="308">
        <f>H126*J126</f>
        <v>0</v>
      </c>
      <c r="L126" s="323">
        <f>VLOOKUP(A126,'[1]TAB OGU JUN18'!$A:$G,5,"falso")</f>
        <v>78.069999999999993</v>
      </c>
      <c r="M126" s="308">
        <f>H126*L126</f>
        <v>0</v>
      </c>
      <c r="N126" s="315">
        <f>H126*I126</f>
        <v>0</v>
      </c>
      <c r="O126" s="192" t="e">
        <f>N126/N128</f>
        <v>#DIV/0!</v>
      </c>
    </row>
    <row r="127" spans="1:15" ht="12" hidden="1" customHeight="1" x14ac:dyDescent="0.2">
      <c r="A127" s="140"/>
      <c r="B127" s="138"/>
      <c r="C127" s="138"/>
      <c r="D127" s="138"/>
      <c r="E127" s="138"/>
      <c r="F127" s="138"/>
      <c r="G127" s="163"/>
      <c r="H127" s="221"/>
      <c r="I127" s="221"/>
      <c r="J127" s="313"/>
      <c r="K127" s="313"/>
      <c r="L127" s="313"/>
      <c r="M127" s="313"/>
      <c r="N127" s="221"/>
      <c r="O127" s="220"/>
    </row>
    <row r="128" spans="1:15" s="150" customFormat="1" ht="12" hidden="1" customHeight="1" x14ac:dyDescent="0.2">
      <c r="A128" s="202"/>
      <c r="B128" s="142" t="s">
        <v>18</v>
      </c>
      <c r="C128" s="143"/>
      <c r="D128" s="143"/>
      <c r="E128" s="143"/>
      <c r="F128" s="143"/>
      <c r="G128" s="222"/>
      <c r="H128" s="675"/>
      <c r="I128" s="378"/>
      <c r="J128" s="378"/>
      <c r="K128" s="378"/>
      <c r="L128" s="378"/>
      <c r="M128" s="378"/>
      <c r="N128" s="221">
        <f>SUM(N126:N127)</f>
        <v>0</v>
      </c>
      <c r="O128" s="220">
        <f>N128/$N$130</f>
        <v>0</v>
      </c>
    </row>
    <row r="129" spans="1:15" ht="12" customHeight="1" x14ac:dyDescent="0.2">
      <c r="A129" s="202"/>
      <c r="B129" s="138"/>
      <c r="C129" s="138"/>
      <c r="D129" s="138"/>
      <c r="E129" s="138"/>
      <c r="F129" s="138"/>
      <c r="G129" s="158"/>
      <c r="H129" s="672"/>
      <c r="I129" s="376"/>
      <c r="J129" s="313"/>
      <c r="K129" s="313"/>
      <c r="L129" s="313"/>
      <c r="M129" s="313"/>
      <c r="N129" s="221"/>
      <c r="O129" s="220"/>
    </row>
    <row r="130" spans="1:15" s="132" customFormat="1" ht="12" customHeight="1" x14ac:dyDescent="0.2">
      <c r="A130" s="203"/>
      <c r="B130" s="175" t="s">
        <v>20</v>
      </c>
      <c r="C130" s="176"/>
      <c r="D130" s="176"/>
      <c r="E130" s="176"/>
      <c r="F130" s="176"/>
      <c r="G130" s="223"/>
      <c r="H130" s="677"/>
      <c r="I130" s="379"/>
      <c r="J130" s="379"/>
      <c r="K130" s="379"/>
      <c r="L130" s="379"/>
      <c r="M130" s="379"/>
      <c r="N130" s="224">
        <f>N123+N118+N128</f>
        <v>2380.86</v>
      </c>
      <c r="O130" s="218">
        <f>N130/$N$166</f>
        <v>3.6448167854549039E-2</v>
      </c>
    </row>
    <row r="131" spans="1:15" ht="12" customHeight="1" x14ac:dyDescent="0.2">
      <c r="A131" s="202"/>
      <c r="B131" s="138"/>
      <c r="C131" s="138"/>
      <c r="D131" s="138"/>
      <c r="E131" s="138"/>
      <c r="F131" s="138"/>
      <c r="G131" s="158"/>
      <c r="H131" s="672"/>
      <c r="I131" s="376"/>
      <c r="J131" s="221"/>
      <c r="K131" s="377"/>
      <c r="L131" s="313"/>
      <c r="M131" s="313"/>
      <c r="N131" s="313"/>
      <c r="O131" s="219"/>
    </row>
    <row r="132" spans="1:15" ht="12" customHeight="1" x14ac:dyDescent="0.2">
      <c r="A132" s="140">
        <v>15</v>
      </c>
      <c r="B132" s="834" t="s">
        <v>449</v>
      </c>
      <c r="C132" s="834"/>
      <c r="D132" s="834"/>
      <c r="E132" s="834"/>
      <c r="F132" s="834"/>
      <c r="G132" s="137"/>
      <c r="H132" s="641"/>
      <c r="I132" s="330"/>
      <c r="J132" s="311"/>
      <c r="K132" s="311"/>
      <c r="L132" s="311"/>
      <c r="M132" s="311"/>
      <c r="N132" s="330"/>
      <c r="O132" s="297"/>
    </row>
    <row r="133" spans="1:15" ht="12" customHeight="1" x14ac:dyDescent="0.2">
      <c r="A133" s="140">
        <v>1503</v>
      </c>
      <c r="B133" s="834" t="s">
        <v>459</v>
      </c>
      <c r="C133" s="834"/>
      <c r="D133" s="834"/>
      <c r="E133" s="834"/>
      <c r="F133" s="834"/>
      <c r="G133" s="137"/>
      <c r="H133" s="641"/>
      <c r="I133" s="330"/>
      <c r="J133" s="311"/>
      <c r="K133" s="311"/>
      <c r="L133" s="370"/>
      <c r="M133" s="311"/>
      <c r="N133" s="330"/>
      <c r="O133" s="297"/>
    </row>
    <row r="134" spans="1:15" ht="12" hidden="1" customHeight="1" x14ac:dyDescent="0.2">
      <c r="A134" s="140" t="s">
        <v>656</v>
      </c>
      <c r="B134" s="200" t="s">
        <v>655</v>
      </c>
      <c r="C134" s="153"/>
      <c r="D134" s="153"/>
      <c r="E134" s="153"/>
      <c r="F134" s="153"/>
      <c r="G134" s="97" t="s">
        <v>32</v>
      </c>
      <c r="H134" s="189">
        <v>0</v>
      </c>
      <c r="I134" s="323">
        <f>VLOOKUP(A134,'[1]TAB OGU JUN18'!$A:$G,6,"falso")</f>
        <v>76.31</v>
      </c>
      <c r="J134" s="323">
        <f>VLOOKUP(A134,'[1]TAB OGU JUN18'!$A:$G,4,"falso")</f>
        <v>32.9</v>
      </c>
      <c r="K134" s="308">
        <f>H134*J134</f>
        <v>0</v>
      </c>
      <c r="L134" s="323">
        <f>VLOOKUP(A134,'[1]TAB OGU JUN18'!$A:$G,5,"falso")</f>
        <v>43.41</v>
      </c>
      <c r="M134" s="308">
        <f>H134*L134</f>
        <v>0</v>
      </c>
      <c r="N134" s="189">
        <f>H134*I134</f>
        <v>0</v>
      </c>
      <c r="O134" s="297">
        <f>N134/N138</f>
        <v>0</v>
      </c>
    </row>
    <row r="135" spans="1:15" ht="12" hidden="1" customHeight="1" x14ac:dyDescent="0.2">
      <c r="A135" s="140" t="s">
        <v>462</v>
      </c>
      <c r="B135" s="200" t="s">
        <v>463</v>
      </c>
      <c r="C135" s="153"/>
      <c r="D135" s="153"/>
      <c r="E135" s="153"/>
      <c r="F135" s="153"/>
      <c r="G135" s="97" t="s">
        <v>17</v>
      </c>
      <c r="H135" s="189">
        <v>0</v>
      </c>
      <c r="I135" s="323">
        <f>VLOOKUP(A135,'[1]TAB OGU JUN18'!$A:$G,6,"falso")</f>
        <v>43.87</v>
      </c>
      <c r="J135" s="323">
        <f>VLOOKUP(A135,'[1]TAB OGU JUN18'!$A:$G,4,"falso")</f>
        <v>7.76</v>
      </c>
      <c r="K135" s="308">
        <f>H135*J135</f>
        <v>0</v>
      </c>
      <c r="L135" s="323">
        <f>VLOOKUP(A135,'[1]TAB OGU JUN18'!$A:$G,5,"falso")</f>
        <v>36.11</v>
      </c>
      <c r="M135" s="308">
        <f>H135*L135</f>
        <v>0</v>
      </c>
      <c r="N135" s="189">
        <f t="shared" ref="N135:N136" si="2">H135*I135</f>
        <v>0</v>
      </c>
      <c r="O135" s="297">
        <f>N135/N138</f>
        <v>0</v>
      </c>
    </row>
    <row r="136" spans="1:15" ht="12" customHeight="1" x14ac:dyDescent="0.2">
      <c r="A136" s="140" t="s">
        <v>464</v>
      </c>
      <c r="B136" s="200" t="s">
        <v>465</v>
      </c>
      <c r="C136" s="153"/>
      <c r="D136" s="153"/>
      <c r="E136" s="153"/>
      <c r="F136" s="153"/>
      <c r="G136" s="97" t="s">
        <v>31</v>
      </c>
      <c r="H136" s="189">
        <v>30.25</v>
      </c>
      <c r="I136" s="323">
        <f>VLOOKUP(A136,'[1]TAB OGU JUN18'!$A:$G,6,"falso")</f>
        <v>3.74</v>
      </c>
      <c r="J136" s="323">
        <f>VLOOKUP(A136,'[1]TAB OGU JUN18'!$A:$G,4,"falso")</f>
        <v>0.33</v>
      </c>
      <c r="K136" s="308">
        <f>H136*J136</f>
        <v>9.9824999999999999</v>
      </c>
      <c r="L136" s="323">
        <f>VLOOKUP(A136,'[1]TAB OGU JUN18'!$A:$G,5,"falso")</f>
        <v>3.41</v>
      </c>
      <c r="M136" s="308">
        <f>H136*L136</f>
        <v>103.1525</v>
      </c>
      <c r="N136" s="189">
        <f t="shared" si="2"/>
        <v>113.13500000000001</v>
      </c>
      <c r="O136" s="297">
        <f>N136/N138</f>
        <v>1</v>
      </c>
    </row>
    <row r="137" spans="1:15" ht="12" customHeight="1" x14ac:dyDescent="0.2">
      <c r="A137" s="140"/>
      <c r="B137" s="138"/>
      <c r="C137" s="138"/>
      <c r="D137" s="138"/>
      <c r="E137" s="138"/>
      <c r="F137" s="138"/>
      <c r="G137" s="190"/>
      <c r="H137" s="189"/>
      <c r="I137" s="296"/>
      <c r="J137" s="311"/>
      <c r="K137" s="311"/>
      <c r="L137" s="370"/>
      <c r="M137" s="311"/>
      <c r="N137" s="189"/>
      <c r="O137" s="297"/>
    </row>
    <row r="138" spans="1:15" ht="12" customHeight="1" x14ac:dyDescent="0.2">
      <c r="A138" s="202"/>
      <c r="B138" s="142" t="s">
        <v>18</v>
      </c>
      <c r="C138" s="143"/>
      <c r="D138" s="143"/>
      <c r="E138" s="143"/>
      <c r="F138" s="143"/>
      <c r="G138" s="188"/>
      <c r="H138" s="663"/>
      <c r="I138" s="336"/>
      <c r="J138" s="336"/>
      <c r="K138" s="336"/>
      <c r="L138" s="336"/>
      <c r="M138" s="336"/>
      <c r="N138" s="189">
        <f>SUM(N134:N137)</f>
        <v>113.13500000000001</v>
      </c>
      <c r="O138" s="297">
        <f>N138/N139</f>
        <v>1</v>
      </c>
    </row>
    <row r="139" spans="1:15" s="132" customFormat="1" ht="12" customHeight="1" x14ac:dyDescent="0.2">
      <c r="A139" s="203"/>
      <c r="B139" s="175" t="s">
        <v>20</v>
      </c>
      <c r="C139" s="176"/>
      <c r="D139" s="176"/>
      <c r="E139" s="176"/>
      <c r="F139" s="176"/>
      <c r="G139" s="191"/>
      <c r="H139" s="666"/>
      <c r="I139" s="338"/>
      <c r="J139" s="338"/>
      <c r="K139" s="338"/>
      <c r="L139" s="338"/>
      <c r="M139" s="338"/>
      <c r="N139" s="295">
        <f>N138</f>
        <v>113.13500000000001</v>
      </c>
      <c r="O139" s="186">
        <f>N139/N166</f>
        <v>1.7319638576919288E-3</v>
      </c>
    </row>
    <row r="140" spans="1:15" ht="12" customHeight="1" x14ac:dyDescent="0.2">
      <c r="A140" s="202"/>
      <c r="B140" s="138"/>
      <c r="C140" s="138"/>
      <c r="D140" s="138"/>
      <c r="E140" s="138"/>
      <c r="F140" s="138"/>
      <c r="G140" s="137"/>
      <c r="H140" s="641"/>
      <c r="I140" s="330"/>
      <c r="J140" s="296"/>
      <c r="K140" s="339"/>
      <c r="L140" s="311"/>
      <c r="M140" s="311"/>
      <c r="N140" s="311"/>
      <c r="O140" s="219"/>
    </row>
    <row r="141" spans="1:15" ht="12" customHeight="1" x14ac:dyDescent="0.2">
      <c r="A141" s="98" t="s">
        <v>169</v>
      </c>
      <c r="B141" s="88" t="s">
        <v>172</v>
      </c>
      <c r="G141" s="97"/>
      <c r="H141" s="374"/>
      <c r="I141" s="314"/>
      <c r="J141" s="314"/>
      <c r="K141" s="314"/>
      <c r="L141" s="314"/>
      <c r="M141" s="314"/>
      <c r="N141" s="314"/>
      <c r="O141" s="225"/>
    </row>
    <row r="142" spans="1:15" ht="12" hidden="1" customHeight="1" x14ac:dyDescent="0.2">
      <c r="A142" s="140">
        <v>1607</v>
      </c>
      <c r="B142" s="834" t="s">
        <v>466</v>
      </c>
      <c r="C142" s="834"/>
      <c r="D142" s="834"/>
      <c r="E142" s="834"/>
      <c r="F142" s="834"/>
      <c r="G142" s="158"/>
      <c r="H142" s="672"/>
      <c r="I142" s="314"/>
      <c r="J142" s="314"/>
      <c r="K142" s="314"/>
      <c r="L142" s="314"/>
      <c r="M142" s="314"/>
      <c r="N142" s="227"/>
      <c r="O142" s="226"/>
    </row>
    <row r="143" spans="1:15" ht="12" hidden="1" customHeight="1" x14ac:dyDescent="0.2">
      <c r="A143" s="140" t="s">
        <v>467</v>
      </c>
      <c r="B143" s="834" t="s">
        <v>468</v>
      </c>
      <c r="C143" s="834"/>
      <c r="D143" s="834"/>
      <c r="E143" s="834"/>
      <c r="F143" s="834"/>
      <c r="G143" s="97" t="s">
        <v>31</v>
      </c>
      <c r="H143" s="308">
        <v>0</v>
      </c>
      <c r="I143" s="323">
        <f>VLOOKUP(A143,'[1]TAB OGU JUN18'!$A:$G,6,"falso")</f>
        <v>1602.92</v>
      </c>
      <c r="J143" s="323">
        <f>VLOOKUP(A143,'[1]TAB OGU JUN18'!$A:$G,4,"falso")</f>
        <v>44.93</v>
      </c>
      <c r="K143" s="308">
        <f>H143*J143</f>
        <v>0</v>
      </c>
      <c r="L143" s="323">
        <f>VLOOKUP(A143,'[1]TAB OGU JUN18'!$A:$G,5,"falso")</f>
        <v>1557.99</v>
      </c>
      <c r="M143" s="308">
        <f>H143*L143</f>
        <v>0</v>
      </c>
      <c r="N143" s="308">
        <f>H143*I143</f>
        <v>0</v>
      </c>
      <c r="O143" s="185" t="e">
        <f>N143/N145</f>
        <v>#DIV/0!</v>
      </c>
    </row>
    <row r="144" spans="1:15" ht="12" hidden="1" customHeight="1" x14ac:dyDescent="0.2">
      <c r="A144" s="140"/>
      <c r="B144" s="138"/>
      <c r="C144" s="138"/>
      <c r="D144" s="138"/>
      <c r="E144" s="138"/>
      <c r="F144" s="138"/>
      <c r="G144" s="163"/>
      <c r="H144" s="221"/>
      <c r="I144" s="314"/>
      <c r="J144" s="314"/>
      <c r="K144" s="314"/>
      <c r="L144" s="314"/>
      <c r="M144" s="314"/>
      <c r="N144" s="227"/>
      <c r="O144" s="226"/>
    </row>
    <row r="145" spans="1:15" ht="12" hidden="1" customHeight="1" x14ac:dyDescent="0.2">
      <c r="A145" s="202"/>
      <c r="B145" s="142" t="s">
        <v>18</v>
      </c>
      <c r="C145" s="143"/>
      <c r="D145" s="143"/>
      <c r="E145" s="143"/>
      <c r="F145" s="143"/>
      <c r="G145" s="222"/>
      <c r="H145" s="675"/>
      <c r="I145" s="362"/>
      <c r="J145" s="362"/>
      <c r="K145" s="362"/>
      <c r="L145" s="362"/>
      <c r="M145" s="362"/>
      <c r="N145" s="227">
        <f>SUM(N143:N144)</f>
        <v>0</v>
      </c>
      <c r="O145" s="225">
        <f>N145/$N$164</f>
        <v>0</v>
      </c>
    </row>
    <row r="146" spans="1:15" ht="12" hidden="1" customHeight="1" x14ac:dyDescent="0.2">
      <c r="A146" s="202"/>
      <c r="B146" s="138"/>
      <c r="C146" s="138"/>
      <c r="D146" s="138"/>
      <c r="E146" s="138"/>
      <c r="F146" s="138"/>
      <c r="G146" s="158"/>
      <c r="H146" s="672"/>
      <c r="I146" s="314"/>
      <c r="J146" s="227"/>
      <c r="K146" s="227"/>
      <c r="L146" s="314"/>
      <c r="M146" s="314"/>
      <c r="N146" s="314"/>
      <c r="O146" s="225"/>
    </row>
    <row r="147" spans="1:15" ht="12" customHeight="1" x14ac:dyDescent="0.2">
      <c r="A147" s="140">
        <v>1608</v>
      </c>
      <c r="B147" s="834" t="s">
        <v>470</v>
      </c>
      <c r="C147" s="834"/>
      <c r="D147" s="834"/>
      <c r="E147" s="834"/>
      <c r="F147" s="834"/>
      <c r="G147" s="158"/>
      <c r="H147" s="672"/>
      <c r="I147" s="314"/>
      <c r="J147" s="314"/>
      <c r="K147" s="314"/>
      <c r="L147" s="314"/>
      <c r="M147" s="314"/>
      <c r="N147" s="227"/>
      <c r="O147" s="226"/>
    </row>
    <row r="148" spans="1:15" ht="12" customHeight="1" x14ac:dyDescent="0.2">
      <c r="A148" s="140" t="s">
        <v>471</v>
      </c>
      <c r="B148" s="834" t="s">
        <v>472</v>
      </c>
      <c r="C148" s="834"/>
      <c r="D148" s="834"/>
      <c r="E148" s="834"/>
      <c r="F148" s="834"/>
      <c r="G148" s="97" t="s">
        <v>31</v>
      </c>
      <c r="H148" s="308">
        <v>7.65</v>
      </c>
      <c r="I148" s="323">
        <f>VLOOKUP(A148,'[1]TAB OGU JUN18'!$A:$G,6,"falso")</f>
        <v>697.39</v>
      </c>
      <c r="J148" s="323">
        <f>VLOOKUP(A148,'[1]TAB OGU JUN18'!$A:$G,4,"falso")</f>
        <v>67.39</v>
      </c>
      <c r="K148" s="308">
        <f>H148*J148</f>
        <v>515.5335</v>
      </c>
      <c r="L148" s="323">
        <f>VLOOKUP(A148,'[1]TAB OGU JUN18'!$A:$G,5,"falso")</f>
        <v>630</v>
      </c>
      <c r="M148" s="308">
        <f>H148*L148</f>
        <v>4819.5</v>
      </c>
      <c r="N148" s="308">
        <f>H148*I148</f>
        <v>5335.0335000000005</v>
      </c>
      <c r="O148" s="185">
        <f>N148/N150</f>
        <v>1</v>
      </c>
    </row>
    <row r="149" spans="1:15" ht="12" customHeight="1" x14ac:dyDescent="0.2">
      <c r="A149" s="140"/>
      <c r="B149" s="138"/>
      <c r="C149" s="138"/>
      <c r="D149" s="138"/>
      <c r="E149" s="138"/>
      <c r="F149" s="138"/>
      <c r="G149" s="163"/>
      <c r="H149" s="221"/>
      <c r="I149" s="314"/>
      <c r="J149" s="314"/>
      <c r="K149" s="314"/>
      <c r="L149" s="314"/>
      <c r="M149" s="314"/>
      <c r="N149" s="227"/>
      <c r="O149" s="226"/>
    </row>
    <row r="150" spans="1:15" ht="12" customHeight="1" x14ac:dyDescent="0.2">
      <c r="A150" s="202"/>
      <c r="B150" s="142" t="s">
        <v>18</v>
      </c>
      <c r="C150" s="143"/>
      <c r="D150" s="143"/>
      <c r="E150" s="143"/>
      <c r="F150" s="143"/>
      <c r="G150" s="222"/>
      <c r="H150" s="675"/>
      <c r="I150" s="362"/>
      <c r="J150" s="362"/>
      <c r="K150" s="362"/>
      <c r="L150" s="362"/>
      <c r="M150" s="362"/>
      <c r="N150" s="227">
        <f>SUM(N148:N149)</f>
        <v>5335.0335000000005</v>
      </c>
      <c r="O150" s="225">
        <f>N150/$N$164</f>
        <v>0.9898085058172823</v>
      </c>
    </row>
    <row r="151" spans="1:15" ht="12" hidden="1" customHeight="1" x14ac:dyDescent="0.2">
      <c r="A151" s="202"/>
      <c r="B151" s="138"/>
      <c r="C151" s="138"/>
      <c r="D151" s="138"/>
      <c r="E151" s="138"/>
      <c r="F151" s="138"/>
      <c r="G151" s="158"/>
      <c r="H151" s="672"/>
      <c r="I151" s="314"/>
      <c r="J151" s="227"/>
      <c r="K151" s="227"/>
      <c r="L151" s="314"/>
      <c r="M151" s="314"/>
      <c r="N151" s="314"/>
      <c r="O151" s="225"/>
    </row>
    <row r="152" spans="1:15" ht="12" hidden="1" customHeight="1" x14ac:dyDescent="0.2">
      <c r="A152" s="140">
        <v>1611</v>
      </c>
      <c r="B152" s="834" t="s">
        <v>473</v>
      </c>
      <c r="C152" s="834"/>
      <c r="D152" s="834"/>
      <c r="E152" s="834"/>
      <c r="F152" s="834"/>
      <c r="G152" s="158"/>
      <c r="H152" s="672"/>
      <c r="I152" s="314"/>
      <c r="J152" s="314"/>
      <c r="K152" s="314"/>
      <c r="L152" s="314"/>
      <c r="M152" s="314"/>
      <c r="N152" s="227"/>
      <c r="O152" s="226"/>
    </row>
    <row r="153" spans="1:15" ht="12" hidden="1" customHeight="1" x14ac:dyDescent="0.2">
      <c r="A153" s="140" t="s">
        <v>474</v>
      </c>
      <c r="B153" s="200" t="s">
        <v>475</v>
      </c>
      <c r="C153" s="153"/>
      <c r="D153" s="153"/>
      <c r="E153" s="153"/>
      <c r="F153" s="153"/>
      <c r="G153" s="163" t="s">
        <v>31</v>
      </c>
      <c r="H153" s="221">
        <v>0</v>
      </c>
      <c r="I153" s="323">
        <f>VLOOKUP(A153,'[1]TAB OGU JUN18'!$A:$G,6,"falso")</f>
        <v>136.79</v>
      </c>
      <c r="J153" s="323">
        <f>VLOOKUP(A153,'[1]TAB OGU JUN18'!$A:$G,4,"falso")</f>
        <v>90.13</v>
      </c>
      <c r="K153" s="308">
        <f>H153*J153</f>
        <v>0</v>
      </c>
      <c r="L153" s="323">
        <f>VLOOKUP(A153,'[1]TAB OGU JUN18'!$A:$G,5,"falso")</f>
        <v>46.66</v>
      </c>
      <c r="M153" s="308">
        <f>H153*L153</f>
        <v>0</v>
      </c>
      <c r="N153" s="314">
        <f>H153*I153</f>
        <v>0</v>
      </c>
      <c r="O153" s="220" t="e">
        <f>N153/$N$157</f>
        <v>#DIV/0!</v>
      </c>
    </row>
    <row r="154" spans="1:15" ht="12" hidden="1" customHeight="1" x14ac:dyDescent="0.2">
      <c r="A154" s="140" t="s">
        <v>476</v>
      </c>
      <c r="B154" s="200" t="s">
        <v>477</v>
      </c>
      <c r="C154" s="153"/>
      <c r="D154" s="153"/>
      <c r="E154" s="153"/>
      <c r="F154" s="153"/>
      <c r="G154" s="163" t="s">
        <v>17</v>
      </c>
      <c r="H154" s="221">
        <v>0</v>
      </c>
      <c r="I154" s="323">
        <f>VLOOKUP(A154,'[1]TAB OGU JUN18'!$A:$G,6,"falso")</f>
        <v>318.18</v>
      </c>
      <c r="J154" s="323">
        <f>VLOOKUP(A154,'[1]TAB OGU JUN18'!$A:$G,4,"falso")</f>
        <v>261.63</v>
      </c>
      <c r="K154" s="308">
        <f>H154*J154</f>
        <v>0</v>
      </c>
      <c r="L154" s="323">
        <f>VLOOKUP(A154,'[1]TAB OGU JUN18'!$A:$G,5,"falso")</f>
        <v>56.55</v>
      </c>
      <c r="M154" s="308">
        <f>H154*L154</f>
        <v>0</v>
      </c>
      <c r="N154" s="314">
        <f t="shared" ref="N154:N155" si="3">H154*I154</f>
        <v>0</v>
      </c>
      <c r="O154" s="220" t="e">
        <f t="shared" ref="O154:O155" si="4">N154/$N$157</f>
        <v>#DIV/0!</v>
      </c>
    </row>
    <row r="155" spans="1:15" ht="12" hidden="1" customHeight="1" x14ac:dyDescent="0.2">
      <c r="A155" s="140" t="s">
        <v>478</v>
      </c>
      <c r="B155" s="200" t="s">
        <v>479</v>
      </c>
      <c r="C155" s="153"/>
      <c r="D155" s="153"/>
      <c r="E155" s="153"/>
      <c r="F155" s="153"/>
      <c r="G155" s="97" t="s">
        <v>31</v>
      </c>
      <c r="H155" s="221">
        <v>0</v>
      </c>
      <c r="I155" s="323">
        <f>VLOOKUP(A155,'[1]TAB OGU JUN18'!$A:$G,6,"falso")</f>
        <v>61.58</v>
      </c>
      <c r="J155" s="323">
        <f>VLOOKUP(A155,'[1]TAB OGU JUN18'!$A:$G,4,"falso")</f>
        <v>47.11</v>
      </c>
      <c r="K155" s="308">
        <f>H155*J155</f>
        <v>0</v>
      </c>
      <c r="L155" s="323">
        <f>VLOOKUP(A155,'[1]TAB OGU JUN18'!$A:$G,5,"falso")</f>
        <v>14.47</v>
      </c>
      <c r="M155" s="308">
        <f>H155*L155</f>
        <v>0</v>
      </c>
      <c r="N155" s="314">
        <f t="shared" si="3"/>
        <v>0</v>
      </c>
      <c r="O155" s="220" t="e">
        <f t="shared" si="4"/>
        <v>#DIV/0!</v>
      </c>
    </row>
    <row r="156" spans="1:15" ht="12" hidden="1" customHeight="1" x14ac:dyDescent="0.2">
      <c r="A156" s="140"/>
      <c r="B156" s="138"/>
      <c r="C156" s="138"/>
      <c r="D156" s="138"/>
      <c r="E156" s="138"/>
      <c r="F156" s="138"/>
      <c r="G156" s="163"/>
      <c r="H156" s="221"/>
      <c r="I156" s="314"/>
      <c r="J156" s="314"/>
      <c r="K156" s="314"/>
      <c r="L156" s="314"/>
      <c r="M156" s="314"/>
      <c r="N156" s="227"/>
      <c r="O156" s="226"/>
    </row>
    <row r="157" spans="1:15" ht="12" hidden="1" customHeight="1" x14ac:dyDescent="0.2">
      <c r="A157" s="202"/>
      <c r="B157" s="142" t="s">
        <v>18</v>
      </c>
      <c r="C157" s="143"/>
      <c r="D157" s="143"/>
      <c r="E157" s="143"/>
      <c r="F157" s="143"/>
      <c r="G157" s="222"/>
      <c r="H157" s="675"/>
      <c r="I157" s="362"/>
      <c r="J157" s="362"/>
      <c r="K157" s="362"/>
      <c r="L157" s="362"/>
      <c r="M157" s="362"/>
      <c r="N157" s="227">
        <f>SUM(N153:N156)</f>
        <v>0</v>
      </c>
      <c r="O157" s="225">
        <f>N157/$N$164</f>
        <v>0</v>
      </c>
    </row>
    <row r="158" spans="1:15" ht="12" customHeight="1" x14ac:dyDescent="0.2">
      <c r="A158" s="202"/>
      <c r="B158" s="138"/>
      <c r="C158" s="138"/>
      <c r="D158" s="138"/>
      <c r="E158" s="138"/>
      <c r="F158" s="138"/>
      <c r="G158" s="158"/>
      <c r="H158" s="672"/>
      <c r="I158" s="314"/>
      <c r="J158" s="227"/>
      <c r="K158" s="227"/>
      <c r="L158" s="314"/>
      <c r="M158" s="314"/>
      <c r="N158" s="314"/>
      <c r="O158" s="225"/>
    </row>
    <row r="159" spans="1:15" ht="12" customHeight="1" x14ac:dyDescent="0.2">
      <c r="A159" s="98" t="s">
        <v>170</v>
      </c>
      <c r="B159" s="88" t="s">
        <v>173</v>
      </c>
      <c r="G159" s="97"/>
      <c r="H159" s="374"/>
      <c r="I159" s="314"/>
      <c r="J159" s="314"/>
      <c r="K159" s="314"/>
      <c r="L159" s="314"/>
      <c r="M159" s="314"/>
      <c r="N159" s="314"/>
      <c r="O159" s="225"/>
    </row>
    <row r="160" spans="1:15" ht="12" customHeight="1" x14ac:dyDescent="0.2">
      <c r="A160" s="98" t="s">
        <v>480</v>
      </c>
      <c r="B160" s="834" t="s">
        <v>481</v>
      </c>
      <c r="C160" s="834"/>
      <c r="D160" s="834"/>
      <c r="E160" s="834"/>
      <c r="F160" s="834"/>
      <c r="G160" s="97" t="s">
        <v>31</v>
      </c>
      <c r="H160" s="308">
        <f>H14</f>
        <v>22.33</v>
      </c>
      <c r="I160" s="323">
        <f>VLOOKUP(A160,'[1]TAB OGU JUN18'!$A:$G,6,"falso")</f>
        <v>2.46</v>
      </c>
      <c r="J160" s="323">
        <f>VLOOKUP(A160,'[1]TAB OGU JUN18'!$A:$G,4,"falso")</f>
        <v>2.34</v>
      </c>
      <c r="K160" s="308">
        <f>H160*J160</f>
        <v>52.252199999999995</v>
      </c>
      <c r="L160" s="323">
        <f>VLOOKUP(A160,'[1]TAB OGU JUN18'!$A:$G,5,"falso")</f>
        <v>0.12</v>
      </c>
      <c r="M160" s="308">
        <f>H160*L160</f>
        <v>2.6795999999999998</v>
      </c>
      <c r="N160" s="308">
        <f>H160*I160</f>
        <v>54.931799999999996</v>
      </c>
      <c r="O160" s="185">
        <f>N160/N162</f>
        <v>1</v>
      </c>
    </row>
    <row r="161" spans="1:16" ht="12" customHeight="1" x14ac:dyDescent="0.2">
      <c r="B161" s="130"/>
      <c r="H161" s="324"/>
      <c r="I161" s="314"/>
      <c r="J161" s="314"/>
      <c r="K161" s="314"/>
      <c r="L161" s="314"/>
      <c r="M161" s="314"/>
      <c r="N161" s="314"/>
      <c r="O161" s="225"/>
    </row>
    <row r="162" spans="1:16" ht="12" customHeight="1" x14ac:dyDescent="0.2">
      <c r="B162" s="130" t="s">
        <v>18</v>
      </c>
      <c r="C162" s="131"/>
      <c r="D162" s="131"/>
      <c r="E162" s="131"/>
      <c r="F162" s="131"/>
      <c r="G162" s="161"/>
      <c r="H162" s="325"/>
      <c r="I162" s="362"/>
      <c r="J162" s="362"/>
      <c r="K162" s="362"/>
      <c r="L162" s="362"/>
      <c r="M162" s="362"/>
      <c r="N162" s="314">
        <f>N160</f>
        <v>54.931799999999996</v>
      </c>
      <c r="O162" s="225">
        <f>N162/$N$164</f>
        <v>1.0191494182717649E-2</v>
      </c>
    </row>
    <row r="163" spans="1:16" ht="12" customHeight="1" x14ac:dyDescent="0.2">
      <c r="A163" s="98"/>
      <c r="B163" s="88"/>
      <c r="G163" s="97"/>
      <c r="H163" s="374"/>
      <c r="I163" s="314"/>
      <c r="J163" s="314"/>
      <c r="K163" s="314"/>
      <c r="L163" s="314"/>
      <c r="M163" s="314"/>
      <c r="N163" s="314"/>
      <c r="O163" s="225"/>
    </row>
    <row r="164" spans="1:16" s="132" customFormat="1" ht="12" customHeight="1" x14ac:dyDescent="0.2">
      <c r="A164" s="145"/>
      <c r="B164" s="133" t="s">
        <v>20</v>
      </c>
      <c r="C164" s="134"/>
      <c r="D164" s="134"/>
      <c r="E164" s="134"/>
      <c r="F164" s="134"/>
      <c r="G164" s="168"/>
      <c r="H164" s="327"/>
      <c r="I164" s="363"/>
      <c r="J164" s="363"/>
      <c r="K164" s="363"/>
      <c r="L164" s="363"/>
      <c r="M164" s="363"/>
      <c r="N164" s="341">
        <f>N162+N150+N157</f>
        <v>5389.9653000000008</v>
      </c>
      <c r="O164" s="229">
        <f>N164/N166</f>
        <v>8.2514032738000037E-2</v>
      </c>
    </row>
    <row r="165" spans="1:16" ht="7.5" customHeight="1" x14ac:dyDescent="0.2">
      <c r="A165" s="202"/>
      <c r="B165" s="138"/>
      <c r="C165" s="138"/>
      <c r="D165" s="138"/>
      <c r="E165" s="138"/>
      <c r="F165" s="138"/>
      <c r="G165" s="158"/>
      <c r="H165" s="376"/>
      <c r="I165" s="314"/>
      <c r="J165" s="227"/>
      <c r="K165" s="227"/>
      <c r="L165" s="314"/>
      <c r="M165" s="314"/>
      <c r="N165" s="314"/>
      <c r="O165" s="225"/>
    </row>
    <row r="166" spans="1:16" ht="12" customHeight="1" x14ac:dyDescent="0.2">
      <c r="A166" s="206"/>
      <c r="B166" s="147" t="s">
        <v>30</v>
      </c>
      <c r="C166" s="146"/>
      <c r="D166" s="146"/>
      <c r="E166" s="146"/>
      <c r="F166" s="146"/>
      <c r="G166" s="230"/>
      <c r="H166" s="342"/>
      <c r="I166" s="345"/>
      <c r="J166" s="345"/>
      <c r="K166" s="275">
        <f>SUM(K14:K165)</f>
        <v>29452.382358771323</v>
      </c>
      <c r="L166" s="275"/>
      <c r="M166" s="275">
        <f>SUM(M14:M165)</f>
        <v>35869.419535390232</v>
      </c>
      <c r="N166" s="316">
        <f>N164+N52+N23+N95+N111+N130+N139+N61</f>
        <v>65321.801894161566</v>
      </c>
      <c r="O166" s="29"/>
      <c r="P166" s="149"/>
    </row>
    <row r="167" spans="1:16" ht="7.5" customHeight="1" x14ac:dyDescent="0.2">
      <c r="A167" s="202"/>
      <c r="B167" s="138"/>
      <c r="C167" s="138"/>
      <c r="D167" s="138"/>
      <c r="E167" s="138"/>
      <c r="F167" s="138"/>
      <c r="G167" s="158"/>
      <c r="H167" s="376"/>
      <c r="I167" s="314"/>
      <c r="J167" s="227"/>
      <c r="K167" s="227"/>
      <c r="L167" s="314"/>
      <c r="M167" s="314"/>
      <c r="N167" s="314"/>
      <c r="O167" s="225"/>
    </row>
    <row r="168" spans="1:16" ht="12" customHeight="1" x14ac:dyDescent="0.2">
      <c r="A168" s="206"/>
      <c r="B168" s="147" t="s">
        <v>265</v>
      </c>
      <c r="C168" s="146"/>
      <c r="D168" s="146"/>
      <c r="E168" s="146"/>
      <c r="F168" s="146"/>
      <c r="G168" s="230"/>
      <c r="H168" s="342"/>
      <c r="I168" s="345"/>
      <c r="J168" s="345"/>
      <c r="K168" s="275">
        <f>(K166*O5)+K166</f>
        <v>37575.349413320451</v>
      </c>
      <c r="L168" s="275"/>
      <c r="M168" s="275">
        <f>(M166*O7)+M166</f>
        <v>42225.48067706138</v>
      </c>
      <c r="N168" s="316">
        <f>K168+M168</f>
        <v>79800.830090381831</v>
      </c>
      <c r="O168" s="29">
        <f>N168/RESUMO!H95</f>
        <v>1.101995480758269E-2</v>
      </c>
      <c r="P168" s="149"/>
    </row>
    <row r="173" spans="1:16" s="150" customFormat="1" ht="12" customHeight="1" x14ac:dyDescent="0.2">
      <c r="A173" s="156"/>
      <c r="B173" s="51"/>
      <c r="C173" s="51"/>
      <c r="D173" s="51"/>
      <c r="E173" s="51"/>
      <c r="F173" s="51"/>
      <c r="G173" s="216"/>
      <c r="H173" s="51"/>
      <c r="I173" s="51"/>
      <c r="J173" s="51"/>
      <c r="K173" s="51"/>
      <c r="L173" s="51"/>
      <c r="M173" s="51"/>
      <c r="N173" s="51"/>
      <c r="O173" s="52"/>
    </row>
    <row r="174" spans="1:16" s="150" customFormat="1" ht="12" customHeight="1" x14ac:dyDescent="0.2">
      <c r="A174" s="156"/>
      <c r="B174" s="51"/>
      <c r="C174" s="51"/>
      <c r="D174" s="51"/>
      <c r="E174" s="51"/>
      <c r="F174" s="51"/>
      <c r="G174" s="216"/>
      <c r="H174" s="51"/>
      <c r="I174" s="51"/>
      <c r="J174" s="51"/>
      <c r="K174" s="51"/>
      <c r="L174" s="51"/>
      <c r="M174" s="51"/>
      <c r="N174" s="51"/>
      <c r="O174" s="52"/>
    </row>
  </sheetData>
  <mergeCells count="31">
    <mergeCell ref="B147:F147"/>
    <mergeCell ref="B148:F148"/>
    <mergeCell ref="B152:F152"/>
    <mergeCell ref="B160:F160"/>
    <mergeCell ref="B125:F125"/>
    <mergeCell ref="B132:F132"/>
    <mergeCell ref="B133:F133"/>
    <mergeCell ref="B142:F142"/>
    <mergeCell ref="B143:F143"/>
    <mergeCell ref="B121:F121"/>
    <mergeCell ref="B99:F99"/>
    <mergeCell ref="B101:F101"/>
    <mergeCell ref="B105:F105"/>
    <mergeCell ref="B107:F107"/>
    <mergeCell ref="B110:F110"/>
    <mergeCell ref="B113:F113"/>
    <mergeCell ref="B114:F114"/>
    <mergeCell ref="B115:F115"/>
    <mergeCell ref="B116:F116"/>
    <mergeCell ref="B120:F120"/>
    <mergeCell ref="B98:F98"/>
    <mergeCell ref="A2:O2"/>
    <mergeCell ref="N4:O4"/>
    <mergeCell ref="A5:B6"/>
    <mergeCell ref="B14:F14"/>
    <mergeCell ref="B63:F63"/>
    <mergeCell ref="B79:F79"/>
    <mergeCell ref="B80:F80"/>
    <mergeCell ref="B97:F97"/>
    <mergeCell ref="B81:F81"/>
    <mergeCell ref="B64:F64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rowBreaks count="1" manualBreakCount="1">
    <brk id="24" max="12" man="1"/>
  </rowBreaks>
  <legacyDrawingHF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Planilha21">
    <tabColor theme="6" tint="0.39997558519241921"/>
    <pageSetUpPr fitToPage="1"/>
  </sheetPr>
  <dimension ref="A1:P46"/>
  <sheetViews>
    <sheetView view="pageBreakPreview" zoomScale="90" zoomScaleNormal="90" zoomScaleSheetLayoutView="90" workbookViewId="0">
      <selection activeCell="S41" sqref="S41"/>
    </sheetView>
  </sheetViews>
  <sheetFormatPr defaultColWidth="11.42578125" defaultRowHeight="12" customHeight="1" x14ac:dyDescent="0.2"/>
  <cols>
    <col min="6" max="6" width="28.5703125" customWidth="1"/>
    <col min="7" max="9" width="11.42578125" customWidth="1"/>
    <col min="10" max="10" width="11.42578125" hidden="1" customWidth="1"/>
    <col min="11" max="11" width="14.28515625" customWidth="1"/>
    <col min="12" max="12" width="8.140625" hidden="1" customWidth="1"/>
    <col min="13" max="13" width="14.28515625" customWidth="1"/>
    <col min="14" max="14" width="17.140625" customWidth="1"/>
    <col min="15" max="15" width="11.42578125" style="13" customWidth="1"/>
  </cols>
  <sheetData>
    <row r="1" spans="1:15" ht="7.5" customHeight="1" x14ac:dyDescent="0.2"/>
    <row r="2" spans="1:15" ht="12" customHeight="1" x14ac:dyDescent="0.2">
      <c r="A2" s="830" t="s">
        <v>39</v>
      </c>
      <c r="B2" s="830"/>
      <c r="C2" s="830"/>
      <c r="D2" s="830"/>
      <c r="E2" s="830"/>
      <c r="F2" s="830"/>
      <c r="G2" s="830"/>
      <c r="H2" s="830"/>
      <c r="I2" s="830"/>
      <c r="J2" s="830"/>
      <c r="K2" s="830"/>
      <c r="L2" s="830"/>
      <c r="M2" s="830"/>
      <c r="N2" s="830"/>
      <c r="O2" s="830"/>
    </row>
    <row r="3" spans="1:15" ht="7.5" customHeight="1" thickBo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32"/>
    </row>
    <row r="4" spans="1:15" ht="12" customHeight="1" thickTop="1" x14ac:dyDescent="0.2">
      <c r="C4" s="36" t="s">
        <v>0</v>
      </c>
      <c r="D4" s="37" t="str">
        <f>RESUMO!D4</f>
        <v>SÃO JOSÉ DAS PALMEIRAS</v>
      </c>
      <c r="E4" s="34"/>
      <c r="F4" s="34"/>
      <c r="G4" s="36" t="s">
        <v>1</v>
      </c>
      <c r="J4" s="38"/>
      <c r="K4" s="38"/>
      <c r="L4" s="38"/>
      <c r="M4" s="38">
        <f ca="1">RESUMO!G4</f>
        <v>43657</v>
      </c>
      <c r="N4" s="826" t="str">
        <f>RESUMO!H4</f>
        <v>BDI Aplicado</v>
      </c>
      <c r="O4" s="827"/>
    </row>
    <row r="5" spans="1:15" ht="12" customHeight="1" x14ac:dyDescent="0.2">
      <c r="A5" s="828" t="s">
        <v>193</v>
      </c>
      <c r="B5" s="829"/>
      <c r="C5" s="39" t="s">
        <v>2</v>
      </c>
      <c r="D5" s="37" t="str">
        <f>RESUMO!D5</f>
        <v>SISTEMA DE ESGOTAMENTO SANITARIO - SES</v>
      </c>
      <c r="E5" s="34"/>
      <c r="F5" s="34"/>
      <c r="G5" s="39" t="s">
        <v>3</v>
      </c>
      <c r="J5" s="34"/>
      <c r="K5" s="34"/>
      <c r="L5" s="34"/>
      <c r="M5" s="34"/>
      <c r="N5" s="35" t="str">
        <f>RESUMO!H5</f>
        <v>Serviços</v>
      </c>
      <c r="O5" s="433">
        <f>RESUMO!I5</f>
        <v>0.27579999999999999</v>
      </c>
    </row>
    <row r="6" spans="1:15" ht="12" customHeight="1" x14ac:dyDescent="0.2">
      <c r="A6" s="828"/>
      <c r="B6" s="829"/>
      <c r="C6" s="39" t="s">
        <v>4</v>
      </c>
      <c r="D6" s="37"/>
      <c r="E6" s="34"/>
      <c r="F6" s="34"/>
      <c r="G6" s="39" t="s">
        <v>5</v>
      </c>
      <c r="J6" s="34"/>
      <c r="K6" s="34"/>
      <c r="L6" s="34"/>
      <c r="M6" s="34"/>
      <c r="N6" s="35" t="str">
        <f>RESUMO!H6</f>
        <v>Serv Terc:</v>
      </c>
      <c r="O6" s="433">
        <f>RESUMO!I6</f>
        <v>0.1772</v>
      </c>
    </row>
    <row r="7" spans="1:15" ht="12" customHeight="1" x14ac:dyDescent="0.2">
      <c r="A7" s="33"/>
      <c r="B7" s="33"/>
      <c r="C7" s="39" t="s">
        <v>6</v>
      </c>
      <c r="D7" s="65" t="str">
        <f>RESUMO!A47</f>
        <v>U.C. : 13</v>
      </c>
      <c r="E7" s="34"/>
      <c r="F7" s="34"/>
      <c r="G7" s="39" t="s">
        <v>9</v>
      </c>
      <c r="J7" s="40"/>
      <c r="K7" s="40"/>
      <c r="L7" s="40"/>
      <c r="M7" s="40" t="str">
        <f>RESUMO!G7</f>
        <v>Jun18 MOS4aEd v00</v>
      </c>
      <c r="N7" s="35" t="str">
        <f>RESUMO!H7</f>
        <v>Mat/Equip:</v>
      </c>
      <c r="O7" s="433">
        <f>RESUMO!I7</f>
        <v>0.1772</v>
      </c>
    </row>
    <row r="8" spans="1:15" ht="12" customHeight="1" x14ac:dyDescent="0.2">
      <c r="A8" s="33"/>
      <c r="B8" s="33"/>
      <c r="C8" s="39" t="s">
        <v>8</v>
      </c>
      <c r="D8" s="37" t="str">
        <f>RESUMO!B47</f>
        <v>ESTAÇÃO DE TRATAMENTO DE ESGOTO - ETE</v>
      </c>
      <c r="E8" s="34"/>
      <c r="F8" s="34"/>
      <c r="G8" s="39"/>
      <c r="J8" s="40"/>
      <c r="K8" s="40"/>
      <c r="L8" s="40"/>
      <c r="M8" s="40" t="s">
        <v>774</v>
      </c>
      <c r="N8" s="35"/>
      <c r="O8" s="433"/>
    </row>
    <row r="9" spans="1:15" ht="12" customHeight="1" thickBot="1" x14ac:dyDescent="0.25">
      <c r="A9" s="91"/>
      <c r="B9" s="92"/>
      <c r="C9" s="47"/>
      <c r="D9" s="45"/>
      <c r="E9" s="45"/>
      <c r="F9" s="45"/>
      <c r="G9" s="43"/>
      <c r="H9" s="2"/>
      <c r="I9" s="46"/>
      <c r="J9" s="46"/>
      <c r="K9" s="46"/>
      <c r="L9" s="46"/>
      <c r="M9" s="46" t="s">
        <v>654</v>
      </c>
      <c r="N9" s="47"/>
      <c r="O9" s="434"/>
    </row>
    <row r="10" spans="1:15" ht="12" customHeight="1" thickTop="1" x14ac:dyDescent="0.2">
      <c r="A10" s="30"/>
      <c r="B10" s="30" t="s">
        <v>10</v>
      </c>
      <c r="C10" s="31"/>
      <c r="D10" s="31"/>
      <c r="E10" s="31"/>
      <c r="F10" s="31"/>
      <c r="G10" s="32" t="s">
        <v>11</v>
      </c>
      <c r="H10" s="32" t="s">
        <v>12</v>
      </c>
      <c r="I10" s="32" t="s">
        <v>13</v>
      </c>
      <c r="J10" s="32"/>
      <c r="K10" s="32" t="s">
        <v>212</v>
      </c>
      <c r="L10" s="32"/>
      <c r="M10" s="32" t="s">
        <v>213</v>
      </c>
      <c r="N10" s="32" t="s">
        <v>14</v>
      </c>
      <c r="O10" s="32" t="s">
        <v>15</v>
      </c>
    </row>
    <row r="11" spans="1:15" ht="7.5" customHeight="1" x14ac:dyDescent="0.2">
      <c r="O11" s="19"/>
    </row>
    <row r="12" spans="1:15" ht="12" customHeight="1" x14ac:dyDescent="0.2">
      <c r="A12" s="1">
        <f>[2]RESUMO!A43</f>
        <v>17</v>
      </c>
      <c r="B12" s="1" t="str">
        <f>[2]RESUMO!B43</f>
        <v>CAIXAS - MATERIAIS</v>
      </c>
      <c r="O12" s="19"/>
    </row>
    <row r="13" spans="1:15" ht="12" customHeight="1" x14ac:dyDescent="0.2">
      <c r="A13" s="8" t="s">
        <v>566</v>
      </c>
      <c r="B13" s="7" t="s">
        <v>556</v>
      </c>
      <c r="H13" s="61"/>
      <c r="I13" s="57"/>
      <c r="J13" s="231"/>
      <c r="K13" s="201"/>
    </row>
    <row r="14" spans="1:15" ht="12" customHeight="1" x14ac:dyDescent="0.2">
      <c r="A14" s="169">
        <v>3001</v>
      </c>
      <c r="B14" s="834" t="s">
        <v>550</v>
      </c>
      <c r="C14" s="834"/>
      <c r="D14" s="834"/>
      <c r="E14" s="834"/>
      <c r="F14" s="834"/>
      <c r="G14" s="152"/>
      <c r="H14" s="706"/>
      <c r="I14" s="152"/>
      <c r="J14" s="170"/>
      <c r="K14" s="201"/>
    </row>
    <row r="15" spans="1:15" ht="12" customHeight="1" x14ac:dyDescent="0.2">
      <c r="A15" s="182" t="s">
        <v>545</v>
      </c>
      <c r="B15" s="233" t="s">
        <v>551</v>
      </c>
      <c r="C15" s="233"/>
      <c r="D15" s="233"/>
      <c r="E15" s="233"/>
      <c r="F15" s="233"/>
      <c r="G15" s="139" t="s">
        <v>31</v>
      </c>
      <c r="H15" s="189">
        <v>0.96</v>
      </c>
      <c r="I15" s="323">
        <v>8785.85</v>
      </c>
      <c r="J15" s="314"/>
      <c r="K15" s="314"/>
      <c r="L15" s="323">
        <v>8785.85</v>
      </c>
      <c r="M15" s="308">
        <f t="shared" ref="M15:M17" si="0">H15*L15</f>
        <v>8434.4159999999993</v>
      </c>
      <c r="N15" s="286">
        <f>H15*I15</f>
        <v>8434.4159999999993</v>
      </c>
      <c r="O15" s="232">
        <f>N15/N19</f>
        <v>1</v>
      </c>
    </row>
    <row r="16" spans="1:15" ht="12" hidden="1" customHeight="1" x14ac:dyDescent="0.2">
      <c r="A16" s="182" t="s">
        <v>545</v>
      </c>
      <c r="B16" s="233" t="s">
        <v>567</v>
      </c>
      <c r="C16" s="233"/>
      <c r="D16" s="233"/>
      <c r="E16" s="233"/>
      <c r="F16" s="233"/>
      <c r="G16" s="139" t="s">
        <v>31</v>
      </c>
      <c r="H16" s="189">
        <v>0</v>
      </c>
      <c r="I16" s="323">
        <v>336.32</v>
      </c>
      <c r="J16" s="314"/>
      <c r="K16" s="314"/>
      <c r="L16" s="323">
        <f>I16</f>
        <v>336.32</v>
      </c>
      <c r="M16" s="308">
        <f t="shared" si="0"/>
        <v>0</v>
      </c>
      <c r="N16" s="286">
        <f t="shared" ref="N16:N17" si="1">H16*I16</f>
        <v>0</v>
      </c>
      <c r="O16" s="232">
        <f>N16/N19</f>
        <v>0</v>
      </c>
    </row>
    <row r="17" spans="1:16" ht="12" hidden="1" customHeight="1" x14ac:dyDescent="0.2">
      <c r="A17" s="182" t="s">
        <v>545</v>
      </c>
      <c r="B17" s="233" t="s">
        <v>552</v>
      </c>
      <c r="C17" s="233"/>
      <c r="D17" s="233"/>
      <c r="E17" s="233"/>
      <c r="F17" s="233"/>
      <c r="G17" s="139" t="s">
        <v>31</v>
      </c>
      <c r="H17" s="189">
        <v>0</v>
      </c>
      <c r="I17" s="323">
        <v>1333.33</v>
      </c>
      <c r="J17" s="314"/>
      <c r="K17" s="314"/>
      <c r="L17" s="323">
        <v>1333.33</v>
      </c>
      <c r="M17" s="308">
        <f t="shared" si="0"/>
        <v>0</v>
      </c>
      <c r="N17" s="286">
        <f t="shared" si="1"/>
        <v>0</v>
      </c>
      <c r="O17" s="232">
        <f>N17/N19</f>
        <v>0</v>
      </c>
    </row>
    <row r="18" spans="1:16" ht="12" customHeight="1" x14ac:dyDescent="0.2">
      <c r="A18" s="169"/>
      <c r="B18" s="138"/>
      <c r="C18" s="138"/>
      <c r="D18" s="138"/>
      <c r="E18" s="138"/>
      <c r="F18" s="138"/>
      <c r="G18" s="141"/>
      <c r="H18" s="296"/>
      <c r="I18" s="381"/>
      <c r="J18" s="354"/>
      <c r="K18" s="354"/>
      <c r="L18" s="354"/>
      <c r="M18" s="354"/>
      <c r="N18" s="382"/>
      <c r="O18" s="68"/>
    </row>
    <row r="19" spans="1:16" ht="12" customHeight="1" x14ac:dyDescent="0.2">
      <c r="A19" s="152"/>
      <c r="B19" s="142" t="s">
        <v>533</v>
      </c>
      <c r="C19" s="143"/>
      <c r="D19" s="143"/>
      <c r="E19" s="143"/>
      <c r="F19" s="143"/>
      <c r="G19" s="154"/>
      <c r="H19" s="664"/>
      <c r="I19" s="384"/>
      <c r="J19" s="384"/>
      <c r="K19" s="384"/>
      <c r="L19" s="384"/>
      <c r="M19" s="384"/>
      <c r="N19" s="382">
        <f>SUM(N15:N18)</f>
        <v>8434.4159999999993</v>
      </c>
      <c r="O19" s="68">
        <f>N19/N29</f>
        <v>0.98996143636624834</v>
      </c>
    </row>
    <row r="20" spans="1:16" ht="12" customHeight="1" x14ac:dyDescent="0.2">
      <c r="A20" s="152"/>
      <c r="B20" s="138"/>
      <c r="C20" s="138"/>
      <c r="D20" s="138"/>
      <c r="E20" s="138"/>
      <c r="F20" s="138"/>
      <c r="G20" s="152"/>
      <c r="H20" s="642"/>
      <c r="I20" s="386"/>
      <c r="J20" s="354"/>
      <c r="K20" s="354"/>
      <c r="L20" s="354"/>
      <c r="M20" s="354"/>
      <c r="N20" s="382"/>
      <c r="O20" s="68"/>
    </row>
    <row r="21" spans="1:16" ht="12" customHeight="1" x14ac:dyDescent="0.2">
      <c r="A21" s="169"/>
      <c r="B21" s="834" t="s">
        <v>557</v>
      </c>
      <c r="C21" s="834"/>
      <c r="D21" s="834"/>
      <c r="E21" s="834"/>
      <c r="F21" s="834"/>
      <c r="G21" s="152"/>
      <c r="H21" s="642"/>
      <c r="I21" s="386"/>
      <c r="J21" s="386"/>
      <c r="K21" s="387"/>
      <c r="L21" s="354"/>
      <c r="M21" s="354"/>
      <c r="N21" s="388"/>
    </row>
    <row r="22" spans="1:16" ht="12" customHeight="1" x14ac:dyDescent="0.2">
      <c r="A22" s="140" t="s">
        <v>568</v>
      </c>
      <c r="B22" s="836" t="s">
        <v>569</v>
      </c>
      <c r="C22" s="836"/>
      <c r="D22" s="836"/>
      <c r="E22" s="836"/>
      <c r="F22" s="836"/>
      <c r="G22" s="139" t="s">
        <v>32</v>
      </c>
      <c r="H22" s="189">
        <v>0.06</v>
      </c>
      <c r="I22" s="323">
        <f>L22</f>
        <v>55</v>
      </c>
      <c r="J22" s="314"/>
      <c r="K22" s="314"/>
      <c r="L22" s="323">
        <v>55</v>
      </c>
      <c r="M22" s="308">
        <f>L22*H22</f>
        <v>3.3</v>
      </c>
      <c r="N22" s="286">
        <f>H22*I22</f>
        <v>3.3</v>
      </c>
      <c r="O22" s="232">
        <f>N22/N27</f>
        <v>3.8583855579459363E-2</v>
      </c>
    </row>
    <row r="23" spans="1:16" ht="12" customHeight="1" x14ac:dyDescent="0.2">
      <c r="A23" s="140" t="s">
        <v>570</v>
      </c>
      <c r="B23" s="836" t="s">
        <v>351</v>
      </c>
      <c r="C23" s="836"/>
      <c r="D23" s="836"/>
      <c r="E23" s="836"/>
      <c r="F23" s="836"/>
      <c r="G23" s="139" t="s">
        <v>32</v>
      </c>
      <c r="H23" s="189">
        <v>0.7</v>
      </c>
      <c r="I23" s="323">
        <f t="shared" ref="I23:I24" si="2">L23</f>
        <v>48.2</v>
      </c>
      <c r="J23" s="314"/>
      <c r="K23" s="314"/>
      <c r="L23" s="323">
        <v>48.2</v>
      </c>
      <c r="M23" s="308">
        <f t="shared" ref="M23:M25" si="3">L23*H23</f>
        <v>33.74</v>
      </c>
      <c r="N23" s="286">
        <f t="shared" ref="N23:N25" si="4">H23*I23</f>
        <v>33.74</v>
      </c>
      <c r="O23" s="232">
        <f>N23/N27</f>
        <v>0.39449069310635121</v>
      </c>
    </row>
    <row r="24" spans="1:16" ht="12" customHeight="1" x14ac:dyDescent="0.2">
      <c r="A24" s="140" t="s">
        <v>571</v>
      </c>
      <c r="B24" s="836" t="s">
        <v>572</v>
      </c>
      <c r="C24" s="836"/>
      <c r="D24" s="836"/>
      <c r="E24" s="836"/>
      <c r="F24" s="836"/>
      <c r="G24" s="139" t="s">
        <v>32</v>
      </c>
      <c r="H24" s="189">
        <v>1.1000000000000001</v>
      </c>
      <c r="I24" s="323">
        <f t="shared" si="2"/>
        <v>44.08</v>
      </c>
      <c r="J24" s="314"/>
      <c r="K24" s="314"/>
      <c r="L24" s="323">
        <v>44.08</v>
      </c>
      <c r="M24" s="308">
        <f t="shared" si="3"/>
        <v>48.488</v>
      </c>
      <c r="N24" s="286">
        <f t="shared" si="4"/>
        <v>48.488</v>
      </c>
      <c r="O24" s="232">
        <f>N24/N27</f>
        <v>0.56692545131418959</v>
      </c>
    </row>
    <row r="25" spans="1:16" ht="12" hidden="1" customHeight="1" x14ac:dyDescent="0.2">
      <c r="A25" s="140" t="s">
        <v>750</v>
      </c>
      <c r="B25" s="233" t="s">
        <v>749</v>
      </c>
      <c r="C25" s="233"/>
      <c r="D25" s="233"/>
      <c r="E25" s="233"/>
      <c r="F25" s="233"/>
      <c r="G25" s="139" t="s">
        <v>17</v>
      </c>
      <c r="H25" s="189">
        <v>0</v>
      </c>
      <c r="I25" s="323">
        <v>7.72</v>
      </c>
      <c r="J25" s="314"/>
      <c r="K25" s="314"/>
      <c r="L25" s="323">
        <v>7.72</v>
      </c>
      <c r="M25" s="308">
        <f t="shared" si="3"/>
        <v>0</v>
      </c>
      <c r="N25" s="286">
        <f t="shared" si="4"/>
        <v>0</v>
      </c>
      <c r="O25" s="232">
        <f>N25/N27</f>
        <v>0</v>
      </c>
      <c r="P25">
        <v>11552</v>
      </c>
    </row>
    <row r="26" spans="1:16" ht="12" customHeight="1" x14ac:dyDescent="0.2">
      <c r="A26" s="169"/>
      <c r="B26" s="138"/>
      <c r="C26" s="138"/>
      <c r="D26" s="138"/>
      <c r="E26" s="138"/>
      <c r="F26" s="138"/>
      <c r="G26" s="141"/>
      <c r="H26" s="380"/>
      <c r="I26" s="381"/>
      <c r="J26" s="354"/>
      <c r="K26" s="354"/>
      <c r="L26" s="354"/>
      <c r="M26" s="354"/>
      <c r="N26" s="382"/>
      <c r="O26" s="68"/>
    </row>
    <row r="27" spans="1:16" ht="12" customHeight="1" x14ac:dyDescent="0.2">
      <c r="A27" s="152"/>
      <c r="B27" s="142" t="s">
        <v>533</v>
      </c>
      <c r="C27" s="143"/>
      <c r="D27" s="143"/>
      <c r="E27" s="143"/>
      <c r="F27" s="143"/>
      <c r="G27" s="154"/>
      <c r="H27" s="383"/>
      <c r="I27" s="384"/>
      <c r="J27" s="384"/>
      <c r="K27" s="384"/>
      <c r="L27" s="384"/>
      <c r="M27" s="384"/>
      <c r="N27" s="382">
        <f>SUM(N22:N26)</f>
        <v>85.527999999999992</v>
      </c>
      <c r="O27" s="68">
        <f>N27/N29</f>
        <v>1.0038563633751583E-2</v>
      </c>
    </row>
    <row r="28" spans="1:16" ht="12" customHeight="1" x14ac:dyDescent="0.2">
      <c r="A28" s="152"/>
      <c r="B28" s="138"/>
      <c r="C28" s="138"/>
      <c r="D28" s="138"/>
      <c r="E28" s="138"/>
      <c r="F28" s="138"/>
      <c r="G28" s="152"/>
      <c r="H28" s="385"/>
      <c r="I28" s="386"/>
      <c r="J28" s="354"/>
      <c r="K28" s="354"/>
      <c r="L28" s="354"/>
      <c r="M28" s="354"/>
      <c r="N28" s="382"/>
      <c r="O28" s="68"/>
    </row>
    <row r="29" spans="1:16" s="74" customFormat="1" ht="12" customHeight="1" x14ac:dyDescent="0.2">
      <c r="A29" s="174"/>
      <c r="B29" s="175" t="s">
        <v>20</v>
      </c>
      <c r="C29" s="176"/>
      <c r="D29" s="176"/>
      <c r="E29" s="176"/>
      <c r="F29" s="176"/>
      <c r="G29" s="183"/>
      <c r="H29" s="389"/>
      <c r="I29" s="390"/>
      <c r="J29" s="390"/>
      <c r="K29" s="390"/>
      <c r="L29" s="390"/>
      <c r="M29" s="390"/>
      <c r="N29" s="391">
        <f>N19+N27</f>
        <v>8519.9439999999995</v>
      </c>
      <c r="O29" s="179">
        <f>N29/$N$31</f>
        <v>1</v>
      </c>
    </row>
    <row r="30" spans="1:16" ht="7.5" customHeight="1" x14ac:dyDescent="0.2">
      <c r="A30" s="152"/>
      <c r="B30" s="138"/>
      <c r="C30" s="138"/>
      <c r="D30" s="138"/>
      <c r="E30" s="138"/>
      <c r="F30" s="138"/>
      <c r="G30" s="152"/>
      <c r="H30" s="385"/>
      <c r="I30" s="386"/>
      <c r="J30" s="354"/>
      <c r="K30" s="354"/>
      <c r="L30" s="354"/>
      <c r="M30" s="354"/>
      <c r="N30" s="381"/>
      <c r="O30" s="68"/>
    </row>
    <row r="31" spans="1:16" ht="12" customHeight="1" x14ac:dyDescent="0.2">
      <c r="A31" s="5"/>
      <c r="B31" s="95" t="s">
        <v>30</v>
      </c>
      <c r="C31" s="5"/>
      <c r="D31" s="5"/>
      <c r="E31" s="5"/>
      <c r="F31" s="5"/>
      <c r="G31" s="5"/>
      <c r="H31" s="392"/>
      <c r="I31" s="359"/>
      <c r="J31" s="359"/>
      <c r="K31" s="359"/>
      <c r="L31" s="359"/>
      <c r="M31" s="360">
        <f>SUM(M15:M30)</f>
        <v>8519.9439999999977</v>
      </c>
      <c r="N31" s="361">
        <f>N29</f>
        <v>8519.9439999999995</v>
      </c>
      <c r="O31" s="29"/>
      <c r="P31" s="21"/>
    </row>
    <row r="32" spans="1:16" ht="7.5" customHeight="1" x14ac:dyDescent="0.2">
      <c r="H32" s="354"/>
      <c r="I32" s="354"/>
      <c r="J32" s="354"/>
      <c r="K32" s="354"/>
      <c r="L32" s="354"/>
      <c r="M32" s="354"/>
      <c r="N32" s="354"/>
      <c r="P32" s="21"/>
    </row>
    <row r="33" spans="1:16" ht="12" customHeight="1" x14ac:dyDescent="0.2">
      <c r="A33" s="5"/>
      <c r="B33" s="95" t="s">
        <v>30</v>
      </c>
      <c r="C33" s="5"/>
      <c r="D33" s="5"/>
      <c r="E33" s="5"/>
      <c r="F33" s="5"/>
      <c r="G33" s="5"/>
      <c r="H33" s="392"/>
      <c r="I33" s="359"/>
      <c r="J33" s="359"/>
      <c r="K33" s="359"/>
      <c r="L33" s="359"/>
      <c r="M33" s="360">
        <f>(M31*O7)+M31</f>
        <v>10029.678076799997</v>
      </c>
      <c r="N33" s="361">
        <f>M33</f>
        <v>10029.678076799997</v>
      </c>
      <c r="O33" s="29">
        <f>N33/RESUMO!H95</f>
        <v>1.3850306947403583E-3</v>
      </c>
      <c r="P33" s="21"/>
    </row>
    <row r="45" spans="1:16" ht="12" customHeight="1" x14ac:dyDescent="0.2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10"/>
      <c r="O45" s="449"/>
    </row>
    <row r="46" spans="1:16" ht="12" customHeight="1" x14ac:dyDescent="0.2">
      <c r="A46" s="7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450"/>
    </row>
  </sheetData>
  <mergeCells count="8">
    <mergeCell ref="B22:F22"/>
    <mergeCell ref="B23:F23"/>
    <mergeCell ref="B24:F24"/>
    <mergeCell ref="A2:O2"/>
    <mergeCell ref="N4:O4"/>
    <mergeCell ref="A5:B6"/>
    <mergeCell ref="B14:F14"/>
    <mergeCell ref="B21:F21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legacyDrawingHF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Planilha22">
    <tabColor theme="6" tint="0.39997558519241921"/>
    <pageSetUpPr fitToPage="1"/>
  </sheetPr>
  <dimension ref="A1:P209"/>
  <sheetViews>
    <sheetView view="pageBreakPreview" topLeftCell="A60" zoomScale="90" zoomScaleNormal="90" zoomScaleSheetLayoutView="90" workbookViewId="0">
      <selection activeCell="H65" sqref="H65"/>
    </sheetView>
  </sheetViews>
  <sheetFormatPr defaultColWidth="11.42578125" defaultRowHeight="11.25" customHeight="1" x14ac:dyDescent="0.2"/>
  <cols>
    <col min="1" max="1" width="11.42578125" style="156"/>
    <col min="2" max="5" width="11.42578125" style="51"/>
    <col min="6" max="6" width="28.5703125" style="51" customWidth="1"/>
    <col min="7" max="8" width="11.42578125" style="51" customWidth="1"/>
    <col min="9" max="9" width="14.28515625" style="51" customWidth="1"/>
    <col min="10" max="10" width="6.7109375" style="51" hidden="1" customWidth="1"/>
    <col min="11" max="11" width="14.28515625" style="51" customWidth="1"/>
    <col min="12" max="12" width="9.42578125" style="51" hidden="1" customWidth="1"/>
    <col min="13" max="13" width="14.28515625" style="51" customWidth="1"/>
    <col min="14" max="14" width="17.140625" style="52" customWidth="1"/>
    <col min="15" max="15" width="11.42578125" style="52" customWidth="1"/>
    <col min="16" max="16384" width="11.42578125" style="51"/>
  </cols>
  <sheetData>
    <row r="1" spans="1:15" ht="6.75" customHeight="1" x14ac:dyDescent="0.2"/>
    <row r="2" spans="1:15" ht="11.25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5" ht="6.75" customHeight="1" thickBot="1" x14ac:dyDescent="0.25">
      <c r="A3" s="194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95"/>
      <c r="O3" s="195"/>
    </row>
    <row r="4" spans="1:15" ht="11.25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5" ht="11.25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5" ht="11.25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5" ht="11.25" customHeight="1" x14ac:dyDescent="0.2">
      <c r="A7" s="196"/>
      <c r="B7" s="253"/>
      <c r="C7" s="260" t="s">
        <v>6</v>
      </c>
      <c r="D7" s="263" t="str">
        <f>RESUMO!A47</f>
        <v>U.C. : 13</v>
      </c>
      <c r="E7" s="258"/>
      <c r="F7" s="258"/>
      <c r="G7" s="260" t="s">
        <v>9</v>
      </c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5" ht="11.25" customHeight="1" thickBot="1" x14ac:dyDescent="0.25">
      <c r="A8" s="197"/>
      <c r="B8" s="125"/>
      <c r="C8" s="266" t="s">
        <v>8</v>
      </c>
      <c r="D8" s="267" t="str">
        <f>RESUMO!B47</f>
        <v>ESTAÇÃO DE TRATAMENTO DE ESGOTO - ETE</v>
      </c>
      <c r="E8" s="268"/>
      <c r="F8" s="268"/>
      <c r="G8" s="266"/>
      <c r="H8" s="123"/>
      <c r="I8" s="278"/>
      <c r="J8" s="278"/>
      <c r="K8" s="278"/>
      <c r="L8" s="278"/>
      <c r="M8" s="278" t="s">
        <v>774</v>
      </c>
      <c r="N8" s="271"/>
      <c r="O8" s="427"/>
    </row>
    <row r="9" spans="1:15" ht="11.25" customHeight="1" thickTop="1" x14ac:dyDescent="0.2">
      <c r="A9" s="198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5" ht="6.75" customHeight="1" x14ac:dyDescent="0.2">
      <c r="O10" s="19"/>
    </row>
    <row r="11" spans="1:15" ht="11.25" customHeight="1" x14ac:dyDescent="0.2">
      <c r="A11" s="93">
        <f>[4]RESUMO!A44</f>
        <v>18</v>
      </c>
      <c r="B11" s="93" t="str">
        <f>[4]RESUMO!B44</f>
        <v>LABORATÓRIO - SERVIÇOS</v>
      </c>
      <c r="H11" s="61"/>
      <c r="O11" s="19"/>
    </row>
    <row r="12" spans="1:15" ht="11.25" customHeight="1" x14ac:dyDescent="0.2">
      <c r="A12" s="129" t="s">
        <v>48</v>
      </c>
      <c r="B12" s="88" t="s">
        <v>16</v>
      </c>
      <c r="H12" s="61"/>
      <c r="O12" s="19"/>
    </row>
    <row r="13" spans="1:15" ht="11.25" customHeight="1" x14ac:dyDescent="0.2">
      <c r="A13" s="129" t="s">
        <v>79</v>
      </c>
      <c r="B13" s="88" t="s">
        <v>80</v>
      </c>
      <c r="H13" s="61"/>
      <c r="O13" s="19"/>
    </row>
    <row r="14" spans="1:15" ht="11.25" customHeight="1" x14ac:dyDescent="0.2">
      <c r="A14" s="140" t="s">
        <v>287</v>
      </c>
      <c r="B14" s="834" t="s">
        <v>288</v>
      </c>
      <c r="C14" s="834"/>
      <c r="D14" s="834"/>
      <c r="E14" s="834"/>
      <c r="F14" s="834"/>
      <c r="G14" s="97" t="s">
        <v>31</v>
      </c>
      <c r="H14" s="308">
        <v>25.44</v>
      </c>
      <c r="I14" s="323">
        <f>VLOOKUP(A14,'[1]TAB OGU JUN18'!$A:$G,6,"falso")</f>
        <v>1.24</v>
      </c>
      <c r="J14" s="323">
        <f>VLOOKUP(A14,'[1]TAB OGU JUN18'!$A:$G,4,"falso")</f>
        <v>0.69</v>
      </c>
      <c r="K14" s="308">
        <f>H14*J14</f>
        <v>17.553599999999999</v>
      </c>
      <c r="L14" s="323">
        <f>VLOOKUP(A14,'[1]TAB OGU JUN18'!$A:$G,5,"falso")</f>
        <v>0.55000000000000004</v>
      </c>
      <c r="M14" s="308">
        <f>L14*H14</f>
        <v>13.992000000000003</v>
      </c>
      <c r="N14" s="308">
        <f>H14*I14</f>
        <v>31.5456</v>
      </c>
      <c r="O14" s="185">
        <f>(N14*1)/$N$16</f>
        <v>1</v>
      </c>
    </row>
    <row r="15" spans="1:15" ht="11.25" customHeight="1" x14ac:dyDescent="0.2">
      <c r="G15" s="52"/>
      <c r="H15" s="324"/>
      <c r="I15" s="313"/>
      <c r="J15" s="323" t="e">
        <f>VLOOKUP(A15,'[1]TAB OGU JUN18'!$A:$G,4,"falso")</f>
        <v>#N/A</v>
      </c>
      <c r="K15" s="313"/>
      <c r="L15" s="323" t="e">
        <f>VLOOKUP(A15,'[1]TAB OGU JUN18'!$A:$G,5,"falso")</f>
        <v>#N/A</v>
      </c>
      <c r="M15" s="313"/>
      <c r="N15" s="309"/>
      <c r="O15" s="185"/>
    </row>
    <row r="16" spans="1:15" ht="11.25" customHeight="1" x14ac:dyDescent="0.2">
      <c r="B16" s="130" t="s">
        <v>18</v>
      </c>
      <c r="C16" s="131"/>
      <c r="D16" s="131"/>
      <c r="E16" s="131"/>
      <c r="F16" s="131"/>
      <c r="G16" s="53"/>
      <c r="H16" s="325"/>
      <c r="I16" s="326"/>
      <c r="J16" s="323" t="e">
        <f>VLOOKUP(A16,'[1]TAB OGU JUN18'!$A:$G,4,"falso")</f>
        <v>#N/A</v>
      </c>
      <c r="K16" s="326"/>
      <c r="L16" s="323" t="e">
        <f>VLOOKUP(A16,'[1]TAB OGU JUN18'!$A:$G,5,"falso")</f>
        <v>#N/A</v>
      </c>
      <c r="M16" s="326"/>
      <c r="N16" s="308">
        <f>SUM(N14:N14)</f>
        <v>31.5456</v>
      </c>
      <c r="O16" s="185">
        <f>N16/N23</f>
        <v>0.72514619883040932</v>
      </c>
    </row>
    <row r="17" spans="1:15" ht="11.25" customHeight="1" x14ac:dyDescent="0.2">
      <c r="B17" s="130"/>
      <c r="G17" s="52"/>
      <c r="H17" s="324"/>
      <c r="I17" s="313"/>
      <c r="J17" s="323" t="e">
        <f>VLOOKUP(A17,'[1]TAB OGU JUN18'!$A:$G,4,"falso")</f>
        <v>#N/A</v>
      </c>
      <c r="K17" s="313"/>
      <c r="L17" s="323" t="e">
        <f>VLOOKUP(A17,'[1]TAB OGU JUN18'!$A:$G,5,"falso")</f>
        <v>#N/A</v>
      </c>
      <c r="M17" s="313"/>
      <c r="N17" s="308"/>
      <c r="O17" s="185"/>
    </row>
    <row r="18" spans="1:15" ht="12" customHeight="1" x14ac:dyDescent="0.2">
      <c r="A18" s="129" t="s">
        <v>779</v>
      </c>
      <c r="B18" s="88" t="s">
        <v>780</v>
      </c>
      <c r="H18" s="704"/>
      <c r="J18" s="323">
        <f>VLOOKUP(A18,'[1]TAB OGU JUN18'!$A:$G,4,"falso")</f>
        <v>0</v>
      </c>
      <c r="L18" s="323">
        <f>VLOOKUP(A18,'[1]TAB OGU JUN18'!$A:$G,5,"falso")</f>
        <v>0</v>
      </c>
      <c r="N18" s="303"/>
      <c r="O18" s="187"/>
    </row>
    <row r="19" spans="1:15" ht="12" customHeight="1" x14ac:dyDescent="0.2">
      <c r="A19" s="140" t="s">
        <v>789</v>
      </c>
      <c r="B19" s="142" t="s">
        <v>636</v>
      </c>
      <c r="C19" s="153"/>
      <c r="D19" s="153"/>
      <c r="E19" s="153"/>
      <c r="F19" s="153"/>
      <c r="G19" s="97" t="s">
        <v>31</v>
      </c>
      <c r="H19" s="308">
        <f>H14</f>
        <v>25.44</v>
      </c>
      <c r="I19" s="323">
        <f>VLOOKUP(A19,'[1]TAB OGU JUN18'!$A:$G,6,"falso")</f>
        <v>0.47</v>
      </c>
      <c r="J19" s="323">
        <f>VLOOKUP(A19,'[1]TAB OGU JUN18'!$A:$G,4,"falso")</f>
        <v>0.47</v>
      </c>
      <c r="K19" s="308">
        <f>H19*J19</f>
        <v>11.956799999999999</v>
      </c>
      <c r="L19" s="323">
        <f>VLOOKUP(A19,'[1]TAB OGU JUN18'!$A:$G,5,"falso")</f>
        <v>0</v>
      </c>
      <c r="M19" s="308"/>
      <c r="N19" s="308">
        <f>H19*I19</f>
        <v>11.956799999999999</v>
      </c>
      <c r="O19" s="185">
        <f>N19/N21</f>
        <v>1</v>
      </c>
    </row>
    <row r="20" spans="1:15" ht="12" customHeight="1" x14ac:dyDescent="0.2">
      <c r="G20" s="52"/>
      <c r="H20" s="324"/>
      <c r="I20" s="313"/>
      <c r="J20" s="323" t="e">
        <f>VLOOKUP(A20,'[1]TAB OGU JUN18'!$A:$G,4,"falso")</f>
        <v>#N/A</v>
      </c>
      <c r="K20" s="313"/>
      <c r="L20" s="323" t="e">
        <f>VLOOKUP(A20,'[1]TAB OGU JUN18'!$A:$G,5,"falso")</f>
        <v>#N/A</v>
      </c>
      <c r="M20" s="313"/>
      <c r="N20" s="309"/>
      <c r="O20" s="185"/>
    </row>
    <row r="21" spans="1:15" ht="12" customHeight="1" x14ac:dyDescent="0.2">
      <c r="B21" s="130" t="s">
        <v>18</v>
      </c>
      <c r="C21" s="131"/>
      <c r="D21" s="131"/>
      <c r="E21" s="131"/>
      <c r="F21" s="131"/>
      <c r="G21" s="53"/>
      <c r="H21" s="325"/>
      <c r="I21" s="326"/>
      <c r="J21" s="323" t="e">
        <f>VLOOKUP(A21,'[1]TAB OGU JUN18'!$A:$G,4,"falso")</f>
        <v>#N/A</v>
      </c>
      <c r="K21" s="326"/>
      <c r="L21" s="323" t="e">
        <f>VLOOKUP(A21,'[1]TAB OGU JUN18'!$A:$G,5,"falso")</f>
        <v>#N/A</v>
      </c>
      <c r="M21" s="326"/>
      <c r="N21" s="308">
        <f>SUM(N19:N19)</f>
        <v>11.956799999999999</v>
      </c>
      <c r="O21" s="185">
        <f>N21/N23</f>
        <v>0.27485380116959063</v>
      </c>
    </row>
    <row r="22" spans="1:15" ht="12" customHeight="1" x14ac:dyDescent="0.2">
      <c r="B22" s="130"/>
      <c r="G22" s="52"/>
      <c r="H22" s="324"/>
      <c r="I22" s="313"/>
      <c r="J22" s="323" t="e">
        <f>VLOOKUP(A22,'[1]TAB OGU JUN18'!$A:$G,4,"falso")</f>
        <v>#N/A</v>
      </c>
      <c r="K22" s="313"/>
      <c r="L22" s="323" t="e">
        <f>VLOOKUP(A22,'[1]TAB OGU JUN18'!$A:$G,5,"falso")</f>
        <v>#N/A</v>
      </c>
      <c r="M22" s="313"/>
      <c r="N22" s="308"/>
      <c r="O22" s="185"/>
    </row>
    <row r="23" spans="1:15" s="132" customFormat="1" ht="11.25" customHeight="1" x14ac:dyDescent="0.2">
      <c r="A23" s="157"/>
      <c r="B23" s="133" t="s">
        <v>20</v>
      </c>
      <c r="C23" s="134"/>
      <c r="D23" s="134"/>
      <c r="E23" s="134"/>
      <c r="F23" s="134"/>
      <c r="G23" s="78"/>
      <c r="H23" s="327"/>
      <c r="I23" s="328"/>
      <c r="J23" s="323" t="e">
        <f>VLOOKUP(A23,'[1]TAB OGU JUN18'!$A:$G,4,"falso")</f>
        <v>#N/A</v>
      </c>
      <c r="K23" s="328"/>
      <c r="L23" s="323" t="e">
        <f>VLOOKUP(A23,'[1]TAB OGU JUN18'!$A:$G,5,"falso")</f>
        <v>#N/A</v>
      </c>
      <c r="M23" s="328"/>
      <c r="N23" s="310">
        <f>N16+N21</f>
        <v>43.502400000000002</v>
      </c>
      <c r="O23" s="186">
        <f>N23/N202</f>
        <v>8.0358243969699513E-4</v>
      </c>
    </row>
    <row r="24" spans="1:15" ht="11.25" customHeight="1" x14ac:dyDescent="0.2">
      <c r="B24" s="130"/>
      <c r="G24" s="52"/>
      <c r="H24" s="324"/>
      <c r="I24" s="313"/>
      <c r="J24" s="323" t="e">
        <f>VLOOKUP(A24,'[1]TAB OGU JUN18'!$A:$G,4,"falso")</f>
        <v>#N/A</v>
      </c>
      <c r="K24" s="313"/>
      <c r="L24" s="323" t="e">
        <f>VLOOKUP(A24,'[1]TAB OGU JUN18'!$A:$G,5,"falso")</f>
        <v>#N/A</v>
      </c>
      <c r="M24" s="313"/>
      <c r="N24" s="308"/>
      <c r="O24" s="185"/>
    </row>
    <row r="25" spans="1:15" ht="11.25" customHeight="1" x14ac:dyDescent="0.2">
      <c r="A25" s="129" t="s">
        <v>93</v>
      </c>
      <c r="B25" s="88" t="s">
        <v>96</v>
      </c>
      <c r="H25" s="329"/>
      <c r="I25" s="311"/>
      <c r="J25" s="323">
        <f>VLOOKUP(A25,'[1]TAB OGU JUN18'!$A:$G,4,"falso")</f>
        <v>0</v>
      </c>
      <c r="K25" s="311"/>
      <c r="L25" s="323">
        <f>VLOOKUP(A25,'[1]TAB OGU JUN18'!$A:$G,5,"falso")</f>
        <v>0</v>
      </c>
      <c r="M25" s="311"/>
      <c r="N25" s="313"/>
      <c r="O25" s="187"/>
    </row>
    <row r="26" spans="1:15" ht="11.25" customHeight="1" x14ac:dyDescent="0.2">
      <c r="A26" s="129" t="s">
        <v>94</v>
      </c>
      <c r="B26" s="88" t="s">
        <v>97</v>
      </c>
      <c r="H26" s="329"/>
      <c r="I26" s="311"/>
      <c r="J26" s="323">
        <f>VLOOKUP(A26,'[1]TAB OGU JUN18'!$A:$G,4,"falso")</f>
        <v>0</v>
      </c>
      <c r="K26" s="311"/>
      <c r="L26" s="323">
        <f>VLOOKUP(A26,'[1]TAB OGU JUN18'!$A:$G,5,"falso")</f>
        <v>0</v>
      </c>
      <c r="M26" s="311"/>
      <c r="N26" s="313"/>
      <c r="O26" s="187"/>
    </row>
    <row r="27" spans="1:15" ht="11.25" customHeight="1" x14ac:dyDescent="0.2">
      <c r="A27" s="129" t="s">
        <v>95</v>
      </c>
      <c r="B27" s="88" t="s">
        <v>228</v>
      </c>
      <c r="G27" s="97" t="s">
        <v>32</v>
      </c>
      <c r="H27" s="308">
        <v>7.75</v>
      </c>
      <c r="I27" s="323">
        <f>VLOOKUP(A27,'[1]TAB OGU JUN18'!$A:$G,6,"falso")</f>
        <v>32.9</v>
      </c>
      <c r="J27" s="323">
        <f>VLOOKUP(A27,'[1]TAB OGU JUN18'!$A:$G,4,"falso")</f>
        <v>32.9</v>
      </c>
      <c r="K27" s="308">
        <f>H27*J27</f>
        <v>254.97499999999999</v>
      </c>
      <c r="L27" s="323">
        <f>VLOOKUP(A27,'[1]TAB OGU JUN18'!$A:$G,5,"falso")</f>
        <v>0</v>
      </c>
      <c r="M27" s="308"/>
      <c r="N27" s="308">
        <f>H27*I27</f>
        <v>254.97499999999999</v>
      </c>
      <c r="O27" s="185">
        <f>N27/N29</f>
        <v>1</v>
      </c>
    </row>
    <row r="28" spans="1:15" ht="11.25" customHeight="1" x14ac:dyDescent="0.2">
      <c r="G28" s="52"/>
      <c r="H28" s="324"/>
      <c r="I28" s="313"/>
      <c r="J28" s="323" t="e">
        <f>VLOOKUP(A28,'[1]TAB OGU JUN18'!$A:$G,4,"falso")</f>
        <v>#N/A</v>
      </c>
      <c r="K28" s="313"/>
      <c r="L28" s="323" t="e">
        <f>VLOOKUP(A28,'[1]TAB OGU JUN18'!$A:$G,5,"falso")</f>
        <v>#N/A</v>
      </c>
      <c r="M28" s="313"/>
      <c r="N28" s="309"/>
      <c r="O28" s="185"/>
    </row>
    <row r="29" spans="1:15" ht="11.25" customHeight="1" x14ac:dyDescent="0.2">
      <c r="B29" s="130" t="s">
        <v>18</v>
      </c>
      <c r="C29" s="131"/>
      <c r="D29" s="131"/>
      <c r="E29" s="131"/>
      <c r="F29" s="131"/>
      <c r="G29" s="53"/>
      <c r="H29" s="325"/>
      <c r="I29" s="326"/>
      <c r="J29" s="323" t="e">
        <f>VLOOKUP(A29,'[1]TAB OGU JUN18'!$A:$G,4,"falso")</f>
        <v>#N/A</v>
      </c>
      <c r="K29" s="326"/>
      <c r="L29" s="323" t="e">
        <f>VLOOKUP(A29,'[1]TAB OGU JUN18'!$A:$G,5,"falso")</f>
        <v>#N/A</v>
      </c>
      <c r="M29" s="326"/>
      <c r="N29" s="308">
        <f>SUM(N27:N27)</f>
        <v>254.97499999999999</v>
      </c>
      <c r="O29" s="185">
        <f>N29/N51</f>
        <v>0.59726648924644732</v>
      </c>
    </row>
    <row r="30" spans="1:15" ht="11.25" customHeight="1" x14ac:dyDescent="0.2">
      <c r="B30" s="130"/>
      <c r="G30" s="52"/>
      <c r="H30" s="324"/>
      <c r="I30" s="313"/>
      <c r="J30" s="323" t="e">
        <f>VLOOKUP(A30,'[1]TAB OGU JUN18'!$A:$G,4,"falso")</f>
        <v>#N/A</v>
      </c>
      <c r="K30" s="313"/>
      <c r="L30" s="323" t="e">
        <f>VLOOKUP(A30,'[1]TAB OGU JUN18'!$A:$G,5,"falso")</f>
        <v>#N/A</v>
      </c>
      <c r="M30" s="313"/>
      <c r="N30" s="308"/>
      <c r="O30" s="185"/>
    </row>
    <row r="31" spans="1:15" ht="11.25" customHeight="1" x14ac:dyDescent="0.2">
      <c r="A31" s="98" t="s">
        <v>101</v>
      </c>
      <c r="B31" s="88" t="s">
        <v>21</v>
      </c>
      <c r="G31" s="97"/>
      <c r="H31" s="308"/>
      <c r="I31" s="308"/>
      <c r="J31" s="323">
        <f>VLOOKUP(A31,'[1]TAB OGU JUN18'!$A:$G,4,"falso")</f>
        <v>0</v>
      </c>
      <c r="K31" s="308"/>
      <c r="L31" s="323">
        <f>VLOOKUP(A31,'[1]TAB OGU JUN18'!$A:$G,5,"falso")</f>
        <v>0</v>
      </c>
      <c r="M31" s="308"/>
      <c r="N31" s="308"/>
      <c r="O31" s="185"/>
    </row>
    <row r="32" spans="1:15" ht="11.25" customHeight="1" x14ac:dyDescent="0.2">
      <c r="A32" s="98" t="s">
        <v>102</v>
      </c>
      <c r="B32" s="88" t="s">
        <v>104</v>
      </c>
      <c r="G32" s="97" t="s">
        <v>32</v>
      </c>
      <c r="H32" s="308">
        <v>5.8131000000000004</v>
      </c>
      <c r="I32" s="323">
        <f>VLOOKUP(A32,'[1]TAB OGU JUN18'!$A:$G,6,"falso")</f>
        <v>7.4</v>
      </c>
      <c r="J32" s="323">
        <f>VLOOKUP(A32,'[1]TAB OGU JUN18'!$A:$G,4,"falso")</f>
        <v>7.4</v>
      </c>
      <c r="K32" s="308">
        <f>H32*J32</f>
        <v>43.016940000000005</v>
      </c>
      <c r="L32" s="323">
        <f>VLOOKUP(A32,'[1]TAB OGU JUN18'!$A:$G,5,"falso")</f>
        <v>0</v>
      </c>
      <c r="M32" s="308"/>
      <c r="N32" s="308">
        <f>H32*I32</f>
        <v>43.016940000000005</v>
      </c>
      <c r="O32" s="185">
        <f>N32/N34</f>
        <v>1</v>
      </c>
    </row>
    <row r="33" spans="1:15" ht="11.25" customHeight="1" x14ac:dyDescent="0.2">
      <c r="B33" s="130"/>
      <c r="G33" s="52"/>
      <c r="H33" s="324"/>
      <c r="I33" s="313"/>
      <c r="J33" s="323" t="e">
        <f>VLOOKUP(A33,'[1]TAB OGU JUN18'!$A:$G,4,"falso")</f>
        <v>#N/A</v>
      </c>
      <c r="K33" s="313"/>
      <c r="L33" s="323" t="e">
        <f>VLOOKUP(A33,'[1]TAB OGU JUN18'!$A:$G,5,"falso")</f>
        <v>#N/A</v>
      </c>
      <c r="M33" s="313"/>
      <c r="N33" s="308"/>
      <c r="O33" s="185"/>
    </row>
    <row r="34" spans="1:15" ht="11.25" customHeight="1" x14ac:dyDescent="0.2">
      <c r="B34" s="130" t="s">
        <v>18</v>
      </c>
      <c r="C34" s="131"/>
      <c r="D34" s="131"/>
      <c r="E34" s="131"/>
      <c r="F34" s="131"/>
      <c r="G34" s="53"/>
      <c r="H34" s="325"/>
      <c r="I34" s="326"/>
      <c r="J34" s="323" t="e">
        <f>VLOOKUP(A34,'[1]TAB OGU JUN18'!$A:$G,4,"falso")</f>
        <v>#N/A</v>
      </c>
      <c r="K34" s="326"/>
      <c r="L34" s="323" t="e">
        <f>VLOOKUP(A34,'[1]TAB OGU JUN18'!$A:$G,5,"falso")</f>
        <v>#N/A</v>
      </c>
      <c r="M34" s="326"/>
      <c r="N34" s="308">
        <f>N32</f>
        <v>43.016940000000005</v>
      </c>
      <c r="O34" s="185">
        <f>N34/N51</f>
        <v>0.10076508179988262</v>
      </c>
    </row>
    <row r="35" spans="1:15" ht="11.25" customHeight="1" x14ac:dyDescent="0.2">
      <c r="B35" s="130"/>
      <c r="G35" s="52"/>
      <c r="H35" s="324"/>
      <c r="I35" s="313"/>
      <c r="J35" s="323" t="e">
        <f>VLOOKUP(A35,'[1]TAB OGU JUN18'!$A:$G,4,"falso")</f>
        <v>#N/A</v>
      </c>
      <c r="K35" s="313"/>
      <c r="L35" s="323" t="e">
        <f>VLOOKUP(A35,'[1]TAB OGU JUN18'!$A:$G,5,"falso")</f>
        <v>#N/A</v>
      </c>
      <c r="M35" s="313"/>
      <c r="N35" s="308"/>
      <c r="O35" s="185"/>
    </row>
    <row r="36" spans="1:15" ht="11.25" customHeight="1" x14ac:dyDescent="0.2">
      <c r="A36" s="140" t="s">
        <v>106</v>
      </c>
      <c r="B36" s="834" t="s">
        <v>109</v>
      </c>
      <c r="C36" s="834"/>
      <c r="D36" s="834"/>
      <c r="E36" s="834"/>
      <c r="F36" s="834"/>
      <c r="G36" s="97"/>
      <c r="H36" s="308"/>
      <c r="I36" s="308"/>
      <c r="J36" s="323">
        <f>VLOOKUP(A36,'[1]TAB OGU JUN18'!$A:$G,4,"falso")</f>
        <v>0</v>
      </c>
      <c r="K36" s="308"/>
      <c r="L36" s="323">
        <f>VLOOKUP(A36,'[1]TAB OGU JUN18'!$A:$G,5,"falso")</f>
        <v>0</v>
      </c>
      <c r="M36" s="308"/>
      <c r="N36" s="308"/>
      <c r="O36" s="185"/>
    </row>
    <row r="37" spans="1:15" ht="11.25" customHeight="1" x14ac:dyDescent="0.2">
      <c r="A37" s="140" t="s">
        <v>107</v>
      </c>
      <c r="B37" s="834" t="s">
        <v>104</v>
      </c>
      <c r="C37" s="834"/>
      <c r="D37" s="834"/>
      <c r="E37" s="834"/>
      <c r="F37" s="834"/>
      <c r="G37" s="97" t="s">
        <v>32</v>
      </c>
      <c r="H37" s="308">
        <f>H32</f>
        <v>5.8131000000000004</v>
      </c>
      <c r="I37" s="323">
        <f>VLOOKUP(A37,'[1]TAB OGU JUN18'!$A:$G,6,"falso")</f>
        <v>20.56</v>
      </c>
      <c r="J37" s="323">
        <f>VLOOKUP(A37,'[1]TAB OGU JUN18'!$A:$G,4,"falso")</f>
        <v>20.56</v>
      </c>
      <c r="K37" s="308">
        <f>H37*J37</f>
        <v>119.517336</v>
      </c>
      <c r="L37" s="323">
        <f>VLOOKUP(A37,'[1]TAB OGU JUN18'!$A:$G,5,"falso")</f>
        <v>0</v>
      </c>
      <c r="M37" s="308"/>
      <c r="N37" s="308">
        <f>H37*I37</f>
        <v>119.517336</v>
      </c>
      <c r="O37" s="185">
        <f>N37/N39</f>
        <v>1</v>
      </c>
    </row>
    <row r="38" spans="1:15" ht="11.25" customHeight="1" x14ac:dyDescent="0.2">
      <c r="B38" s="130"/>
      <c r="G38" s="52"/>
      <c r="H38" s="324"/>
      <c r="I38" s="313"/>
      <c r="J38" s="323" t="e">
        <f>VLOOKUP(A38,'[1]TAB OGU JUN18'!$A:$G,4,"falso")</f>
        <v>#N/A</v>
      </c>
      <c r="K38" s="313"/>
      <c r="L38" s="323" t="e">
        <f>VLOOKUP(A38,'[1]TAB OGU JUN18'!$A:$G,5,"falso")</f>
        <v>#N/A</v>
      </c>
      <c r="M38" s="313"/>
      <c r="N38" s="308"/>
      <c r="O38" s="185"/>
    </row>
    <row r="39" spans="1:15" ht="11.25" customHeight="1" x14ac:dyDescent="0.2">
      <c r="B39" s="130" t="s">
        <v>18</v>
      </c>
      <c r="C39" s="131"/>
      <c r="D39" s="131"/>
      <c r="E39" s="131"/>
      <c r="F39" s="131"/>
      <c r="G39" s="53"/>
      <c r="H39" s="325"/>
      <c r="I39" s="326"/>
      <c r="J39" s="323" t="e">
        <f>VLOOKUP(A39,'[1]TAB OGU JUN18'!$A:$G,4,"falso")</f>
        <v>#N/A</v>
      </c>
      <c r="K39" s="326"/>
      <c r="L39" s="323" t="e">
        <f>VLOOKUP(A39,'[1]TAB OGU JUN18'!$A:$G,5,"falso")</f>
        <v>#N/A</v>
      </c>
      <c r="M39" s="326"/>
      <c r="N39" s="308">
        <f>N37</f>
        <v>119.517336</v>
      </c>
      <c r="O39" s="185">
        <f>N39/N51</f>
        <v>0.27996352456832252</v>
      </c>
    </row>
    <row r="40" spans="1:15" ht="11.25" customHeight="1" x14ac:dyDescent="0.2">
      <c r="B40" s="130"/>
      <c r="G40" s="52"/>
      <c r="H40" s="324"/>
      <c r="I40" s="313"/>
      <c r="J40" s="323" t="e">
        <f>VLOOKUP(A40,'[1]TAB OGU JUN18'!$A:$G,4,"falso")</f>
        <v>#N/A</v>
      </c>
      <c r="K40" s="313"/>
      <c r="L40" s="323" t="e">
        <f>VLOOKUP(A40,'[1]TAB OGU JUN18'!$A:$G,5,"falso")</f>
        <v>#N/A</v>
      </c>
      <c r="M40" s="313"/>
      <c r="N40" s="308"/>
      <c r="O40" s="185"/>
    </row>
    <row r="41" spans="1:15" ht="11.25" customHeight="1" x14ac:dyDescent="0.2">
      <c r="A41" s="98" t="s">
        <v>110</v>
      </c>
      <c r="B41" s="88" t="s">
        <v>112</v>
      </c>
      <c r="G41" s="52"/>
      <c r="H41" s="324"/>
      <c r="I41" s="313"/>
      <c r="J41" s="323">
        <f>VLOOKUP(A41,'[1]TAB OGU JUN18'!$A:$G,4,"falso")</f>
        <v>0</v>
      </c>
      <c r="K41" s="313"/>
      <c r="L41" s="323">
        <f>VLOOKUP(A41,'[1]TAB OGU JUN18'!$A:$G,5,"falso")</f>
        <v>0</v>
      </c>
      <c r="M41" s="313"/>
      <c r="N41" s="313"/>
      <c r="O41" s="187"/>
    </row>
    <row r="42" spans="1:15" ht="11.25" customHeight="1" x14ac:dyDescent="0.2">
      <c r="A42" s="98" t="s">
        <v>111</v>
      </c>
      <c r="B42" s="88" t="s">
        <v>113</v>
      </c>
      <c r="G42" s="97" t="s">
        <v>32</v>
      </c>
      <c r="H42" s="308">
        <f>ABS(H32-H27)</f>
        <v>1.9368999999999996</v>
      </c>
      <c r="I42" s="323">
        <f>VLOOKUP(A42,'[1]TAB OGU JUN18'!$A:$G,6,"falso")</f>
        <v>1.85</v>
      </c>
      <c r="J42" s="323">
        <f>VLOOKUP(A42,'[1]TAB OGU JUN18'!$A:$G,4,"falso")</f>
        <v>1.85</v>
      </c>
      <c r="K42" s="308">
        <f>H42*J42</f>
        <v>3.5832649999999995</v>
      </c>
      <c r="L42" s="323">
        <f>VLOOKUP(A42,'[1]TAB OGU JUN18'!$A:$G,5,"falso")</f>
        <v>0</v>
      </c>
      <c r="M42" s="308"/>
      <c r="N42" s="308">
        <f>H42*I42</f>
        <v>3.5832649999999995</v>
      </c>
      <c r="O42" s="185">
        <f>N42/N44</f>
        <v>1</v>
      </c>
    </row>
    <row r="43" spans="1:15" ht="11.25" customHeight="1" x14ac:dyDescent="0.2">
      <c r="G43" s="52"/>
      <c r="H43" s="324"/>
      <c r="I43" s="313"/>
      <c r="J43" s="323" t="e">
        <f>VLOOKUP(A43,'[1]TAB OGU JUN18'!$A:$G,4,"falso")</f>
        <v>#N/A</v>
      </c>
      <c r="K43" s="313"/>
      <c r="L43" s="323" t="e">
        <f>VLOOKUP(A43,'[1]TAB OGU JUN18'!$A:$G,5,"falso")</f>
        <v>#N/A</v>
      </c>
      <c r="M43" s="313"/>
      <c r="N43" s="313"/>
      <c r="O43" s="187"/>
    </row>
    <row r="44" spans="1:15" ht="11.25" customHeight="1" x14ac:dyDescent="0.2">
      <c r="B44" s="130" t="s">
        <v>18</v>
      </c>
      <c r="C44" s="131"/>
      <c r="D44" s="131"/>
      <c r="E44" s="131"/>
      <c r="F44" s="131"/>
      <c r="G44" s="53"/>
      <c r="H44" s="325"/>
      <c r="I44" s="326"/>
      <c r="J44" s="323" t="e">
        <f>VLOOKUP(A44,'[1]TAB OGU JUN18'!$A:$G,4,"falso")</f>
        <v>#N/A</v>
      </c>
      <c r="K44" s="326"/>
      <c r="L44" s="323" t="e">
        <f>VLOOKUP(A44,'[1]TAB OGU JUN18'!$A:$G,5,"falso")</f>
        <v>#N/A</v>
      </c>
      <c r="M44" s="326"/>
      <c r="N44" s="308">
        <f>N42</f>
        <v>3.5832649999999995</v>
      </c>
      <c r="O44" s="185">
        <f>N44/N51</f>
        <v>8.3936233222459879E-3</v>
      </c>
    </row>
    <row r="45" spans="1:15" ht="11.25" customHeight="1" x14ac:dyDescent="0.2">
      <c r="B45" s="130"/>
      <c r="G45" s="52"/>
      <c r="H45" s="324"/>
      <c r="I45" s="313"/>
      <c r="J45" s="323" t="e">
        <f>VLOOKUP(A45,'[1]TAB OGU JUN18'!$A:$G,4,"falso")</f>
        <v>#N/A</v>
      </c>
      <c r="K45" s="313"/>
      <c r="L45" s="323" t="e">
        <f>VLOOKUP(A45,'[1]TAB OGU JUN18'!$A:$G,5,"falso")</f>
        <v>#N/A</v>
      </c>
      <c r="M45" s="313"/>
      <c r="N45" s="308"/>
      <c r="O45" s="185"/>
    </row>
    <row r="46" spans="1:15" ht="11.25" customHeight="1" x14ac:dyDescent="0.2">
      <c r="A46" s="98" t="s">
        <v>114</v>
      </c>
      <c r="B46" s="88" t="s">
        <v>737</v>
      </c>
      <c r="G46" s="52"/>
      <c r="H46" s="324"/>
      <c r="I46" s="313"/>
      <c r="J46" s="323">
        <f>VLOOKUP(A46,'[1]TAB OGU JUN18'!$A:$G,4,"falso")</f>
        <v>0</v>
      </c>
      <c r="K46" s="313"/>
      <c r="L46" s="323">
        <f>VLOOKUP(A46,'[1]TAB OGU JUN18'!$A:$G,5,"falso")</f>
        <v>0</v>
      </c>
      <c r="M46" s="313"/>
      <c r="N46" s="313"/>
      <c r="O46" s="187"/>
    </row>
    <row r="47" spans="1:15" ht="11.25" customHeight="1" x14ac:dyDescent="0.2">
      <c r="A47" s="98" t="s">
        <v>115</v>
      </c>
      <c r="B47" s="88" t="s">
        <v>116</v>
      </c>
      <c r="G47" s="97" t="s">
        <v>180</v>
      </c>
      <c r="H47" s="308">
        <f>H42*3</f>
        <v>5.8106999999999989</v>
      </c>
      <c r="I47" s="323">
        <f>VLOOKUP(A47,'[1]TAB OGU JUN18'!$A:$G,6,"falso")</f>
        <v>1</v>
      </c>
      <c r="J47" s="323">
        <f>VLOOKUP(A47,'[1]TAB OGU JUN18'!$A:$G,4,"falso")</f>
        <v>1</v>
      </c>
      <c r="K47" s="308">
        <f>H47*J47</f>
        <v>5.8106999999999989</v>
      </c>
      <c r="L47" s="323">
        <f>VLOOKUP(A47,'[1]TAB OGU JUN18'!$A:$G,5,"falso")</f>
        <v>0</v>
      </c>
      <c r="M47" s="308"/>
      <c r="N47" s="308">
        <f>H47*I47</f>
        <v>5.8106999999999989</v>
      </c>
      <c r="O47" s="185">
        <f>N47/N49</f>
        <v>1</v>
      </c>
    </row>
    <row r="48" spans="1:15" ht="11.25" customHeight="1" x14ac:dyDescent="0.2">
      <c r="G48" s="52"/>
      <c r="H48" s="324"/>
      <c r="I48" s="313"/>
      <c r="J48" s="323" t="e">
        <f>VLOOKUP(A48,'[1]TAB OGU JUN18'!$A:$G,4,"falso")</f>
        <v>#N/A</v>
      </c>
      <c r="K48" s="313"/>
      <c r="L48" s="323" t="e">
        <f>VLOOKUP(A48,'[1]TAB OGU JUN18'!$A:$G,5,"falso")</f>
        <v>#N/A</v>
      </c>
      <c r="M48" s="313"/>
      <c r="N48" s="313"/>
      <c r="O48" s="187"/>
    </row>
    <row r="49" spans="1:15" ht="11.25" customHeight="1" x14ac:dyDescent="0.2">
      <c r="B49" s="130" t="s">
        <v>18</v>
      </c>
      <c r="C49" s="131"/>
      <c r="D49" s="131"/>
      <c r="E49" s="131"/>
      <c r="F49" s="131"/>
      <c r="G49" s="53"/>
      <c r="H49" s="325"/>
      <c r="I49" s="326"/>
      <c r="J49" s="323" t="e">
        <f>VLOOKUP(A49,'[1]TAB OGU JUN18'!$A:$G,4,"falso")</f>
        <v>#N/A</v>
      </c>
      <c r="K49" s="326"/>
      <c r="L49" s="323" t="e">
        <f>VLOOKUP(A49,'[1]TAB OGU JUN18'!$A:$G,5,"falso")</f>
        <v>#N/A</v>
      </c>
      <c r="M49" s="326"/>
      <c r="N49" s="308">
        <f>N47</f>
        <v>5.8106999999999989</v>
      </c>
      <c r="O49" s="185">
        <f>N49/N51</f>
        <v>1.3611281063101601E-2</v>
      </c>
    </row>
    <row r="50" spans="1:15" ht="11.25" customHeight="1" x14ac:dyDescent="0.2">
      <c r="B50" s="130"/>
      <c r="G50" s="52"/>
      <c r="H50" s="324"/>
      <c r="I50" s="313"/>
      <c r="J50" s="323" t="e">
        <f>VLOOKUP(A50,'[1]TAB OGU JUN18'!$A:$G,4,"falso")</f>
        <v>#N/A</v>
      </c>
      <c r="K50" s="313"/>
      <c r="L50" s="323" t="e">
        <f>VLOOKUP(A50,'[1]TAB OGU JUN18'!$A:$G,5,"falso")</f>
        <v>#N/A</v>
      </c>
      <c r="M50" s="313"/>
      <c r="N50" s="308"/>
      <c r="O50" s="185"/>
    </row>
    <row r="51" spans="1:15" s="132" customFormat="1" ht="11.25" customHeight="1" x14ac:dyDescent="0.2">
      <c r="A51" s="157"/>
      <c r="B51" s="133" t="s">
        <v>20</v>
      </c>
      <c r="C51" s="134"/>
      <c r="D51" s="134"/>
      <c r="E51" s="134"/>
      <c r="F51" s="134"/>
      <c r="G51" s="78"/>
      <c r="H51" s="327"/>
      <c r="I51" s="328"/>
      <c r="J51" s="323" t="e">
        <f>VLOOKUP(A51,'[1]TAB OGU JUN18'!$A:$G,4,"falso")</f>
        <v>#N/A</v>
      </c>
      <c r="K51" s="328"/>
      <c r="L51" s="323" t="e">
        <f>VLOOKUP(A51,'[1]TAB OGU JUN18'!$A:$G,5,"falso")</f>
        <v>#N/A</v>
      </c>
      <c r="M51" s="328"/>
      <c r="N51" s="310">
        <f>N49+N44+N34+N29+N39</f>
        <v>426.90324099999998</v>
      </c>
      <c r="O51" s="186">
        <f>N51/N202</f>
        <v>7.885816596724186E-3</v>
      </c>
    </row>
    <row r="52" spans="1:15" ht="11.25" customHeight="1" x14ac:dyDescent="0.2">
      <c r="B52" s="130"/>
      <c r="G52" s="52"/>
      <c r="H52" s="324"/>
      <c r="I52" s="313"/>
      <c r="J52" s="323" t="e">
        <f>VLOOKUP(A52,'[1]TAB OGU JUN18'!$A:$G,4,"falso")</f>
        <v>#N/A</v>
      </c>
      <c r="K52" s="313"/>
      <c r="L52" s="323" t="e">
        <f>VLOOKUP(A52,'[1]TAB OGU JUN18'!$A:$G,5,"falso")</f>
        <v>#N/A</v>
      </c>
      <c r="M52" s="313"/>
      <c r="N52" s="308"/>
      <c r="O52" s="185"/>
    </row>
    <row r="53" spans="1:15" ht="11.25" customHeight="1" x14ac:dyDescent="0.2">
      <c r="A53" s="140" t="s">
        <v>308</v>
      </c>
      <c r="B53" s="834" t="s">
        <v>309</v>
      </c>
      <c r="C53" s="834"/>
      <c r="D53" s="834"/>
      <c r="E53" s="834"/>
      <c r="F53" s="834"/>
      <c r="G53" s="137"/>
      <c r="H53" s="330"/>
      <c r="I53" s="330"/>
      <c r="J53" s="323">
        <f>VLOOKUP(A53,'[1]TAB OGU JUN18'!$A:$G,4,"falso")</f>
        <v>0</v>
      </c>
      <c r="K53" s="331"/>
      <c r="L53" s="323">
        <f>VLOOKUP(A53,'[1]TAB OGU JUN18'!$A:$G,5,"falso")</f>
        <v>0</v>
      </c>
      <c r="M53" s="311"/>
      <c r="N53" s="313"/>
      <c r="O53" s="219"/>
    </row>
    <row r="54" spans="1:15" ht="11.25" customHeight="1" x14ac:dyDescent="0.2">
      <c r="A54" s="140" t="s">
        <v>310</v>
      </c>
      <c r="B54" s="834" t="s">
        <v>311</v>
      </c>
      <c r="C54" s="834"/>
      <c r="D54" s="834"/>
      <c r="E54" s="834"/>
      <c r="F54" s="834"/>
      <c r="G54" s="137"/>
      <c r="H54" s="332"/>
      <c r="I54" s="333"/>
      <c r="J54" s="323">
        <f>VLOOKUP(A54,'[1]TAB OGU JUN18'!$A:$G,4,"falso")</f>
        <v>0</v>
      </c>
      <c r="K54" s="313"/>
      <c r="L54" s="323">
        <f>VLOOKUP(A54,'[1]TAB OGU JUN18'!$A:$G,5,"falso")</f>
        <v>0</v>
      </c>
      <c r="M54" s="313"/>
      <c r="N54" s="333"/>
      <c r="O54" s="299"/>
    </row>
    <row r="55" spans="1:15" ht="11.25" customHeight="1" x14ac:dyDescent="0.2">
      <c r="A55" s="140" t="s">
        <v>312</v>
      </c>
      <c r="B55" s="200" t="s">
        <v>313</v>
      </c>
      <c r="C55" s="142"/>
      <c r="D55" s="142"/>
      <c r="E55" s="142"/>
      <c r="F55" s="142"/>
      <c r="G55" s="139" t="s">
        <v>17</v>
      </c>
      <c r="H55" s="293">
        <f>H60*4</f>
        <v>36</v>
      </c>
      <c r="I55" s="323">
        <f>VLOOKUP(A55,'[1]TAB OGU JUN18'!$A:$G,6,"falso")</f>
        <v>51.95</v>
      </c>
      <c r="J55" s="323">
        <f>VLOOKUP(A55,'[1]TAB OGU JUN18'!$A:$G,4,"falso")</f>
        <v>51.95</v>
      </c>
      <c r="K55" s="308">
        <f>H55*J55</f>
        <v>1870.2</v>
      </c>
      <c r="L55" s="323">
        <f>VLOOKUP(A55,'[1]TAB OGU JUN18'!$A:$G,5,"falso")</f>
        <v>0</v>
      </c>
      <c r="M55" s="308"/>
      <c r="N55" s="308">
        <f>H55*I55</f>
        <v>1870.2</v>
      </c>
      <c r="O55" s="192">
        <f>N55/N57</f>
        <v>1</v>
      </c>
    </row>
    <row r="56" spans="1:15" ht="11.25" customHeight="1" x14ac:dyDescent="0.2">
      <c r="A56" s="140"/>
      <c r="B56" s="138"/>
      <c r="C56" s="138"/>
      <c r="D56" s="138"/>
      <c r="E56" s="138"/>
      <c r="F56" s="138"/>
      <c r="G56" s="139"/>
      <c r="H56" s="293"/>
      <c r="I56" s="189"/>
      <c r="J56" s="323" t="e">
        <f>VLOOKUP(A56,'[1]TAB OGU JUN18'!$A:$G,4,"falso")</f>
        <v>#N/A</v>
      </c>
      <c r="K56" s="308"/>
      <c r="L56" s="323" t="e">
        <f>VLOOKUP(A56,'[1]TAB OGU JUN18'!$A:$G,5,"falso")</f>
        <v>#N/A</v>
      </c>
      <c r="M56" s="308"/>
      <c r="N56" s="189"/>
      <c r="O56" s="300"/>
    </row>
    <row r="57" spans="1:15" ht="11.25" customHeight="1" x14ac:dyDescent="0.2">
      <c r="A57" s="202"/>
      <c r="B57" s="155" t="s">
        <v>18</v>
      </c>
      <c r="C57" s="160"/>
      <c r="D57" s="160"/>
      <c r="E57" s="160"/>
      <c r="F57" s="144"/>
      <c r="G57" s="161"/>
      <c r="H57" s="334"/>
      <c r="I57" s="334"/>
      <c r="J57" s="323" t="e">
        <f>VLOOKUP(A57,'[1]TAB OGU JUN18'!$A:$G,4,"falso")</f>
        <v>#N/A</v>
      </c>
      <c r="K57" s="334"/>
      <c r="L57" s="323" t="e">
        <f>VLOOKUP(A57,'[1]TAB OGU JUN18'!$A:$G,5,"falso")</f>
        <v>#N/A</v>
      </c>
      <c r="M57" s="334"/>
      <c r="N57" s="315">
        <f>N55</f>
        <v>1870.2</v>
      </c>
      <c r="O57" s="297">
        <f>N57/$N$105</f>
        <v>0.11285031598713009</v>
      </c>
    </row>
    <row r="58" spans="1:15" ht="11.25" customHeight="1" x14ac:dyDescent="0.2">
      <c r="A58" s="202"/>
      <c r="B58" s="138"/>
      <c r="C58" s="138"/>
      <c r="D58" s="138"/>
      <c r="E58" s="138"/>
      <c r="F58" s="138"/>
      <c r="G58" s="137"/>
      <c r="H58" s="332"/>
      <c r="I58" s="333"/>
      <c r="J58" s="323" t="e">
        <f>VLOOKUP(A58,'[1]TAB OGU JUN18'!$A:$G,4,"falso")</f>
        <v>#N/A</v>
      </c>
      <c r="K58" s="313"/>
      <c r="L58" s="323" t="e">
        <f>VLOOKUP(A58,'[1]TAB OGU JUN18'!$A:$G,5,"falso")</f>
        <v>#N/A</v>
      </c>
      <c r="M58" s="313"/>
      <c r="N58" s="189"/>
      <c r="O58" s="300"/>
    </row>
    <row r="59" spans="1:15" ht="11.25" customHeight="1" x14ac:dyDescent="0.2">
      <c r="A59" s="140" t="s">
        <v>626</v>
      </c>
      <c r="B59" s="142" t="s">
        <v>627</v>
      </c>
      <c r="C59" s="142"/>
      <c r="D59" s="142"/>
      <c r="E59" s="142"/>
      <c r="F59" s="142"/>
      <c r="G59" s="137"/>
      <c r="H59" s="332"/>
      <c r="I59" s="333"/>
      <c r="J59" s="323">
        <f>VLOOKUP(A59,'[1]TAB OGU JUN18'!$A:$G,4,"falso")</f>
        <v>0</v>
      </c>
      <c r="K59" s="313"/>
      <c r="L59" s="323">
        <f>VLOOKUP(A59,'[1]TAB OGU JUN18'!$A:$G,5,"falso")</f>
        <v>0</v>
      </c>
      <c r="M59" s="313"/>
      <c r="N59" s="333"/>
      <c r="O59" s="299"/>
    </row>
    <row r="60" spans="1:15" ht="11.25" customHeight="1" x14ac:dyDescent="0.2">
      <c r="A60" s="140" t="s">
        <v>628</v>
      </c>
      <c r="B60" s="142" t="s">
        <v>629</v>
      </c>
      <c r="C60" s="142"/>
      <c r="D60" s="142"/>
      <c r="E60" s="142"/>
      <c r="F60" s="142"/>
      <c r="G60" s="139" t="s">
        <v>24</v>
      </c>
      <c r="H60" s="293">
        <v>9</v>
      </c>
      <c r="I60" s="323">
        <f>VLOOKUP(A60,'[1]TAB OGU JUN18'!$A:$G,6,"falso")</f>
        <v>59.33</v>
      </c>
      <c r="J60" s="323">
        <f>VLOOKUP(A60,'[1]TAB OGU JUN18'!$A:$G,4,"falso")</f>
        <v>59.33</v>
      </c>
      <c r="K60" s="308">
        <f>H60*J60</f>
        <v>533.97</v>
      </c>
      <c r="L60" s="323">
        <f>VLOOKUP(A60,'[1]TAB OGU JUN18'!$A:$G,5,"falso")</f>
        <v>0</v>
      </c>
      <c r="M60" s="308"/>
      <c r="N60" s="308">
        <f>H60*I60</f>
        <v>533.97</v>
      </c>
      <c r="O60" s="192">
        <f>N60/N62</f>
        <v>1</v>
      </c>
    </row>
    <row r="61" spans="1:15" ht="11.25" customHeight="1" x14ac:dyDescent="0.2">
      <c r="A61" s="140"/>
      <c r="B61" s="138"/>
      <c r="C61" s="138"/>
      <c r="D61" s="138"/>
      <c r="E61" s="138"/>
      <c r="F61" s="138"/>
      <c r="G61" s="139"/>
      <c r="H61" s="293"/>
      <c r="I61" s="189"/>
      <c r="J61" s="323" t="e">
        <f>VLOOKUP(A61,'[1]TAB OGU JUN18'!$A:$G,4,"falso")</f>
        <v>#N/A</v>
      </c>
      <c r="K61" s="308"/>
      <c r="L61" s="323" t="e">
        <f>VLOOKUP(A61,'[1]TAB OGU JUN18'!$A:$G,5,"falso")</f>
        <v>#N/A</v>
      </c>
      <c r="M61" s="308"/>
      <c r="N61" s="189"/>
      <c r="O61" s="300"/>
    </row>
    <row r="62" spans="1:15" ht="11.25" customHeight="1" x14ac:dyDescent="0.2">
      <c r="A62" s="202"/>
      <c r="B62" s="155" t="s">
        <v>18</v>
      </c>
      <c r="C62" s="160"/>
      <c r="D62" s="160"/>
      <c r="E62" s="160"/>
      <c r="F62" s="144"/>
      <c r="G62" s="161"/>
      <c r="H62" s="334"/>
      <c r="I62" s="334"/>
      <c r="J62" s="323" t="e">
        <f>VLOOKUP(A62,'[1]TAB OGU JUN18'!$A:$G,4,"falso")</f>
        <v>#N/A</v>
      </c>
      <c r="K62" s="334"/>
      <c r="L62" s="323" t="e">
        <f>VLOOKUP(A62,'[1]TAB OGU JUN18'!$A:$G,5,"falso")</f>
        <v>#N/A</v>
      </c>
      <c r="M62" s="334"/>
      <c r="N62" s="315">
        <f>SUM(N60:N61)</f>
        <v>533.97</v>
      </c>
      <c r="O62" s="297">
        <f>N62/$N$105</f>
        <v>3.2220448736845181E-2</v>
      </c>
    </row>
    <row r="63" spans="1:15" ht="11.25" customHeight="1" x14ac:dyDescent="0.2">
      <c r="A63" s="202"/>
      <c r="B63" s="138"/>
      <c r="C63" s="138"/>
      <c r="D63" s="138"/>
      <c r="E63" s="138"/>
      <c r="F63" s="138"/>
      <c r="G63" s="137"/>
      <c r="H63" s="332"/>
      <c r="I63" s="333"/>
      <c r="J63" s="323" t="e">
        <f>VLOOKUP(A63,'[1]TAB OGU JUN18'!$A:$G,4,"falso")</f>
        <v>#N/A</v>
      </c>
      <c r="K63" s="313"/>
      <c r="L63" s="323" t="e">
        <f>VLOOKUP(A63,'[1]TAB OGU JUN18'!$A:$G,5,"falso")</f>
        <v>#N/A</v>
      </c>
      <c r="M63" s="313"/>
      <c r="N63" s="189"/>
      <c r="O63" s="300"/>
    </row>
    <row r="64" spans="1:15" ht="11.25" customHeight="1" x14ac:dyDescent="0.2">
      <c r="A64" s="140" t="s">
        <v>314</v>
      </c>
      <c r="B64" s="834" t="s">
        <v>315</v>
      </c>
      <c r="C64" s="834"/>
      <c r="D64" s="834"/>
      <c r="E64" s="834"/>
      <c r="F64" s="834"/>
      <c r="G64" s="137"/>
      <c r="H64" s="332"/>
      <c r="I64" s="333"/>
      <c r="J64" s="323">
        <f>VLOOKUP(A64,'[1]TAB OGU JUN18'!$A:$G,4,"falso")</f>
        <v>0</v>
      </c>
      <c r="K64" s="313"/>
      <c r="L64" s="323">
        <f>VLOOKUP(A64,'[1]TAB OGU JUN18'!$A:$G,5,"falso")</f>
        <v>0</v>
      </c>
      <c r="M64" s="313"/>
      <c r="N64" s="333"/>
      <c r="O64" s="299"/>
    </row>
    <row r="65" spans="1:15" ht="11.25" customHeight="1" x14ac:dyDescent="0.2">
      <c r="A65" s="140" t="s">
        <v>316</v>
      </c>
      <c r="B65" s="834" t="s">
        <v>317</v>
      </c>
      <c r="C65" s="834"/>
      <c r="D65" s="834"/>
      <c r="E65" s="834"/>
      <c r="F65" s="834"/>
      <c r="G65" s="139" t="s">
        <v>31</v>
      </c>
      <c r="H65" s="293">
        <f>1.75*46.815</f>
        <v>81.926249999999996</v>
      </c>
      <c r="I65" s="323">
        <f>VLOOKUP(A65,'[1]TAB OGU JUN18'!$A:$G,6,"falso")</f>
        <v>69.709999999999994</v>
      </c>
      <c r="J65" s="323">
        <f>VLOOKUP(A65,'[1]TAB OGU JUN18'!$A:$G,4,"falso")</f>
        <v>41.18</v>
      </c>
      <c r="K65" s="308">
        <f>H65*J65</f>
        <v>3373.7229749999997</v>
      </c>
      <c r="L65" s="323">
        <f>VLOOKUP(A65,'[1]TAB OGU JUN18'!$A:$G,5,"falso")</f>
        <v>28.53</v>
      </c>
      <c r="M65" s="308">
        <f>L65*H65</f>
        <v>2337.3559125000002</v>
      </c>
      <c r="N65" s="308">
        <f>H65*I65</f>
        <v>5711.0788874999989</v>
      </c>
      <c r="O65" s="192">
        <f>N65/N67</f>
        <v>1</v>
      </c>
    </row>
    <row r="66" spans="1:15" ht="11.25" customHeight="1" x14ac:dyDescent="0.2">
      <c r="A66" s="140"/>
      <c r="B66" s="138"/>
      <c r="C66" s="138"/>
      <c r="D66" s="138"/>
      <c r="E66" s="138"/>
      <c r="F66" s="138"/>
      <c r="G66" s="139"/>
      <c r="H66" s="293"/>
      <c r="I66" s="189"/>
      <c r="J66" s="323" t="e">
        <f>VLOOKUP(A66,'[1]TAB OGU JUN18'!$A:$G,4,"falso")</f>
        <v>#N/A</v>
      </c>
      <c r="K66" s="308"/>
      <c r="L66" s="323" t="e">
        <f>VLOOKUP(A66,'[1]TAB OGU JUN18'!$A:$G,5,"falso")</f>
        <v>#N/A</v>
      </c>
      <c r="M66" s="308"/>
      <c r="N66" s="189"/>
      <c r="O66" s="300"/>
    </row>
    <row r="67" spans="1:15" ht="11.25" customHeight="1" x14ac:dyDescent="0.2">
      <c r="A67" s="202"/>
      <c r="B67" s="155" t="s">
        <v>18</v>
      </c>
      <c r="C67" s="160"/>
      <c r="D67" s="160"/>
      <c r="E67" s="160"/>
      <c r="F67" s="144"/>
      <c r="G67" s="161"/>
      <c r="H67" s="334"/>
      <c r="I67" s="334"/>
      <c r="J67" s="323" t="e">
        <f>VLOOKUP(A67,'[1]TAB OGU JUN18'!$A:$G,4,"falso")</f>
        <v>#N/A</v>
      </c>
      <c r="K67" s="334"/>
      <c r="L67" s="323" t="e">
        <f>VLOOKUP(A67,'[1]TAB OGU JUN18'!$A:$G,5,"falso")</f>
        <v>#N/A</v>
      </c>
      <c r="M67" s="334"/>
      <c r="N67" s="315">
        <f>SUM(N65:N66)</f>
        <v>5711.0788874999989</v>
      </c>
      <c r="O67" s="297">
        <f>N67/$N$105</f>
        <v>0.34461397555438045</v>
      </c>
    </row>
    <row r="68" spans="1:15" ht="11.25" customHeight="1" x14ac:dyDescent="0.2">
      <c r="A68" s="202"/>
      <c r="B68" s="138"/>
      <c r="C68" s="138"/>
      <c r="D68" s="138"/>
      <c r="E68" s="138"/>
      <c r="F68" s="138"/>
      <c r="G68" s="137"/>
      <c r="H68" s="332"/>
      <c r="I68" s="333"/>
      <c r="J68" s="323" t="e">
        <f>VLOOKUP(A68,'[1]TAB OGU JUN18'!$A:$G,4,"falso")</f>
        <v>#N/A</v>
      </c>
      <c r="K68" s="313"/>
      <c r="L68" s="323" t="e">
        <f>VLOOKUP(A68,'[1]TAB OGU JUN18'!$A:$G,5,"falso")</f>
        <v>#N/A</v>
      </c>
      <c r="M68" s="313"/>
      <c r="N68" s="189"/>
      <c r="O68" s="300"/>
    </row>
    <row r="69" spans="1:15" ht="11.25" customHeight="1" x14ac:dyDescent="0.2">
      <c r="A69" s="140" t="s">
        <v>318</v>
      </c>
      <c r="B69" s="834" t="s">
        <v>639</v>
      </c>
      <c r="C69" s="834"/>
      <c r="D69" s="834"/>
      <c r="E69" s="834"/>
      <c r="F69" s="834"/>
      <c r="G69" s="137"/>
      <c r="H69" s="330"/>
      <c r="I69" s="330"/>
      <c r="J69" s="323">
        <f>VLOOKUP(A69,'[1]TAB OGU JUN18'!$A:$G,4,"falso")</f>
        <v>0</v>
      </c>
      <c r="K69" s="331"/>
      <c r="L69" s="323">
        <f>VLOOKUP(A69,'[1]TAB OGU JUN18'!$A:$G,5,"falso")</f>
        <v>0</v>
      </c>
      <c r="M69" s="311"/>
      <c r="N69" s="313"/>
      <c r="O69" s="219"/>
    </row>
    <row r="70" spans="1:15" ht="11.25" customHeight="1" x14ac:dyDescent="0.2">
      <c r="A70" s="140" t="s">
        <v>319</v>
      </c>
      <c r="B70" s="834" t="s">
        <v>640</v>
      </c>
      <c r="C70" s="834"/>
      <c r="D70" s="834"/>
      <c r="E70" s="834"/>
      <c r="F70" s="834"/>
      <c r="G70" s="139" t="s">
        <v>31</v>
      </c>
      <c r="H70" s="189">
        <f>1.75*20.265</f>
        <v>35.463750000000005</v>
      </c>
      <c r="I70" s="323">
        <f>VLOOKUP(A70,'[1]TAB OGU JUN18'!$A:$G,6,"falso")</f>
        <v>46.39</v>
      </c>
      <c r="J70" s="323">
        <f>VLOOKUP(A70,'[1]TAB OGU JUN18'!$A:$G,4,"falso")</f>
        <v>37.44</v>
      </c>
      <c r="K70" s="308">
        <f>H70*J70</f>
        <v>1327.7628000000002</v>
      </c>
      <c r="L70" s="323">
        <f>VLOOKUP(A70,'[1]TAB OGU JUN18'!$A:$G,5,"falso")</f>
        <v>8.9499999999999993</v>
      </c>
      <c r="M70" s="308">
        <f>L70*H70</f>
        <v>317.40056250000004</v>
      </c>
      <c r="N70" s="308">
        <f>H70*I70</f>
        <v>1645.1633625000002</v>
      </c>
      <c r="O70" s="297">
        <f>N70/N72</f>
        <v>1</v>
      </c>
    </row>
    <row r="71" spans="1:15" ht="11.25" customHeight="1" x14ac:dyDescent="0.2">
      <c r="A71" s="140"/>
      <c r="B71" s="138"/>
      <c r="C71" s="138"/>
      <c r="D71" s="138"/>
      <c r="E71" s="138"/>
      <c r="F71" s="138"/>
      <c r="G71" s="190"/>
      <c r="H71" s="189"/>
      <c r="I71" s="296"/>
      <c r="J71" s="323" t="e">
        <f>VLOOKUP(A71,'[1]TAB OGU JUN18'!$A:$G,4,"falso")</f>
        <v>#N/A</v>
      </c>
      <c r="K71" s="311"/>
      <c r="L71" s="323" t="e">
        <f>VLOOKUP(A71,'[1]TAB OGU JUN18'!$A:$G,5,"falso")</f>
        <v>#N/A</v>
      </c>
      <c r="M71" s="311"/>
      <c r="N71" s="189"/>
      <c r="O71" s="297"/>
    </row>
    <row r="72" spans="1:15" ht="11.25" customHeight="1" x14ac:dyDescent="0.2">
      <c r="A72" s="202"/>
      <c r="B72" s="142" t="s">
        <v>18</v>
      </c>
      <c r="C72" s="143"/>
      <c r="D72" s="143"/>
      <c r="E72" s="143"/>
      <c r="F72" s="143"/>
      <c r="G72" s="188"/>
      <c r="H72" s="335"/>
      <c r="I72" s="336"/>
      <c r="J72" s="323" t="e">
        <f>VLOOKUP(A72,'[1]TAB OGU JUN18'!$A:$G,4,"falso")</f>
        <v>#N/A</v>
      </c>
      <c r="K72" s="336"/>
      <c r="L72" s="323" t="e">
        <f>VLOOKUP(A72,'[1]TAB OGU JUN18'!$A:$G,5,"falso")</f>
        <v>#N/A</v>
      </c>
      <c r="M72" s="336"/>
      <c r="N72" s="189">
        <f>SUM(N70:N71)</f>
        <v>1645.1633625000002</v>
      </c>
      <c r="O72" s="297">
        <f>N72/$N$105</f>
        <v>9.9271310720016298E-2</v>
      </c>
    </row>
    <row r="73" spans="1:15" ht="11.25" customHeight="1" x14ac:dyDescent="0.2">
      <c r="A73" s="202"/>
      <c r="B73" s="138"/>
      <c r="C73" s="138"/>
      <c r="D73" s="138"/>
      <c r="E73" s="138"/>
      <c r="F73" s="138"/>
      <c r="G73" s="137"/>
      <c r="H73" s="333"/>
      <c r="I73" s="330"/>
      <c r="J73" s="323" t="e">
        <f>VLOOKUP(A73,'[1]TAB OGU JUN18'!$A:$G,4,"falso")</f>
        <v>#N/A</v>
      </c>
      <c r="K73" s="311"/>
      <c r="L73" s="323" t="e">
        <f>VLOOKUP(A73,'[1]TAB OGU JUN18'!$A:$G,5,"falso")</f>
        <v>#N/A</v>
      </c>
      <c r="M73" s="311"/>
      <c r="N73" s="189"/>
      <c r="O73" s="297"/>
    </row>
    <row r="74" spans="1:15" ht="11.25" customHeight="1" x14ac:dyDescent="0.2">
      <c r="A74" s="140" t="s">
        <v>321</v>
      </c>
      <c r="B74" s="834" t="s">
        <v>322</v>
      </c>
      <c r="C74" s="834"/>
      <c r="D74" s="834"/>
      <c r="E74" s="834"/>
      <c r="F74" s="834"/>
      <c r="G74" s="137"/>
      <c r="H74" s="333"/>
      <c r="I74" s="330"/>
      <c r="J74" s="323">
        <f>VLOOKUP(A74,'[1]TAB OGU JUN18'!$A:$G,4,"falso")</f>
        <v>0</v>
      </c>
      <c r="K74" s="311"/>
      <c r="L74" s="323">
        <f>VLOOKUP(A74,'[1]TAB OGU JUN18'!$A:$G,5,"falso")</f>
        <v>0</v>
      </c>
      <c r="M74" s="311"/>
      <c r="N74" s="333"/>
      <c r="O74" s="297"/>
    </row>
    <row r="75" spans="1:15" ht="11.25" customHeight="1" x14ac:dyDescent="0.2">
      <c r="A75" s="140" t="s">
        <v>323</v>
      </c>
      <c r="B75" s="834" t="s">
        <v>324</v>
      </c>
      <c r="C75" s="834"/>
      <c r="D75" s="834"/>
      <c r="E75" s="834"/>
      <c r="F75" s="834"/>
      <c r="G75" s="139" t="s">
        <v>325</v>
      </c>
      <c r="H75" s="293">
        <f>H81*20*0.98</f>
        <v>240.94280000000001</v>
      </c>
      <c r="I75" s="323">
        <f>VLOOKUP(A75,'[1]TAB OGU JUN18'!$A:$G,6,"falso")</f>
        <v>5.01</v>
      </c>
      <c r="J75" s="323">
        <f>VLOOKUP(A75,'[1]TAB OGU JUN18'!$A:$G,4,"falso")</f>
        <v>2.4500000000000002</v>
      </c>
      <c r="K75" s="308">
        <f>H75*J75</f>
        <v>590.30986000000007</v>
      </c>
      <c r="L75" s="323">
        <f>VLOOKUP(A75,'[1]TAB OGU JUN18'!$A:$G,5,"falso")</f>
        <v>2.56</v>
      </c>
      <c r="M75" s="308">
        <f>L75*H75</f>
        <v>616.81356800000003</v>
      </c>
      <c r="N75" s="308">
        <f>H75*I75</f>
        <v>1207.1234279999999</v>
      </c>
      <c r="O75" s="297">
        <f>N75/N78</f>
        <v>0.96840236686390524</v>
      </c>
    </row>
    <row r="76" spans="1:15" ht="11.25" customHeight="1" x14ac:dyDescent="0.2">
      <c r="A76" s="140" t="s">
        <v>326</v>
      </c>
      <c r="B76" s="834" t="s">
        <v>327</v>
      </c>
      <c r="C76" s="834"/>
      <c r="D76" s="834"/>
      <c r="E76" s="834"/>
      <c r="F76" s="834"/>
      <c r="G76" s="139" t="s">
        <v>325</v>
      </c>
      <c r="H76" s="293">
        <f>H81*20*0.02</f>
        <v>4.9172000000000002</v>
      </c>
      <c r="I76" s="323">
        <f>VLOOKUP(A76,'[1]TAB OGU JUN18'!$A:$G,6,"falso")</f>
        <v>8.01</v>
      </c>
      <c r="J76" s="323">
        <f>VLOOKUP(A76,'[1]TAB OGU JUN18'!$A:$G,4,"falso")</f>
        <v>3.68</v>
      </c>
      <c r="K76" s="308">
        <f>H76*J76</f>
        <v>18.095296000000001</v>
      </c>
      <c r="L76" s="323">
        <f>VLOOKUP(A76,'[1]TAB OGU JUN18'!$A:$G,5,"falso")</f>
        <v>4.33</v>
      </c>
      <c r="M76" s="308">
        <f>L76*H76</f>
        <v>21.291476000000003</v>
      </c>
      <c r="N76" s="308">
        <f>H76*I76</f>
        <v>39.386772000000001</v>
      </c>
      <c r="O76" s="297">
        <f>N76/N78</f>
        <v>3.1597633136094677E-2</v>
      </c>
    </row>
    <row r="77" spans="1:15" ht="11.25" customHeight="1" x14ac:dyDescent="0.2">
      <c r="A77" s="140"/>
      <c r="B77" s="138"/>
      <c r="C77" s="138"/>
      <c r="D77" s="138"/>
      <c r="E77" s="138"/>
      <c r="F77" s="138"/>
      <c r="G77" s="141"/>
      <c r="H77" s="189"/>
      <c r="I77" s="296"/>
      <c r="J77" s="323" t="e">
        <f>VLOOKUP(A77,'[1]TAB OGU JUN18'!$A:$G,4,"falso")</f>
        <v>#N/A</v>
      </c>
      <c r="K77" s="311"/>
      <c r="L77" s="323" t="e">
        <f>VLOOKUP(A77,'[1]TAB OGU JUN18'!$A:$G,5,"falso")</f>
        <v>#N/A</v>
      </c>
      <c r="M77" s="311"/>
      <c r="N77" s="189"/>
      <c r="O77" s="297"/>
    </row>
    <row r="78" spans="1:15" ht="11.25" customHeight="1" x14ac:dyDescent="0.2">
      <c r="A78" s="202"/>
      <c r="B78" s="142" t="s">
        <v>18</v>
      </c>
      <c r="C78" s="143"/>
      <c r="D78" s="143"/>
      <c r="E78" s="143"/>
      <c r="F78" s="143"/>
      <c r="G78" s="188"/>
      <c r="H78" s="335"/>
      <c r="I78" s="336"/>
      <c r="J78" s="323" t="e">
        <f>VLOOKUP(A78,'[1]TAB OGU JUN18'!$A:$G,4,"falso")</f>
        <v>#N/A</v>
      </c>
      <c r="K78" s="336"/>
      <c r="L78" s="323" t="e">
        <f>VLOOKUP(A78,'[1]TAB OGU JUN18'!$A:$G,5,"falso")</f>
        <v>#N/A</v>
      </c>
      <c r="M78" s="336"/>
      <c r="N78" s="189">
        <f>SUM(N75:N77)</f>
        <v>1246.5101999999999</v>
      </c>
      <c r="O78" s="297">
        <f>N78/$N$105</f>
        <v>7.5216057080088078E-2</v>
      </c>
    </row>
    <row r="79" spans="1:15" ht="11.25" customHeight="1" x14ac:dyDescent="0.2">
      <c r="A79" s="202"/>
      <c r="B79" s="138"/>
      <c r="C79" s="138"/>
      <c r="D79" s="138"/>
      <c r="E79" s="138"/>
      <c r="F79" s="138"/>
      <c r="G79" s="137"/>
      <c r="H79" s="333"/>
      <c r="I79" s="330"/>
      <c r="J79" s="323" t="e">
        <f>VLOOKUP(A79,'[1]TAB OGU JUN18'!$A:$G,4,"falso")</f>
        <v>#N/A</v>
      </c>
      <c r="K79" s="311"/>
      <c r="L79" s="323" t="e">
        <f>VLOOKUP(A79,'[1]TAB OGU JUN18'!$A:$G,5,"falso")</f>
        <v>#N/A</v>
      </c>
      <c r="M79" s="311"/>
      <c r="N79" s="189"/>
      <c r="O79" s="297"/>
    </row>
    <row r="80" spans="1:15" ht="11.25" customHeight="1" x14ac:dyDescent="0.2">
      <c r="A80" s="204" t="s">
        <v>332</v>
      </c>
      <c r="B80" s="837" t="s">
        <v>333</v>
      </c>
      <c r="C80" s="837"/>
      <c r="D80" s="837"/>
      <c r="E80" s="837"/>
      <c r="F80" s="837"/>
      <c r="G80" s="137"/>
      <c r="H80" s="333"/>
      <c r="I80" s="330"/>
      <c r="J80" s="323">
        <f>VLOOKUP(A80,'[1]TAB OGU JUN18'!$A:$G,4,"falso")</f>
        <v>0</v>
      </c>
      <c r="K80" s="311"/>
      <c r="L80" s="323">
        <f>VLOOKUP(A80,'[1]TAB OGU JUN18'!$A:$G,5,"falso")</f>
        <v>0</v>
      </c>
      <c r="M80" s="311"/>
      <c r="N80" s="333"/>
      <c r="O80" s="297"/>
    </row>
    <row r="81" spans="1:15" ht="11.25" customHeight="1" x14ac:dyDescent="0.2">
      <c r="A81" s="140" t="s">
        <v>638</v>
      </c>
      <c r="B81" s="834" t="s">
        <v>637</v>
      </c>
      <c r="C81" s="834"/>
      <c r="D81" s="834"/>
      <c r="E81" s="834"/>
      <c r="F81" s="834"/>
      <c r="G81" s="139" t="s">
        <v>32</v>
      </c>
      <c r="H81" s="189">
        <f>(1+1+1.77+2.7)*1.9</f>
        <v>12.293000000000001</v>
      </c>
      <c r="I81" s="323">
        <f>VLOOKUP(A81,'[1]TAB OGU JUN18'!$A:$G,6,"falso")</f>
        <v>303.83</v>
      </c>
      <c r="J81" s="323">
        <f>VLOOKUP(A81,'[1]TAB OGU JUN18'!$A:$G,4,"falso")</f>
        <v>40.92</v>
      </c>
      <c r="K81" s="308">
        <f>H81*J81</f>
        <v>503.02956000000006</v>
      </c>
      <c r="L81" s="323">
        <f>VLOOKUP(A81,'[1]TAB OGU JUN18'!$A:$G,5,"falso")</f>
        <v>262.91000000000003</v>
      </c>
      <c r="M81" s="308">
        <f>L81*H81</f>
        <v>3231.9526300000007</v>
      </c>
      <c r="N81" s="308">
        <f>H81*I81</f>
        <v>3734.9821900000002</v>
      </c>
      <c r="O81" s="297">
        <f>N81/N83</f>
        <v>1</v>
      </c>
    </row>
    <row r="82" spans="1:15" ht="11.25" customHeight="1" x14ac:dyDescent="0.2">
      <c r="A82" s="140"/>
      <c r="B82" s="138"/>
      <c r="C82" s="138"/>
      <c r="D82" s="138"/>
      <c r="E82" s="138"/>
      <c r="F82" s="138"/>
      <c r="G82" s="163"/>
      <c r="H82" s="293"/>
      <c r="I82" s="293"/>
      <c r="J82" s="323" t="e">
        <f>VLOOKUP(A82,'[1]TAB OGU JUN18'!$A:$G,4,"falso")</f>
        <v>#N/A</v>
      </c>
      <c r="K82" s="308"/>
      <c r="L82" s="323" t="e">
        <f>VLOOKUP(A82,'[1]TAB OGU JUN18'!$A:$G,5,"falso")</f>
        <v>#N/A</v>
      </c>
      <c r="M82" s="308"/>
      <c r="N82" s="189"/>
      <c r="O82" s="297"/>
    </row>
    <row r="83" spans="1:15" ht="11.25" customHeight="1" x14ac:dyDescent="0.2">
      <c r="A83" s="202"/>
      <c r="B83" s="142" t="s">
        <v>18</v>
      </c>
      <c r="C83" s="143"/>
      <c r="D83" s="143"/>
      <c r="E83" s="143"/>
      <c r="F83" s="143"/>
      <c r="G83" s="161"/>
      <c r="H83" s="334"/>
      <c r="I83" s="334"/>
      <c r="J83" s="323" t="e">
        <f>VLOOKUP(A83,'[1]TAB OGU JUN18'!$A:$G,4,"falso")</f>
        <v>#N/A</v>
      </c>
      <c r="K83" s="334"/>
      <c r="L83" s="323" t="e">
        <f>VLOOKUP(A83,'[1]TAB OGU JUN18'!$A:$G,5,"falso")</f>
        <v>#N/A</v>
      </c>
      <c r="M83" s="334"/>
      <c r="N83" s="189">
        <f>SUM(N81:N82)</f>
        <v>3734.9821900000002</v>
      </c>
      <c r="O83" s="297">
        <f>N83/$N$105</f>
        <v>0.22537371422725014</v>
      </c>
    </row>
    <row r="84" spans="1:15" ht="11.25" customHeight="1" x14ac:dyDescent="0.2">
      <c r="A84" s="202"/>
      <c r="B84" s="138"/>
      <c r="C84" s="138"/>
      <c r="D84" s="138"/>
      <c r="E84" s="138"/>
      <c r="F84" s="138"/>
      <c r="G84" s="162"/>
      <c r="H84" s="333"/>
      <c r="I84" s="333"/>
      <c r="J84" s="323" t="e">
        <f>VLOOKUP(A84,'[1]TAB OGU JUN18'!$A:$G,4,"falso")</f>
        <v>#N/A</v>
      </c>
      <c r="K84" s="313"/>
      <c r="L84" s="323" t="e">
        <f>VLOOKUP(A84,'[1]TAB OGU JUN18'!$A:$G,5,"falso")</f>
        <v>#N/A</v>
      </c>
      <c r="M84" s="313"/>
      <c r="N84" s="189"/>
      <c r="O84" s="297"/>
    </row>
    <row r="85" spans="1:15" ht="11.25" customHeight="1" x14ac:dyDescent="0.2">
      <c r="A85" s="140" t="s">
        <v>335</v>
      </c>
      <c r="B85" s="834" t="s">
        <v>336</v>
      </c>
      <c r="C85" s="834"/>
      <c r="D85" s="834"/>
      <c r="E85" s="834"/>
      <c r="F85" s="834"/>
      <c r="G85" s="162"/>
      <c r="H85" s="333"/>
      <c r="I85" s="333"/>
      <c r="J85" s="323">
        <f>VLOOKUP(A85,'[1]TAB OGU JUN18'!$A:$G,4,"falso")</f>
        <v>0</v>
      </c>
      <c r="K85" s="313"/>
      <c r="L85" s="323">
        <f>VLOOKUP(A85,'[1]TAB OGU JUN18'!$A:$G,5,"falso")</f>
        <v>0</v>
      </c>
      <c r="M85" s="313"/>
      <c r="N85" s="333"/>
      <c r="O85" s="297"/>
    </row>
    <row r="86" spans="1:15" ht="11.25" customHeight="1" x14ac:dyDescent="0.2">
      <c r="A86" s="140" t="s">
        <v>337</v>
      </c>
      <c r="B86" s="834" t="s">
        <v>338</v>
      </c>
      <c r="C86" s="834"/>
      <c r="D86" s="834"/>
      <c r="E86" s="834"/>
      <c r="F86" s="834"/>
      <c r="G86" s="139" t="s">
        <v>32</v>
      </c>
      <c r="H86" s="189">
        <f>H81</f>
        <v>12.293000000000001</v>
      </c>
      <c r="I86" s="323">
        <f>VLOOKUP(A86,'[1]TAB OGU JUN18'!$A:$G,6,"falso")</f>
        <v>28.95</v>
      </c>
      <c r="J86" s="323">
        <f>VLOOKUP(A86,'[1]TAB OGU JUN18'!$A:$G,4,"falso")</f>
        <v>4.22</v>
      </c>
      <c r="K86" s="308">
        <f>H86*J86</f>
        <v>51.876460000000002</v>
      </c>
      <c r="L86" s="323">
        <f>VLOOKUP(A86,'[1]TAB OGU JUN18'!$A:$G,5,"falso")</f>
        <v>24.73</v>
      </c>
      <c r="M86" s="308">
        <f>L86*H86</f>
        <v>304.00589000000002</v>
      </c>
      <c r="N86" s="308">
        <f>H86*I86</f>
        <v>355.88235000000003</v>
      </c>
      <c r="O86" s="297">
        <f>N86/N88</f>
        <v>1</v>
      </c>
    </row>
    <row r="87" spans="1:15" ht="11.25" customHeight="1" x14ac:dyDescent="0.2">
      <c r="A87" s="140"/>
      <c r="B87" s="138"/>
      <c r="C87" s="138"/>
      <c r="D87" s="138"/>
      <c r="E87" s="138"/>
      <c r="F87" s="138"/>
      <c r="G87" s="163"/>
      <c r="H87" s="293"/>
      <c r="I87" s="293"/>
      <c r="J87" s="323" t="e">
        <f>VLOOKUP(A87,'[1]TAB OGU JUN18'!$A:$G,4,"falso")</f>
        <v>#N/A</v>
      </c>
      <c r="K87" s="313"/>
      <c r="L87" s="323" t="e">
        <f>VLOOKUP(A87,'[1]TAB OGU JUN18'!$A:$G,5,"falso")</f>
        <v>#N/A</v>
      </c>
      <c r="M87" s="313"/>
      <c r="N87" s="189"/>
      <c r="O87" s="297"/>
    </row>
    <row r="88" spans="1:15" ht="11.25" customHeight="1" x14ac:dyDescent="0.2">
      <c r="A88" s="202"/>
      <c r="B88" s="142" t="s">
        <v>18</v>
      </c>
      <c r="C88" s="143"/>
      <c r="D88" s="143"/>
      <c r="E88" s="143"/>
      <c r="F88" s="143"/>
      <c r="G88" s="161"/>
      <c r="H88" s="334"/>
      <c r="I88" s="334"/>
      <c r="J88" s="323" t="e">
        <f>VLOOKUP(A88,'[1]TAB OGU JUN18'!$A:$G,4,"falso")</f>
        <v>#N/A</v>
      </c>
      <c r="K88" s="334"/>
      <c r="L88" s="323" t="e">
        <f>VLOOKUP(A88,'[1]TAB OGU JUN18'!$A:$G,5,"falso")</f>
        <v>#N/A</v>
      </c>
      <c r="M88" s="334"/>
      <c r="N88" s="189">
        <f>SUM(N86:N87)</f>
        <v>355.88235000000003</v>
      </c>
      <c r="O88" s="297">
        <f>N88/$N$105</f>
        <v>2.1474406829078405E-2</v>
      </c>
    </row>
    <row r="89" spans="1:15" ht="11.25" customHeight="1" x14ac:dyDescent="0.2">
      <c r="A89" s="202"/>
      <c r="B89" s="138"/>
      <c r="C89" s="138"/>
      <c r="D89" s="138"/>
      <c r="E89" s="138"/>
      <c r="F89" s="138"/>
      <c r="G89" s="162"/>
      <c r="H89" s="333"/>
      <c r="I89" s="333"/>
      <c r="J89" s="323" t="e">
        <f>VLOOKUP(A89,'[1]TAB OGU JUN18'!$A:$G,4,"falso")</f>
        <v>#N/A</v>
      </c>
      <c r="K89" s="313"/>
      <c r="L89" s="323" t="e">
        <f>VLOOKUP(A89,'[1]TAB OGU JUN18'!$A:$G,5,"falso")</f>
        <v>#N/A</v>
      </c>
      <c r="M89" s="313"/>
      <c r="N89" s="189"/>
      <c r="O89" s="297"/>
    </row>
    <row r="90" spans="1:15" ht="11.25" customHeight="1" x14ac:dyDescent="0.2">
      <c r="A90" s="140" t="s">
        <v>339</v>
      </c>
      <c r="B90" s="834" t="s">
        <v>340</v>
      </c>
      <c r="C90" s="834"/>
      <c r="D90" s="834"/>
      <c r="E90" s="834"/>
      <c r="F90" s="834"/>
      <c r="G90" s="162"/>
      <c r="H90" s="333"/>
      <c r="I90" s="333"/>
      <c r="J90" s="323">
        <f>VLOOKUP(A90,'[1]TAB OGU JUN18'!$A:$G,4,"falso")</f>
        <v>0</v>
      </c>
      <c r="K90" s="313"/>
      <c r="L90" s="323">
        <f>VLOOKUP(A90,'[1]TAB OGU JUN18'!$A:$G,5,"falso")</f>
        <v>0</v>
      </c>
      <c r="M90" s="313"/>
      <c r="N90" s="333"/>
      <c r="O90" s="297"/>
    </row>
    <row r="91" spans="1:15" ht="11.25" customHeight="1" x14ac:dyDescent="0.2">
      <c r="A91" s="140" t="s">
        <v>341</v>
      </c>
      <c r="B91" s="834" t="s">
        <v>342</v>
      </c>
      <c r="C91" s="834"/>
      <c r="D91" s="834"/>
      <c r="E91" s="834"/>
      <c r="F91" s="834"/>
      <c r="G91" s="139" t="s">
        <v>31</v>
      </c>
      <c r="H91" s="189">
        <v>50.88</v>
      </c>
      <c r="I91" s="323">
        <f>VLOOKUP(A91,'[1]TAB OGU JUN18'!$A:$G,6,"falso")</f>
        <v>0.82</v>
      </c>
      <c r="J91" s="323">
        <f>VLOOKUP(A91,'[1]TAB OGU JUN18'!$A:$G,4,"falso")</f>
        <v>0.82</v>
      </c>
      <c r="K91" s="308">
        <f>H91*J91</f>
        <v>41.721600000000002</v>
      </c>
      <c r="L91" s="323">
        <f>VLOOKUP(A91,'[1]TAB OGU JUN18'!$A:$G,5,"falso")</f>
        <v>0</v>
      </c>
      <c r="M91" s="308"/>
      <c r="N91" s="308">
        <f>H91*I91</f>
        <v>41.721600000000002</v>
      </c>
      <c r="O91" s="297">
        <f>N91/N93</f>
        <v>1</v>
      </c>
    </row>
    <row r="92" spans="1:15" ht="11.25" customHeight="1" x14ac:dyDescent="0.2">
      <c r="A92" s="140"/>
      <c r="B92" s="138"/>
      <c r="C92" s="138"/>
      <c r="D92" s="138"/>
      <c r="E92" s="138"/>
      <c r="F92" s="138"/>
      <c r="H92" s="313"/>
      <c r="I92" s="311"/>
      <c r="J92" s="323" t="e">
        <f>VLOOKUP(A92,'[1]TAB OGU JUN18'!$A:$G,4,"falso")</f>
        <v>#N/A</v>
      </c>
      <c r="K92" s="311"/>
      <c r="L92" s="323" t="e">
        <f>VLOOKUP(A92,'[1]TAB OGU JUN18'!$A:$G,5,"falso")</f>
        <v>#N/A</v>
      </c>
      <c r="M92" s="311"/>
      <c r="N92" s="189"/>
      <c r="O92" s="297"/>
    </row>
    <row r="93" spans="1:15" ht="11.25" customHeight="1" x14ac:dyDescent="0.2">
      <c r="A93" s="202"/>
      <c r="B93" s="142" t="s">
        <v>18</v>
      </c>
      <c r="C93" s="143"/>
      <c r="D93" s="143"/>
      <c r="E93" s="143"/>
      <c r="F93" s="143"/>
      <c r="G93" s="188"/>
      <c r="H93" s="335"/>
      <c r="I93" s="336"/>
      <c r="J93" s="323" t="e">
        <f>VLOOKUP(A93,'[1]TAB OGU JUN18'!$A:$G,4,"falso")</f>
        <v>#N/A</v>
      </c>
      <c r="K93" s="336"/>
      <c r="L93" s="323" t="e">
        <f>VLOOKUP(A93,'[1]TAB OGU JUN18'!$A:$G,5,"falso")</f>
        <v>#N/A</v>
      </c>
      <c r="M93" s="336"/>
      <c r="N93" s="189">
        <f>SUM(N91:N92)</f>
        <v>41.721600000000002</v>
      </c>
      <c r="O93" s="297">
        <f>N93/$N$105</f>
        <v>2.5175359552393581E-3</v>
      </c>
    </row>
    <row r="94" spans="1:15" ht="11.25" customHeight="1" x14ac:dyDescent="0.2">
      <c r="A94" s="202"/>
      <c r="B94" s="138"/>
      <c r="C94" s="138"/>
      <c r="D94" s="138"/>
      <c r="E94" s="138"/>
      <c r="F94" s="138"/>
      <c r="G94" s="137"/>
      <c r="H94" s="333"/>
      <c r="I94" s="330"/>
      <c r="J94" s="323" t="e">
        <f>VLOOKUP(A94,'[1]TAB OGU JUN18'!$A:$G,4,"falso")</f>
        <v>#N/A</v>
      </c>
      <c r="K94" s="311"/>
      <c r="L94" s="323" t="e">
        <f>VLOOKUP(A94,'[1]TAB OGU JUN18'!$A:$G,5,"falso")</f>
        <v>#N/A</v>
      </c>
      <c r="M94" s="311"/>
      <c r="N94" s="189"/>
      <c r="O94" s="297"/>
    </row>
    <row r="95" spans="1:15" ht="11.25" customHeight="1" x14ac:dyDescent="0.2">
      <c r="A95" s="140" t="s">
        <v>344</v>
      </c>
      <c r="B95" s="200" t="s">
        <v>345</v>
      </c>
      <c r="C95" s="153"/>
      <c r="D95" s="153"/>
      <c r="E95" s="153"/>
      <c r="F95" s="153"/>
      <c r="G95" s="162"/>
      <c r="H95" s="333"/>
      <c r="I95" s="333"/>
      <c r="J95" s="323">
        <f>VLOOKUP(A95,'[1]TAB OGU JUN18'!$A:$G,4,"falso")</f>
        <v>0</v>
      </c>
      <c r="K95" s="313"/>
      <c r="L95" s="323">
        <f>VLOOKUP(A95,'[1]TAB OGU JUN18'!$A:$G,5,"falso")</f>
        <v>0</v>
      </c>
      <c r="M95" s="313"/>
      <c r="N95" s="333"/>
      <c r="O95" s="297"/>
    </row>
    <row r="96" spans="1:15" ht="11.25" customHeight="1" x14ac:dyDescent="0.2">
      <c r="A96" s="140" t="s">
        <v>346</v>
      </c>
      <c r="B96" s="200" t="s">
        <v>347</v>
      </c>
      <c r="C96" s="153"/>
      <c r="D96" s="153"/>
      <c r="E96" s="153"/>
      <c r="F96" s="153"/>
      <c r="G96" s="139" t="s">
        <v>31</v>
      </c>
      <c r="H96" s="189">
        <v>20.27</v>
      </c>
      <c r="I96" s="323">
        <f>VLOOKUP(A96,'[1]TAB OGU JUN18'!$A:$G,6,"falso")</f>
        <v>70.69</v>
      </c>
      <c r="J96" s="323">
        <f>VLOOKUP(A96,'[1]TAB OGU JUN18'!$A:$G,4,"falso")</f>
        <v>12.86</v>
      </c>
      <c r="K96" s="308">
        <f>H96*J96</f>
        <v>260.67219999999998</v>
      </c>
      <c r="L96" s="323">
        <f>VLOOKUP(A96,'[1]TAB OGU JUN18'!$A:$G,5,"falso")</f>
        <v>57.83</v>
      </c>
      <c r="M96" s="308">
        <f>L96*H96</f>
        <v>1172.2140999999999</v>
      </c>
      <c r="N96" s="308">
        <f>H96*I96</f>
        <v>1432.8862999999999</v>
      </c>
      <c r="O96" s="297">
        <f>N96/N98</f>
        <v>1</v>
      </c>
    </row>
    <row r="97" spans="1:15" ht="11.25" customHeight="1" x14ac:dyDescent="0.2">
      <c r="A97" s="140"/>
      <c r="B97" s="138"/>
      <c r="C97" s="138"/>
      <c r="D97" s="138"/>
      <c r="E97" s="138"/>
      <c r="F97" s="138"/>
      <c r="G97" s="163"/>
      <c r="H97" s="293"/>
      <c r="I97" s="293"/>
      <c r="J97" s="323" t="e">
        <f>VLOOKUP(A97,'[1]TAB OGU JUN18'!$A:$G,4,"falso")</f>
        <v>#N/A</v>
      </c>
      <c r="K97" s="313"/>
      <c r="L97" s="323" t="e">
        <f>VLOOKUP(A97,'[1]TAB OGU JUN18'!$A:$G,5,"falso")</f>
        <v>#N/A</v>
      </c>
      <c r="M97" s="313"/>
      <c r="N97" s="189"/>
      <c r="O97" s="297"/>
    </row>
    <row r="98" spans="1:15" ht="11.25" customHeight="1" x14ac:dyDescent="0.2">
      <c r="A98" s="202"/>
      <c r="B98" s="142" t="s">
        <v>18</v>
      </c>
      <c r="C98" s="143"/>
      <c r="D98" s="143"/>
      <c r="E98" s="143"/>
      <c r="F98" s="143"/>
      <c r="G98" s="161"/>
      <c r="H98" s="334"/>
      <c r="I98" s="334"/>
      <c r="J98" s="323" t="e">
        <f>VLOOKUP(A98,'[1]TAB OGU JUN18'!$A:$G,4,"falso")</f>
        <v>#N/A</v>
      </c>
      <c r="K98" s="334"/>
      <c r="L98" s="323" t="e">
        <f>VLOOKUP(A98,'[1]TAB OGU JUN18'!$A:$G,5,"falso")</f>
        <v>#N/A</v>
      </c>
      <c r="M98" s="334"/>
      <c r="N98" s="189">
        <f>SUM(N96:N97)</f>
        <v>1432.8862999999999</v>
      </c>
      <c r="O98" s="297">
        <f>N98/$N$105</f>
        <v>8.6462234909972027E-2</v>
      </c>
    </row>
    <row r="99" spans="1:15" ht="11.25" hidden="1" customHeight="1" x14ac:dyDescent="0.2">
      <c r="A99" s="202"/>
      <c r="B99" s="138"/>
      <c r="C99" s="138"/>
      <c r="D99" s="138"/>
      <c r="E99" s="138"/>
      <c r="F99" s="138"/>
      <c r="G99" s="162"/>
      <c r="H99" s="333"/>
      <c r="I99" s="333"/>
      <c r="J99" s="323" t="e">
        <f>VLOOKUP(A99,'[1]TAB OGU JUN18'!$A:$G,4,"falso")</f>
        <v>#N/A</v>
      </c>
      <c r="K99" s="313"/>
      <c r="L99" s="323" t="e">
        <f>VLOOKUP(A99,'[1]TAB OGU JUN18'!$A:$G,5,"falso")</f>
        <v>#N/A</v>
      </c>
      <c r="M99" s="313"/>
      <c r="N99" s="189"/>
      <c r="O99" s="297"/>
    </row>
    <row r="100" spans="1:15" ht="11.25" hidden="1" customHeight="1" x14ac:dyDescent="0.2">
      <c r="A100" s="140" t="s">
        <v>348</v>
      </c>
      <c r="B100" s="200" t="s">
        <v>573</v>
      </c>
      <c r="C100" s="153"/>
      <c r="D100" s="153"/>
      <c r="E100" s="153"/>
      <c r="F100" s="153"/>
      <c r="G100" s="162"/>
      <c r="H100" s="333"/>
      <c r="I100" s="333"/>
      <c r="J100" s="323">
        <f>VLOOKUP(A100,'[1]TAB OGU JUN18'!$A:$G,4,"falso")</f>
        <v>0</v>
      </c>
      <c r="K100" s="313"/>
      <c r="L100" s="323">
        <f>VLOOKUP(A100,'[1]TAB OGU JUN18'!$A:$G,5,"falso")</f>
        <v>0</v>
      </c>
      <c r="M100" s="313"/>
      <c r="N100" s="333"/>
      <c r="O100" s="297"/>
    </row>
    <row r="101" spans="1:15" ht="11.25" hidden="1" customHeight="1" x14ac:dyDescent="0.2">
      <c r="A101" s="140" t="s">
        <v>349</v>
      </c>
      <c r="B101" s="200" t="s">
        <v>350</v>
      </c>
      <c r="C101" s="153"/>
      <c r="D101" s="153"/>
      <c r="E101" s="153"/>
      <c r="F101" s="153"/>
      <c r="G101" s="139" t="s">
        <v>31</v>
      </c>
      <c r="H101" s="189">
        <v>0</v>
      </c>
      <c r="I101" s="323">
        <f>VLOOKUP(A101,'[1]TAB OGU JUN18'!$A:$G,6,"falso")</f>
        <v>77.27</v>
      </c>
      <c r="J101" s="323">
        <f>VLOOKUP(A101,'[1]TAB OGU JUN18'!$A:$G,4,"falso")</f>
        <v>27.45</v>
      </c>
      <c r="K101" s="308">
        <f>H101*J101</f>
        <v>0</v>
      </c>
      <c r="L101" s="323">
        <f>VLOOKUP(A101,'[1]TAB OGU JUN18'!$A:$G,5,"falso")</f>
        <v>49.82</v>
      </c>
      <c r="M101" s="308">
        <f>L101*H101</f>
        <v>0</v>
      </c>
      <c r="N101" s="308">
        <f>H101*I101</f>
        <v>0</v>
      </c>
      <c r="O101" s="297" t="e">
        <f>N101/N103</f>
        <v>#DIV/0!</v>
      </c>
    </row>
    <row r="102" spans="1:15" ht="11.25" hidden="1" customHeight="1" x14ac:dyDescent="0.2">
      <c r="A102" s="140"/>
      <c r="B102" s="138"/>
      <c r="C102" s="138"/>
      <c r="D102" s="138"/>
      <c r="E102" s="138"/>
      <c r="F102" s="138"/>
      <c r="G102" s="163"/>
      <c r="H102" s="293"/>
      <c r="I102" s="293"/>
      <c r="J102" s="323" t="e">
        <f>VLOOKUP(A102,'[1]TAB OGU JUN18'!$A:$G,4,"falso")</f>
        <v>#N/A</v>
      </c>
      <c r="K102" s="313"/>
      <c r="L102" s="323" t="e">
        <f>VLOOKUP(A102,'[1]TAB OGU JUN18'!$A:$G,5,"falso")</f>
        <v>#N/A</v>
      </c>
      <c r="M102" s="313"/>
      <c r="N102" s="189"/>
      <c r="O102" s="297"/>
    </row>
    <row r="103" spans="1:15" ht="11.25" hidden="1" customHeight="1" x14ac:dyDescent="0.2">
      <c r="A103" s="202"/>
      <c r="B103" s="142" t="s">
        <v>18</v>
      </c>
      <c r="C103" s="143"/>
      <c r="D103" s="143"/>
      <c r="E103" s="143"/>
      <c r="F103" s="143"/>
      <c r="G103" s="161"/>
      <c r="H103" s="334"/>
      <c r="I103" s="334"/>
      <c r="J103" s="323" t="e">
        <f>VLOOKUP(A103,'[1]TAB OGU JUN18'!$A:$G,4,"falso")</f>
        <v>#N/A</v>
      </c>
      <c r="K103" s="334"/>
      <c r="L103" s="323" t="e">
        <f>VLOOKUP(A103,'[1]TAB OGU JUN18'!$A:$G,5,"falso")</f>
        <v>#N/A</v>
      </c>
      <c r="M103" s="334"/>
      <c r="N103" s="189">
        <f>SUM(N101:N102)</f>
        <v>0</v>
      </c>
      <c r="O103" s="297">
        <f>N103/$N$105</f>
        <v>0</v>
      </c>
    </row>
    <row r="104" spans="1:15" ht="11.25" customHeight="1" x14ac:dyDescent="0.2">
      <c r="A104" s="202"/>
      <c r="B104" s="138"/>
      <c r="C104" s="138"/>
      <c r="D104" s="138"/>
      <c r="E104" s="138"/>
      <c r="F104" s="138"/>
      <c r="G104" s="162"/>
      <c r="H104" s="333"/>
      <c r="I104" s="333"/>
      <c r="J104" s="323" t="e">
        <f>VLOOKUP(A104,'[1]TAB OGU JUN18'!$A:$G,4,"falso")</f>
        <v>#N/A</v>
      </c>
      <c r="K104" s="313"/>
      <c r="L104" s="323" t="e">
        <f>VLOOKUP(A104,'[1]TAB OGU JUN18'!$A:$G,5,"falso")</f>
        <v>#N/A</v>
      </c>
      <c r="M104" s="313"/>
      <c r="N104" s="189"/>
      <c r="O104" s="297"/>
    </row>
    <row r="105" spans="1:15" s="132" customFormat="1" ht="11.25" customHeight="1" x14ac:dyDescent="0.2">
      <c r="A105" s="203"/>
      <c r="B105" s="175" t="s">
        <v>20</v>
      </c>
      <c r="C105" s="176"/>
      <c r="D105" s="176"/>
      <c r="E105" s="176"/>
      <c r="F105" s="176"/>
      <c r="G105" s="191"/>
      <c r="H105" s="337"/>
      <c r="I105" s="338"/>
      <c r="J105" s="323" t="e">
        <f>VLOOKUP(A105,'[1]TAB OGU JUN18'!$A:$G,4,"falso")</f>
        <v>#N/A</v>
      </c>
      <c r="K105" s="338"/>
      <c r="L105" s="323" t="e">
        <f>VLOOKUP(A105,'[1]TAB OGU JUN18'!$A:$G,5,"falso")</f>
        <v>#N/A</v>
      </c>
      <c r="M105" s="338"/>
      <c r="N105" s="295">
        <f>N93+N88+N83+N78+N72+N98+N103+N67+N57+N62</f>
        <v>16572.39489</v>
      </c>
      <c r="O105" s="186">
        <f>N105/$N$202</f>
        <v>0.30612760485233492</v>
      </c>
    </row>
    <row r="106" spans="1:15" ht="11.25" customHeight="1" x14ac:dyDescent="0.2">
      <c r="A106" s="202"/>
      <c r="B106" s="138"/>
      <c r="C106" s="138"/>
      <c r="D106" s="138"/>
      <c r="E106" s="138"/>
      <c r="F106" s="138"/>
      <c r="G106" s="137"/>
      <c r="H106" s="333"/>
      <c r="I106" s="330"/>
      <c r="J106" s="323" t="e">
        <f>VLOOKUP(A106,'[1]TAB OGU JUN18'!$A:$G,4,"falso")</f>
        <v>#N/A</v>
      </c>
      <c r="K106" s="339"/>
      <c r="L106" s="323" t="e">
        <f>VLOOKUP(A106,'[1]TAB OGU JUN18'!$A:$G,5,"falso")</f>
        <v>#N/A</v>
      </c>
      <c r="M106" s="311"/>
      <c r="N106" s="313"/>
      <c r="O106" s="219"/>
    </row>
    <row r="107" spans="1:15" ht="11.25" customHeight="1" x14ac:dyDescent="0.2">
      <c r="A107" s="129" t="s">
        <v>127</v>
      </c>
      <c r="B107" s="88" t="s">
        <v>130</v>
      </c>
      <c r="H107" s="324"/>
      <c r="I107" s="311"/>
      <c r="J107" s="323">
        <f>VLOOKUP(A107,'[1]TAB OGU JUN18'!$A:$G,4,"falso")</f>
        <v>0</v>
      </c>
      <c r="K107" s="311"/>
      <c r="L107" s="323">
        <f>VLOOKUP(A107,'[1]TAB OGU JUN18'!$A:$G,5,"falso")</f>
        <v>0</v>
      </c>
      <c r="M107" s="311"/>
      <c r="N107" s="313"/>
      <c r="O107" s="187"/>
    </row>
    <row r="108" spans="1:15" ht="11.25" customHeight="1" x14ac:dyDescent="0.2">
      <c r="A108" s="129" t="s">
        <v>145</v>
      </c>
      <c r="B108" s="88" t="s">
        <v>26</v>
      </c>
      <c r="H108" s="324"/>
      <c r="I108" s="311"/>
      <c r="J108" s="323">
        <f>VLOOKUP(A108,'[1]TAB OGU JUN18'!$A:$G,4,"falso")</f>
        <v>0</v>
      </c>
      <c r="K108" s="311"/>
      <c r="L108" s="323">
        <f>VLOOKUP(A108,'[1]TAB OGU JUN18'!$A:$G,5,"falso")</f>
        <v>0</v>
      </c>
      <c r="M108" s="311"/>
      <c r="N108" s="313"/>
      <c r="O108" s="187"/>
    </row>
    <row r="109" spans="1:15" ht="11.25" customHeight="1" x14ac:dyDescent="0.2">
      <c r="A109" s="129" t="s">
        <v>352</v>
      </c>
      <c r="B109" s="88" t="s">
        <v>353</v>
      </c>
      <c r="G109" s="97" t="s">
        <v>32</v>
      </c>
      <c r="H109" s="308">
        <v>3</v>
      </c>
      <c r="I109" s="323">
        <f>VLOOKUP(A109,'[1]TAB OGU JUN18'!$A:$G,6,"falso")</f>
        <v>172.51</v>
      </c>
      <c r="J109" s="323">
        <f>VLOOKUP(A109,'[1]TAB OGU JUN18'!$A:$G,4,"falso")</f>
        <v>74.180000000000007</v>
      </c>
      <c r="K109" s="308">
        <f>H109*J109</f>
        <v>222.54000000000002</v>
      </c>
      <c r="L109" s="323">
        <f>VLOOKUP(A109,'[1]TAB OGU JUN18'!$A:$G,5,"falso")</f>
        <v>98.33</v>
      </c>
      <c r="M109" s="308">
        <f>L109*H109</f>
        <v>294.99</v>
      </c>
      <c r="N109" s="308">
        <f>H109*I109</f>
        <v>517.53</v>
      </c>
      <c r="O109" s="185">
        <f>N109/N111</f>
        <v>1</v>
      </c>
    </row>
    <row r="110" spans="1:15" ht="11.25" customHeight="1" x14ac:dyDescent="0.2">
      <c r="B110" s="130"/>
      <c r="G110" s="52"/>
      <c r="H110" s="324"/>
      <c r="I110" s="313"/>
      <c r="J110" s="323" t="e">
        <f>VLOOKUP(A110,'[1]TAB OGU JUN18'!$A:$G,4,"falso")</f>
        <v>#N/A</v>
      </c>
      <c r="K110" s="313"/>
      <c r="L110" s="323" t="e">
        <f>VLOOKUP(A110,'[1]TAB OGU JUN18'!$A:$G,5,"falso")</f>
        <v>#N/A</v>
      </c>
      <c r="M110" s="313"/>
      <c r="N110" s="308"/>
      <c r="O110" s="185"/>
    </row>
    <row r="111" spans="1:15" ht="11.25" customHeight="1" x14ac:dyDescent="0.2">
      <c r="B111" s="130" t="s">
        <v>18</v>
      </c>
      <c r="C111" s="131"/>
      <c r="D111" s="131"/>
      <c r="E111" s="131"/>
      <c r="F111" s="131"/>
      <c r="G111" s="53"/>
      <c r="H111" s="325"/>
      <c r="I111" s="326"/>
      <c r="J111" s="323" t="e">
        <f>VLOOKUP(A111,'[1]TAB OGU JUN18'!$A:$G,4,"falso")</f>
        <v>#N/A</v>
      </c>
      <c r="K111" s="326"/>
      <c r="L111" s="323" t="e">
        <f>VLOOKUP(A111,'[1]TAB OGU JUN18'!$A:$G,5,"falso")</f>
        <v>#N/A</v>
      </c>
      <c r="M111" s="326"/>
      <c r="N111" s="308">
        <f>N109</f>
        <v>517.53</v>
      </c>
      <c r="O111" s="185">
        <f>N111/N113</f>
        <v>1</v>
      </c>
    </row>
    <row r="112" spans="1:15" ht="11.25" customHeight="1" x14ac:dyDescent="0.2">
      <c r="B112" s="130"/>
      <c r="G112" s="52"/>
      <c r="H112" s="324"/>
      <c r="I112" s="313"/>
      <c r="J112" s="323" t="e">
        <f>VLOOKUP(A112,'[1]TAB OGU JUN18'!$A:$G,4,"falso")</f>
        <v>#N/A</v>
      </c>
      <c r="K112" s="313"/>
      <c r="L112" s="323" t="e">
        <f>VLOOKUP(A112,'[1]TAB OGU JUN18'!$A:$G,5,"falso")</f>
        <v>#N/A</v>
      </c>
      <c r="M112" s="313"/>
      <c r="N112" s="308"/>
      <c r="O112" s="185"/>
    </row>
    <row r="113" spans="1:15" s="132" customFormat="1" ht="11.25" customHeight="1" x14ac:dyDescent="0.2">
      <c r="A113" s="157"/>
      <c r="B113" s="133" t="s">
        <v>20</v>
      </c>
      <c r="C113" s="134"/>
      <c r="D113" s="134"/>
      <c r="E113" s="134"/>
      <c r="F113" s="134"/>
      <c r="G113" s="78"/>
      <c r="H113" s="327"/>
      <c r="I113" s="328"/>
      <c r="J113" s="323" t="e">
        <f>VLOOKUP(A113,'[1]TAB OGU JUN18'!$A:$G,4,"falso")</f>
        <v>#N/A</v>
      </c>
      <c r="K113" s="328"/>
      <c r="L113" s="323" t="e">
        <f>VLOOKUP(A113,'[1]TAB OGU JUN18'!$A:$G,5,"falso")</f>
        <v>#N/A</v>
      </c>
      <c r="M113" s="328"/>
      <c r="N113" s="310">
        <f>N111</f>
        <v>517.53</v>
      </c>
      <c r="O113" s="186">
        <f>N113/$N$202</f>
        <v>9.5598868112192863E-3</v>
      </c>
    </row>
    <row r="114" spans="1:15" ht="11.25" customHeight="1" x14ac:dyDescent="0.2">
      <c r="B114" s="130"/>
      <c r="G114" s="52"/>
      <c r="H114" s="324"/>
      <c r="I114" s="313"/>
      <c r="J114" s="323" t="e">
        <f>VLOOKUP(A114,'[1]TAB OGU JUN18'!$A:$G,4,"falso")</f>
        <v>#N/A</v>
      </c>
      <c r="K114" s="313"/>
      <c r="L114" s="323" t="e">
        <f>VLOOKUP(A114,'[1]TAB OGU JUN18'!$A:$G,5,"falso")</f>
        <v>#N/A</v>
      </c>
      <c r="M114" s="313"/>
      <c r="N114" s="308"/>
      <c r="O114" s="185"/>
    </row>
    <row r="115" spans="1:15" ht="11.25" customHeight="1" x14ac:dyDescent="0.2">
      <c r="A115" s="140">
        <v>11</v>
      </c>
      <c r="B115" s="834" t="s">
        <v>649</v>
      </c>
      <c r="C115" s="834"/>
      <c r="D115" s="834"/>
      <c r="E115" s="834"/>
      <c r="F115" s="834"/>
      <c r="G115" s="162"/>
      <c r="H115" s="333"/>
      <c r="I115" s="333"/>
      <c r="J115" s="323" t="e">
        <f>VLOOKUP(A115,'[1]TAB OGU JUN18'!$A:$G,4,"falso")</f>
        <v>#N/A</v>
      </c>
      <c r="K115" s="340"/>
      <c r="L115" s="323" t="e">
        <f>VLOOKUP(A115,'[1]TAB OGU JUN18'!$A:$G,5,"falso")</f>
        <v>#N/A</v>
      </c>
      <c r="M115" s="313"/>
      <c r="N115" s="313"/>
      <c r="O115" s="219"/>
    </row>
    <row r="116" spans="1:15" ht="11.25" customHeight="1" x14ac:dyDescent="0.2">
      <c r="A116" s="140">
        <v>1101</v>
      </c>
      <c r="B116" s="834" t="s">
        <v>650</v>
      </c>
      <c r="C116" s="834"/>
      <c r="D116" s="834"/>
      <c r="E116" s="834"/>
      <c r="F116" s="834"/>
      <c r="G116" s="162"/>
      <c r="H116" s="333"/>
      <c r="I116" s="333"/>
      <c r="J116" s="323" t="e">
        <f>VLOOKUP(A116,'[1]TAB OGU JUN18'!$A:$G,4,"falso")</f>
        <v>#N/A</v>
      </c>
      <c r="K116" s="340"/>
      <c r="L116" s="323" t="e">
        <f>VLOOKUP(A116,'[1]TAB OGU JUN18'!$A:$G,5,"falso")</f>
        <v>#N/A</v>
      </c>
      <c r="M116" s="313"/>
      <c r="N116" s="313"/>
      <c r="O116" s="219"/>
    </row>
    <row r="117" spans="1:15" ht="11.25" customHeight="1" x14ac:dyDescent="0.2">
      <c r="A117" s="140" t="s">
        <v>358</v>
      </c>
      <c r="B117" s="834" t="s">
        <v>651</v>
      </c>
      <c r="C117" s="834"/>
      <c r="D117" s="834"/>
      <c r="E117" s="834"/>
      <c r="F117" s="834"/>
      <c r="G117" s="139" t="s">
        <v>31</v>
      </c>
      <c r="H117" s="189">
        <v>84</v>
      </c>
      <c r="I117" s="323">
        <f>VLOOKUP(A117,'[1]TAB OGU JUN18'!$A:$G,6,"falso")</f>
        <v>59.55</v>
      </c>
      <c r="J117" s="323">
        <f>VLOOKUP(A117,'[1]TAB OGU JUN18'!$A:$G,4,"falso")</f>
        <v>47.04</v>
      </c>
      <c r="K117" s="308">
        <f>H117*J117</f>
        <v>3951.36</v>
      </c>
      <c r="L117" s="323">
        <f>VLOOKUP(A117,'[1]TAB OGU JUN18'!$A:$G,5,"falso")</f>
        <v>12.51</v>
      </c>
      <c r="M117" s="308">
        <f>L117*H117</f>
        <v>1050.8399999999999</v>
      </c>
      <c r="N117" s="308">
        <f>H117*I117</f>
        <v>5002.2</v>
      </c>
      <c r="O117" s="297">
        <f>N117/N119</f>
        <v>1</v>
      </c>
    </row>
    <row r="118" spans="1:15" ht="11.25" customHeight="1" x14ac:dyDescent="0.2">
      <c r="A118" s="140"/>
      <c r="B118" s="138"/>
      <c r="C118" s="138"/>
      <c r="D118" s="138"/>
      <c r="E118" s="138"/>
      <c r="F118" s="138"/>
      <c r="G118" s="139"/>
      <c r="H118" s="189"/>
      <c r="I118" s="189"/>
      <c r="J118" s="323" t="e">
        <f>VLOOKUP(A118,'[1]TAB OGU JUN18'!$A:$G,4,"falso")</f>
        <v>#N/A</v>
      </c>
      <c r="K118" s="189"/>
      <c r="L118" s="323" t="e">
        <f>VLOOKUP(A118,'[1]TAB OGU JUN18'!$A:$G,5,"falso")</f>
        <v>#N/A</v>
      </c>
      <c r="M118" s="189"/>
      <c r="N118" s="189"/>
      <c r="O118" s="297"/>
    </row>
    <row r="119" spans="1:15" ht="11.25" customHeight="1" x14ac:dyDescent="0.2">
      <c r="A119" s="202"/>
      <c r="B119" s="142" t="s">
        <v>18</v>
      </c>
      <c r="C119" s="143"/>
      <c r="D119" s="143"/>
      <c r="E119" s="143"/>
      <c r="F119" s="143"/>
      <c r="G119" s="173"/>
      <c r="H119" s="335"/>
      <c r="I119" s="335"/>
      <c r="J119" s="323" t="e">
        <f>VLOOKUP(A119,'[1]TAB OGU JUN18'!$A:$G,4,"falso")</f>
        <v>#N/A</v>
      </c>
      <c r="K119" s="335"/>
      <c r="L119" s="323" t="e">
        <f>VLOOKUP(A119,'[1]TAB OGU JUN18'!$A:$G,5,"falso")</f>
        <v>#N/A</v>
      </c>
      <c r="M119" s="335"/>
      <c r="N119" s="189">
        <f>SUM(N117:N118)</f>
        <v>5002.2</v>
      </c>
      <c r="O119" s="297">
        <f>N119/N148</f>
        <v>0.33517622371370964</v>
      </c>
    </row>
    <row r="120" spans="1:15" ht="11.25" customHeight="1" x14ac:dyDescent="0.2">
      <c r="A120" s="202"/>
      <c r="B120" s="138"/>
      <c r="C120" s="138"/>
      <c r="D120" s="138"/>
      <c r="E120" s="138"/>
      <c r="F120" s="138"/>
      <c r="G120" s="162"/>
      <c r="H120" s="333"/>
      <c r="I120" s="333"/>
      <c r="J120" s="323" t="e">
        <f>VLOOKUP(A120,'[1]TAB OGU JUN18'!$A:$G,4,"falso")</f>
        <v>#N/A</v>
      </c>
      <c r="K120" s="313"/>
      <c r="L120" s="323" t="e">
        <f>VLOOKUP(A120,'[1]TAB OGU JUN18'!$A:$G,5,"falso")</f>
        <v>#N/A</v>
      </c>
      <c r="M120" s="313"/>
      <c r="N120" s="189"/>
      <c r="O120" s="297"/>
    </row>
    <row r="121" spans="1:15" ht="11.25" customHeight="1" x14ac:dyDescent="0.2">
      <c r="A121" s="140">
        <v>1102</v>
      </c>
      <c r="B121" s="834" t="s">
        <v>361</v>
      </c>
      <c r="C121" s="834"/>
      <c r="D121" s="834"/>
      <c r="E121" s="834"/>
      <c r="F121" s="834"/>
      <c r="G121" s="162"/>
      <c r="H121" s="333"/>
      <c r="I121" s="333"/>
      <c r="J121" s="323" t="e">
        <f>VLOOKUP(A121,'[1]TAB OGU JUN18'!$A:$G,4,"falso")</f>
        <v>#N/A</v>
      </c>
      <c r="K121" s="340"/>
      <c r="L121" s="323" t="e">
        <f>VLOOKUP(A121,'[1]TAB OGU JUN18'!$A:$G,5,"falso")</f>
        <v>#N/A</v>
      </c>
      <c r="M121" s="313"/>
      <c r="N121" s="313"/>
      <c r="O121" s="219"/>
    </row>
    <row r="122" spans="1:15" ht="11.25" customHeight="1" x14ac:dyDescent="0.2">
      <c r="A122" s="140" t="s">
        <v>362</v>
      </c>
      <c r="B122" s="837" t="s">
        <v>363</v>
      </c>
      <c r="C122" s="837"/>
      <c r="D122" s="837"/>
      <c r="E122" s="837"/>
      <c r="F122" s="837"/>
      <c r="G122" s="139" t="s">
        <v>31</v>
      </c>
      <c r="H122" s="293">
        <v>44.13</v>
      </c>
      <c r="I122" s="323">
        <f>VLOOKUP(A122,'[1]TAB OGU JUN18'!$A:$G,6,"falso")</f>
        <v>75.64</v>
      </c>
      <c r="J122" s="323">
        <f>VLOOKUP(A122,'[1]TAB OGU JUN18'!$A:$G,4,"falso")</f>
        <v>44.93</v>
      </c>
      <c r="K122" s="308">
        <f>H122*J122</f>
        <v>1982.7609</v>
      </c>
      <c r="L122" s="323">
        <f>VLOOKUP(A122,'[1]TAB OGU JUN18'!$A:$G,5,"falso")</f>
        <v>30.71</v>
      </c>
      <c r="M122" s="308">
        <f>L122*H122</f>
        <v>1355.2323000000001</v>
      </c>
      <c r="N122" s="308">
        <f>H122*I122</f>
        <v>3337.9932000000003</v>
      </c>
      <c r="O122" s="213">
        <f>N122/N124</f>
        <v>1</v>
      </c>
    </row>
    <row r="123" spans="1:15" ht="11.25" customHeight="1" x14ac:dyDescent="0.2">
      <c r="A123" s="140"/>
      <c r="B123" s="138"/>
      <c r="C123" s="138"/>
      <c r="D123" s="138"/>
      <c r="E123" s="138"/>
      <c r="F123" s="138"/>
      <c r="G123" s="139"/>
      <c r="H123" s="189"/>
      <c r="I123" s="189"/>
      <c r="J123" s="323" t="e">
        <f>VLOOKUP(A123,'[1]TAB OGU JUN18'!$A:$G,4,"falso")</f>
        <v>#N/A</v>
      </c>
      <c r="K123" s="189"/>
      <c r="L123" s="323" t="e">
        <f>VLOOKUP(A123,'[1]TAB OGU JUN18'!$A:$G,5,"falso")</f>
        <v>#N/A</v>
      </c>
      <c r="M123" s="189"/>
      <c r="N123" s="189"/>
      <c r="O123" s="297"/>
    </row>
    <row r="124" spans="1:15" ht="11.25" customHeight="1" x14ac:dyDescent="0.2">
      <c r="A124" s="202"/>
      <c r="B124" s="142" t="s">
        <v>18</v>
      </c>
      <c r="C124" s="143"/>
      <c r="D124" s="143"/>
      <c r="E124" s="143"/>
      <c r="F124" s="143"/>
      <c r="G124" s="173"/>
      <c r="H124" s="335"/>
      <c r="I124" s="335"/>
      <c r="J124" s="323" t="e">
        <f>VLOOKUP(A124,'[1]TAB OGU JUN18'!$A:$G,4,"falso")</f>
        <v>#N/A</v>
      </c>
      <c r="K124" s="335"/>
      <c r="L124" s="323" t="e">
        <f>VLOOKUP(A124,'[1]TAB OGU JUN18'!$A:$G,5,"falso")</f>
        <v>#N/A</v>
      </c>
      <c r="M124" s="335"/>
      <c r="N124" s="189">
        <f>SUM(N122:N123)</f>
        <v>3337.9932000000003</v>
      </c>
      <c r="O124" s="297">
        <f>N124/N148</f>
        <v>0.22366477860902037</v>
      </c>
    </row>
    <row r="125" spans="1:15" ht="11.25" customHeight="1" x14ac:dyDescent="0.2">
      <c r="A125" s="202"/>
      <c r="B125" s="138"/>
      <c r="C125" s="138"/>
      <c r="D125" s="138"/>
      <c r="E125" s="138"/>
      <c r="F125" s="138"/>
      <c r="G125" s="162"/>
      <c r="H125" s="333"/>
      <c r="I125" s="333"/>
      <c r="J125" s="323" t="e">
        <f>VLOOKUP(A125,'[1]TAB OGU JUN18'!$A:$G,4,"falso")</f>
        <v>#N/A</v>
      </c>
      <c r="K125" s="313"/>
      <c r="L125" s="323" t="e">
        <f>VLOOKUP(A125,'[1]TAB OGU JUN18'!$A:$G,5,"falso")</f>
        <v>#N/A</v>
      </c>
      <c r="M125" s="313"/>
      <c r="N125" s="189"/>
      <c r="O125" s="297"/>
    </row>
    <row r="126" spans="1:15" ht="11.25" customHeight="1" x14ac:dyDescent="0.2">
      <c r="A126" s="140">
        <v>1104</v>
      </c>
      <c r="B126" s="834" t="s">
        <v>364</v>
      </c>
      <c r="C126" s="834"/>
      <c r="D126" s="834"/>
      <c r="E126" s="834"/>
      <c r="F126" s="834"/>
      <c r="G126" s="162"/>
      <c r="H126" s="333"/>
      <c r="I126" s="333"/>
      <c r="J126" s="323" t="e">
        <f>VLOOKUP(A126,'[1]TAB OGU JUN18'!$A:$G,4,"falso")</f>
        <v>#N/A</v>
      </c>
      <c r="K126" s="340"/>
      <c r="L126" s="323" t="e">
        <f>VLOOKUP(A126,'[1]TAB OGU JUN18'!$A:$G,5,"falso")</f>
        <v>#N/A</v>
      </c>
      <c r="M126" s="313"/>
      <c r="N126" s="313"/>
      <c r="O126" s="219"/>
    </row>
    <row r="127" spans="1:15" ht="11.25" customHeight="1" x14ac:dyDescent="0.2">
      <c r="A127" s="140" t="s">
        <v>365</v>
      </c>
      <c r="B127" s="837" t="s">
        <v>366</v>
      </c>
      <c r="C127" s="837"/>
      <c r="D127" s="837"/>
      <c r="E127" s="837"/>
      <c r="F127" s="837"/>
      <c r="G127" s="139" t="s">
        <v>31</v>
      </c>
      <c r="H127" s="293">
        <f>H122</f>
        <v>44.13</v>
      </c>
      <c r="I127" s="323">
        <f>VLOOKUP(A127,'[1]TAB OGU JUN18'!$A:$G,6,"falso")</f>
        <v>32.450000000000003</v>
      </c>
      <c r="J127" s="323">
        <f>VLOOKUP(A127,'[1]TAB OGU JUN18'!$A:$G,4,"falso")</f>
        <v>10.71</v>
      </c>
      <c r="K127" s="308">
        <f>H127*J127</f>
        <v>472.63230000000004</v>
      </c>
      <c r="L127" s="323">
        <f>VLOOKUP(A127,'[1]TAB OGU JUN18'!$A:$G,5,"falso")</f>
        <v>21.74</v>
      </c>
      <c r="M127" s="308">
        <f>L127*H127</f>
        <v>959.38620000000003</v>
      </c>
      <c r="N127" s="308">
        <f>H127*I127</f>
        <v>1432.0185000000001</v>
      </c>
      <c r="O127" s="213">
        <f>N127/N130</f>
        <v>0.86078646847750528</v>
      </c>
    </row>
    <row r="128" spans="1:15" ht="11.25" customHeight="1" x14ac:dyDescent="0.2">
      <c r="A128" s="140" t="s">
        <v>367</v>
      </c>
      <c r="B128" s="837" t="s">
        <v>368</v>
      </c>
      <c r="C128" s="837"/>
      <c r="D128" s="837"/>
      <c r="E128" s="837"/>
      <c r="F128" s="837"/>
      <c r="G128" s="163" t="s">
        <v>17</v>
      </c>
      <c r="H128" s="293">
        <f>(H14*5.85)/24.65</f>
        <v>6.0374847870182569</v>
      </c>
      <c r="I128" s="323">
        <f>VLOOKUP(A128,'[1]TAB OGU JUN18'!$A:$G,6,"falso")</f>
        <v>38.36</v>
      </c>
      <c r="J128" s="323">
        <f>VLOOKUP(A128,'[1]TAB OGU JUN18'!$A:$G,4,"falso")</f>
        <v>15.34</v>
      </c>
      <c r="K128" s="308">
        <f>H128*J128</f>
        <v>92.615016632860062</v>
      </c>
      <c r="L128" s="323">
        <f>VLOOKUP(A128,'[1]TAB OGU JUN18'!$A:$G,5,"falso")</f>
        <v>23.02</v>
      </c>
      <c r="M128" s="308">
        <f>L128*H128</f>
        <v>138.98289979716026</v>
      </c>
      <c r="N128" s="308">
        <f>H128*I128</f>
        <v>231.59791643002032</v>
      </c>
      <c r="O128" s="213">
        <f>N128/N130</f>
        <v>0.13921353152249469</v>
      </c>
    </row>
    <row r="129" spans="1:15" ht="11.25" customHeight="1" x14ac:dyDescent="0.2">
      <c r="A129" s="140"/>
      <c r="B129" s="138"/>
      <c r="C129" s="138"/>
      <c r="D129" s="138"/>
      <c r="E129" s="138"/>
      <c r="F129" s="138"/>
      <c r="G129" s="139"/>
      <c r="H129" s="189"/>
      <c r="I129" s="189"/>
      <c r="J129" s="323" t="e">
        <f>VLOOKUP(A129,'[1]TAB OGU JUN18'!$A:$G,4,"falso")</f>
        <v>#N/A</v>
      </c>
      <c r="K129" s="308"/>
      <c r="L129" s="323" t="e">
        <f>VLOOKUP(A129,'[1]TAB OGU JUN18'!$A:$G,5,"falso")</f>
        <v>#N/A</v>
      </c>
      <c r="M129" s="189"/>
      <c r="N129" s="189"/>
      <c r="O129" s="297"/>
    </row>
    <row r="130" spans="1:15" ht="11.25" customHeight="1" x14ac:dyDescent="0.2">
      <c r="A130" s="202"/>
      <c r="B130" s="142" t="s">
        <v>18</v>
      </c>
      <c r="C130" s="143"/>
      <c r="D130" s="143"/>
      <c r="E130" s="143"/>
      <c r="F130" s="143"/>
      <c r="G130" s="173"/>
      <c r="H130" s="335"/>
      <c r="I130" s="335"/>
      <c r="J130" s="323" t="e">
        <f>VLOOKUP(A130,'[1]TAB OGU JUN18'!$A:$G,4,"falso")</f>
        <v>#N/A</v>
      </c>
      <c r="K130" s="335"/>
      <c r="L130" s="323" t="e">
        <f>VLOOKUP(A130,'[1]TAB OGU JUN18'!$A:$G,5,"falso")</f>
        <v>#N/A</v>
      </c>
      <c r="M130" s="335"/>
      <c r="N130" s="189">
        <f>SUM(N127:N129)</f>
        <v>1663.6164164300205</v>
      </c>
      <c r="O130" s="297">
        <f>N130/$N$148</f>
        <v>0.11147188600358812</v>
      </c>
    </row>
    <row r="131" spans="1:15" ht="11.25" customHeight="1" x14ac:dyDescent="0.2">
      <c r="A131" s="202"/>
      <c r="B131" s="138"/>
      <c r="C131" s="138"/>
      <c r="D131" s="138"/>
      <c r="E131" s="138"/>
      <c r="F131" s="138"/>
      <c r="G131" s="162"/>
      <c r="H131" s="333"/>
      <c r="I131" s="333"/>
      <c r="J131" s="323" t="e">
        <f>VLOOKUP(A131,'[1]TAB OGU JUN18'!$A:$G,4,"falso")</f>
        <v>#N/A</v>
      </c>
      <c r="K131" s="313"/>
      <c r="L131" s="323" t="e">
        <f>VLOOKUP(A131,'[1]TAB OGU JUN18'!$A:$G,5,"falso")</f>
        <v>#N/A</v>
      </c>
      <c r="M131" s="313"/>
      <c r="N131" s="189"/>
      <c r="O131" s="297"/>
    </row>
    <row r="132" spans="1:15" ht="11.25" customHeight="1" x14ac:dyDescent="0.2">
      <c r="A132" s="140">
        <v>1105</v>
      </c>
      <c r="B132" s="834" t="s">
        <v>369</v>
      </c>
      <c r="C132" s="834"/>
      <c r="D132" s="834"/>
      <c r="E132" s="834"/>
      <c r="F132" s="834"/>
      <c r="G132" s="162"/>
      <c r="H132" s="333"/>
      <c r="I132" s="333"/>
      <c r="J132" s="323" t="e">
        <f>VLOOKUP(A132,'[1]TAB OGU JUN18'!$A:$G,4,"falso")</f>
        <v>#N/A</v>
      </c>
      <c r="K132" s="340"/>
      <c r="L132" s="323" t="e">
        <f>VLOOKUP(A132,'[1]TAB OGU JUN18'!$A:$G,5,"falso")</f>
        <v>#N/A</v>
      </c>
      <c r="M132" s="313"/>
      <c r="N132" s="313"/>
      <c r="O132" s="219"/>
    </row>
    <row r="133" spans="1:15" ht="11.25" customHeight="1" x14ac:dyDescent="0.2">
      <c r="A133" s="140" t="s">
        <v>983</v>
      </c>
      <c r="B133" s="837" t="s">
        <v>370</v>
      </c>
      <c r="C133" s="837"/>
      <c r="D133" s="837"/>
      <c r="E133" s="837"/>
      <c r="F133" s="837"/>
      <c r="G133" s="163" t="s">
        <v>24</v>
      </c>
      <c r="H133" s="293">
        <v>3</v>
      </c>
      <c r="I133" s="323">
        <f>VLOOKUP(A133,'[1]TAB OGU JUN18'!$A:$G,6,"falso")</f>
        <v>521.14</v>
      </c>
      <c r="J133" s="323">
        <f>VLOOKUP(A133,'[1]TAB OGU JUN18'!$A:$G,4,"falso")</f>
        <v>133.36000000000001</v>
      </c>
      <c r="K133" s="308">
        <f>H133*J133</f>
        <v>400.08000000000004</v>
      </c>
      <c r="L133" s="323">
        <f>VLOOKUP(A133,'[1]TAB OGU JUN18'!$A:$G,5,"falso")</f>
        <v>387.78</v>
      </c>
      <c r="M133" s="308">
        <f>L133*H133</f>
        <v>1163.3399999999999</v>
      </c>
      <c r="N133" s="308">
        <f>H133*I133</f>
        <v>1563.42</v>
      </c>
      <c r="O133" s="213">
        <f>N133/N135</f>
        <v>1</v>
      </c>
    </row>
    <row r="134" spans="1:15" ht="11.25" customHeight="1" x14ac:dyDescent="0.2">
      <c r="A134" s="140"/>
      <c r="B134" s="138"/>
      <c r="C134" s="138"/>
      <c r="D134" s="138"/>
      <c r="E134" s="138"/>
      <c r="F134" s="138"/>
      <c r="G134" s="139"/>
      <c r="H134" s="189"/>
      <c r="I134" s="189"/>
      <c r="J134" s="323" t="e">
        <f>VLOOKUP(A134,'[1]TAB OGU JUN18'!$A:$G,4,"falso")</f>
        <v>#N/A</v>
      </c>
      <c r="K134" s="189"/>
      <c r="L134" s="323" t="e">
        <f>VLOOKUP(A134,'[1]TAB OGU JUN18'!$A:$G,5,"falso")</f>
        <v>#N/A</v>
      </c>
      <c r="M134" s="189"/>
      <c r="N134" s="189"/>
      <c r="O134" s="297"/>
    </row>
    <row r="135" spans="1:15" ht="11.25" customHeight="1" x14ac:dyDescent="0.2">
      <c r="A135" s="202"/>
      <c r="B135" s="142" t="s">
        <v>18</v>
      </c>
      <c r="C135" s="143"/>
      <c r="D135" s="143"/>
      <c r="E135" s="143"/>
      <c r="F135" s="143"/>
      <c r="G135" s="173"/>
      <c r="H135" s="335"/>
      <c r="I135" s="335"/>
      <c r="J135" s="323" t="e">
        <f>VLOOKUP(A135,'[1]TAB OGU JUN18'!$A:$G,4,"falso")</f>
        <v>#N/A</v>
      </c>
      <c r="K135" s="335"/>
      <c r="L135" s="323" t="e">
        <f>VLOOKUP(A135,'[1]TAB OGU JUN18'!$A:$G,5,"falso")</f>
        <v>#N/A</v>
      </c>
      <c r="M135" s="335"/>
      <c r="N135" s="189">
        <f>SUM(N133:N134)</f>
        <v>1563.42</v>
      </c>
      <c r="O135" s="297">
        <f>N135/$N$148</f>
        <v>0.10475814875024748</v>
      </c>
    </row>
    <row r="136" spans="1:15" ht="11.25" hidden="1" customHeight="1" x14ac:dyDescent="0.2">
      <c r="A136" s="202"/>
      <c r="B136" s="138"/>
      <c r="C136" s="138"/>
      <c r="D136" s="138"/>
      <c r="E136" s="138"/>
      <c r="F136" s="138"/>
      <c r="G136" s="162"/>
      <c r="H136" s="333"/>
      <c r="I136" s="333"/>
      <c r="J136" s="323" t="e">
        <f>VLOOKUP(A136,'[1]TAB OGU JUN18'!$A:$G,4,"falso")</f>
        <v>#N/A</v>
      </c>
      <c r="K136" s="313"/>
      <c r="L136" s="323" t="e">
        <f>VLOOKUP(A136,'[1]TAB OGU JUN18'!$A:$G,5,"falso")</f>
        <v>#N/A</v>
      </c>
      <c r="M136" s="313"/>
      <c r="N136" s="189"/>
      <c r="O136" s="297"/>
    </row>
    <row r="137" spans="1:15" ht="11.25" hidden="1" customHeight="1" x14ac:dyDescent="0.2">
      <c r="A137" s="140" t="s">
        <v>984</v>
      </c>
      <c r="B137" s="834" t="s">
        <v>371</v>
      </c>
      <c r="C137" s="834"/>
      <c r="D137" s="834"/>
      <c r="E137" s="834"/>
      <c r="F137" s="834"/>
      <c r="G137" s="162"/>
      <c r="H137" s="333"/>
      <c r="I137" s="333"/>
      <c r="J137" s="323">
        <f>VLOOKUP(A137,'[1]TAB OGU JUN18'!$A:$G,4,"falso")</f>
        <v>0</v>
      </c>
      <c r="K137" s="340"/>
      <c r="L137" s="323">
        <f>VLOOKUP(A137,'[1]TAB OGU JUN18'!$A:$G,5,"falso")</f>
        <v>0</v>
      </c>
      <c r="M137" s="313"/>
      <c r="N137" s="313"/>
      <c r="O137" s="219"/>
    </row>
    <row r="138" spans="1:15" ht="11.25" hidden="1" customHeight="1" x14ac:dyDescent="0.2">
      <c r="A138" s="140" t="s">
        <v>372</v>
      </c>
      <c r="B138" s="837" t="s">
        <v>373</v>
      </c>
      <c r="C138" s="837"/>
      <c r="D138" s="837"/>
      <c r="E138" s="837"/>
      <c r="F138" s="837"/>
      <c r="G138" s="163" t="s">
        <v>24</v>
      </c>
      <c r="H138" s="293">
        <v>0</v>
      </c>
      <c r="I138" s="323">
        <f>VLOOKUP(A138,'[1]TAB OGU JUN18'!$A:$G,6,"falso")</f>
        <v>885.22</v>
      </c>
      <c r="J138" s="323">
        <f>VLOOKUP(A138,'[1]TAB OGU JUN18'!$A:$G,4,"falso")</f>
        <v>187.45</v>
      </c>
      <c r="K138" s="308">
        <f>H138*J138</f>
        <v>0</v>
      </c>
      <c r="L138" s="323">
        <f>VLOOKUP(A138,'[1]TAB OGU JUN18'!$A:$G,5,"falso")</f>
        <v>697.77</v>
      </c>
      <c r="M138" s="308">
        <f>L138*H138</f>
        <v>0</v>
      </c>
      <c r="N138" s="308">
        <f>H138*I138</f>
        <v>0</v>
      </c>
      <c r="O138" s="213" t="e">
        <f>N138/N140</f>
        <v>#DIV/0!</v>
      </c>
    </row>
    <row r="139" spans="1:15" ht="11.25" hidden="1" customHeight="1" x14ac:dyDescent="0.2">
      <c r="A139" s="140"/>
      <c r="B139" s="138"/>
      <c r="C139" s="138"/>
      <c r="D139" s="138"/>
      <c r="E139" s="138"/>
      <c r="F139" s="138"/>
      <c r="G139" s="139"/>
      <c r="H139" s="189"/>
      <c r="I139" s="189"/>
      <c r="J139" s="323" t="e">
        <f>VLOOKUP(A139,'[1]TAB OGU JUN18'!$A:$G,4,"falso")</f>
        <v>#N/A</v>
      </c>
      <c r="K139" s="189"/>
      <c r="L139" s="323" t="e">
        <f>VLOOKUP(A139,'[1]TAB OGU JUN18'!$A:$G,5,"falso")</f>
        <v>#N/A</v>
      </c>
      <c r="M139" s="189"/>
      <c r="N139" s="189"/>
      <c r="O139" s="297"/>
    </row>
    <row r="140" spans="1:15" ht="11.25" hidden="1" customHeight="1" x14ac:dyDescent="0.2">
      <c r="A140" s="202"/>
      <c r="B140" s="142" t="s">
        <v>18</v>
      </c>
      <c r="C140" s="143"/>
      <c r="D140" s="143"/>
      <c r="E140" s="143"/>
      <c r="F140" s="143"/>
      <c r="G140" s="173"/>
      <c r="H140" s="335"/>
      <c r="I140" s="335"/>
      <c r="J140" s="323" t="e">
        <f>VLOOKUP(A140,'[1]TAB OGU JUN18'!$A:$G,4,"falso")</f>
        <v>#N/A</v>
      </c>
      <c r="K140" s="335"/>
      <c r="L140" s="323" t="e">
        <f>VLOOKUP(A140,'[1]TAB OGU JUN18'!$A:$G,5,"falso")</f>
        <v>#N/A</v>
      </c>
      <c r="M140" s="335"/>
      <c r="N140" s="189">
        <f>SUM(N138:N139)</f>
        <v>0</v>
      </c>
      <c r="O140" s="297">
        <f>N140/$N$148</f>
        <v>0</v>
      </c>
    </row>
    <row r="141" spans="1:15" ht="11.25" customHeight="1" x14ac:dyDescent="0.2">
      <c r="A141" s="202"/>
      <c r="B141" s="138"/>
      <c r="C141" s="138"/>
      <c r="D141" s="138"/>
      <c r="E141" s="138"/>
      <c r="F141" s="138"/>
      <c r="G141" s="162"/>
      <c r="H141" s="333"/>
      <c r="I141" s="333"/>
      <c r="J141" s="323" t="e">
        <f>VLOOKUP(A141,'[1]TAB OGU JUN18'!$A:$G,4,"falso")</f>
        <v>#N/A</v>
      </c>
      <c r="K141" s="313"/>
      <c r="L141" s="323" t="e">
        <f>VLOOKUP(A141,'[1]TAB OGU JUN18'!$A:$G,5,"falso")</f>
        <v>#N/A</v>
      </c>
      <c r="M141" s="313"/>
      <c r="N141" s="189"/>
      <c r="O141" s="297"/>
    </row>
    <row r="142" spans="1:15" ht="11.25" customHeight="1" x14ac:dyDescent="0.2">
      <c r="A142" s="140">
        <v>1107</v>
      </c>
      <c r="B142" s="834" t="s">
        <v>574</v>
      </c>
      <c r="C142" s="834"/>
      <c r="D142" s="834"/>
      <c r="E142" s="834"/>
      <c r="F142" s="834"/>
      <c r="G142" s="162"/>
      <c r="H142" s="333"/>
      <c r="I142" s="333"/>
      <c r="J142" s="323" t="e">
        <f>VLOOKUP(A142,'[1]TAB OGU JUN18'!$A:$G,4,"falso")</f>
        <v>#N/A</v>
      </c>
      <c r="K142" s="340"/>
      <c r="L142" s="323" t="e">
        <f>VLOOKUP(A142,'[1]TAB OGU JUN18'!$A:$G,5,"falso")</f>
        <v>#N/A</v>
      </c>
      <c r="M142" s="313"/>
      <c r="N142" s="313"/>
      <c r="O142" s="219"/>
    </row>
    <row r="143" spans="1:15" ht="11.25" customHeight="1" x14ac:dyDescent="0.2">
      <c r="A143" s="140" t="s">
        <v>374</v>
      </c>
      <c r="B143" s="837" t="s">
        <v>375</v>
      </c>
      <c r="C143" s="837"/>
      <c r="D143" s="837"/>
      <c r="E143" s="837"/>
      <c r="F143" s="837"/>
      <c r="G143" s="163" t="s">
        <v>31</v>
      </c>
      <c r="H143" s="293">
        <v>6</v>
      </c>
      <c r="I143" s="323">
        <f>VLOOKUP(A143,'[1]TAB OGU JUN18'!$A:$G,6,"falso")</f>
        <v>316.17</v>
      </c>
      <c r="J143" s="323">
        <f>VLOOKUP(A143,'[1]TAB OGU JUN18'!$A:$G,4,"falso")</f>
        <v>80.3</v>
      </c>
      <c r="K143" s="308">
        <f>H143*J143</f>
        <v>481.79999999999995</v>
      </c>
      <c r="L143" s="323">
        <f>VLOOKUP(A143,'[1]TAB OGU JUN18'!$A:$G,5,"falso")</f>
        <v>235.87</v>
      </c>
      <c r="M143" s="308">
        <f>L143*H143</f>
        <v>1415.22</v>
      </c>
      <c r="N143" s="308">
        <f>H143*I143</f>
        <v>1897.02</v>
      </c>
      <c r="O143" s="213">
        <f>N143/N146</f>
        <v>0.5651174013810526</v>
      </c>
    </row>
    <row r="144" spans="1:15" ht="11.25" customHeight="1" x14ac:dyDescent="0.2">
      <c r="A144" s="140" t="s">
        <v>985</v>
      </c>
      <c r="B144" s="837" t="s">
        <v>986</v>
      </c>
      <c r="C144" s="837"/>
      <c r="D144" s="837"/>
      <c r="E144" s="837"/>
      <c r="F144" s="837"/>
      <c r="G144" s="163" t="s">
        <v>24</v>
      </c>
      <c r="H144" s="293">
        <v>1</v>
      </c>
      <c r="I144" s="323">
        <f>VLOOKUP(A144,'[1]TAB OGU JUN18'!$A:$G,6,"falso")</f>
        <v>1459.84</v>
      </c>
      <c r="J144" s="323">
        <f>VLOOKUP(A144,'[1]TAB OGU JUN18'!$A:$G,4,"falso")</f>
        <v>122.11</v>
      </c>
      <c r="K144" s="308">
        <f>H144*J144</f>
        <v>122.11</v>
      </c>
      <c r="L144" s="323">
        <f>VLOOKUP(A144,'[1]TAB OGU JUN18'!$A:$G,5,"falso")</f>
        <v>1337.73</v>
      </c>
      <c r="M144" s="308">
        <f>L144*H144</f>
        <v>1337.73</v>
      </c>
      <c r="N144" s="308">
        <f>H144*I144</f>
        <v>1459.84</v>
      </c>
      <c r="O144" s="213">
        <f>N144/N146</f>
        <v>0.43488259861894751</v>
      </c>
    </row>
    <row r="145" spans="1:15" ht="11.25" customHeight="1" x14ac:dyDescent="0.2">
      <c r="A145" s="140"/>
      <c r="B145" s="138"/>
      <c r="C145" s="138"/>
      <c r="D145" s="138"/>
      <c r="E145" s="138"/>
      <c r="F145" s="138"/>
      <c r="G145" s="139"/>
      <c r="H145" s="189"/>
      <c r="I145" s="189"/>
      <c r="J145" s="323" t="e">
        <f>VLOOKUP(A145,'[1]TAB OGU JUN18'!$A:$G,4,"falso")</f>
        <v>#N/A</v>
      </c>
      <c r="K145" s="189"/>
      <c r="L145" s="323" t="e">
        <f>VLOOKUP(A145,'[1]TAB OGU JUN18'!$A:$G,5,"falso")</f>
        <v>#N/A</v>
      </c>
      <c r="M145" s="189"/>
      <c r="N145" s="189"/>
      <c r="O145" s="297"/>
    </row>
    <row r="146" spans="1:15" ht="11.25" customHeight="1" x14ac:dyDescent="0.2">
      <c r="A146" s="202"/>
      <c r="B146" s="142" t="s">
        <v>18</v>
      </c>
      <c r="C146" s="143"/>
      <c r="D146" s="143"/>
      <c r="E146" s="143"/>
      <c r="F146" s="143"/>
      <c r="G146" s="173"/>
      <c r="H146" s="335"/>
      <c r="I146" s="335"/>
      <c r="J146" s="323" t="e">
        <f>VLOOKUP(A146,'[1]TAB OGU JUN18'!$A:$G,4,"falso")</f>
        <v>#N/A</v>
      </c>
      <c r="K146" s="335"/>
      <c r="L146" s="323" t="e">
        <f>VLOOKUP(A146,'[1]TAB OGU JUN18'!$A:$G,5,"falso")</f>
        <v>#N/A</v>
      </c>
      <c r="M146" s="335"/>
      <c r="N146" s="189">
        <f>SUM(N143:N145)</f>
        <v>3356.8599999999997</v>
      </c>
      <c r="O146" s="297">
        <f>N146/$N$148</f>
        <v>0.22492896292343434</v>
      </c>
    </row>
    <row r="147" spans="1:15" ht="11.25" customHeight="1" x14ac:dyDescent="0.2">
      <c r="A147" s="202"/>
      <c r="B147" s="138"/>
      <c r="C147" s="138"/>
      <c r="D147" s="138"/>
      <c r="E147" s="138"/>
      <c r="F147" s="138"/>
      <c r="G147" s="162"/>
      <c r="H147" s="333"/>
      <c r="I147" s="333"/>
      <c r="J147" s="323" t="e">
        <f>VLOOKUP(A147,'[1]TAB OGU JUN18'!$A:$G,4,"falso")</f>
        <v>#N/A</v>
      </c>
      <c r="K147" s="313"/>
      <c r="L147" s="323" t="e">
        <f>VLOOKUP(A147,'[1]TAB OGU JUN18'!$A:$G,5,"falso")</f>
        <v>#N/A</v>
      </c>
      <c r="M147" s="313"/>
      <c r="N147" s="189"/>
      <c r="O147" s="297"/>
    </row>
    <row r="148" spans="1:15" s="132" customFormat="1" ht="11.25" customHeight="1" x14ac:dyDescent="0.2">
      <c r="A148" s="203"/>
      <c r="B148" s="175" t="s">
        <v>20</v>
      </c>
      <c r="C148" s="176"/>
      <c r="D148" s="176"/>
      <c r="E148" s="176"/>
      <c r="F148" s="176"/>
      <c r="G148" s="178"/>
      <c r="H148" s="337"/>
      <c r="I148" s="337"/>
      <c r="J148" s="323" t="e">
        <f>VLOOKUP(A148,'[1]TAB OGU JUN18'!$A:$G,4,"falso")</f>
        <v>#N/A</v>
      </c>
      <c r="K148" s="337"/>
      <c r="L148" s="323" t="e">
        <f>VLOOKUP(A148,'[1]TAB OGU JUN18'!$A:$G,5,"falso")</f>
        <v>#N/A</v>
      </c>
      <c r="M148" s="337"/>
      <c r="N148" s="295">
        <f>N119+N124+N130+N135+N140+N146</f>
        <v>14924.089616430021</v>
      </c>
      <c r="O148" s="186">
        <f>N148/$N$202</f>
        <v>0.27567987844871611</v>
      </c>
    </row>
    <row r="149" spans="1:15" ht="11.25" customHeight="1" x14ac:dyDescent="0.2">
      <c r="A149" s="202"/>
      <c r="B149" s="138"/>
      <c r="C149" s="138"/>
      <c r="D149" s="138"/>
      <c r="E149" s="138"/>
      <c r="F149" s="138"/>
      <c r="G149" s="162"/>
      <c r="H149" s="333"/>
      <c r="I149" s="333"/>
      <c r="J149" s="323" t="e">
        <f>VLOOKUP(A149,'[1]TAB OGU JUN18'!$A:$G,4,"falso")</f>
        <v>#N/A</v>
      </c>
      <c r="K149" s="313"/>
      <c r="L149" s="323" t="e">
        <f>VLOOKUP(A149,'[1]TAB OGU JUN18'!$A:$G,5,"falso")</f>
        <v>#N/A</v>
      </c>
      <c r="M149" s="313"/>
      <c r="N149" s="189"/>
      <c r="O149" s="297"/>
    </row>
    <row r="150" spans="1:15" ht="11.25" customHeight="1" x14ac:dyDescent="0.2">
      <c r="A150" s="140">
        <v>12</v>
      </c>
      <c r="B150" s="834" t="s">
        <v>377</v>
      </c>
      <c r="C150" s="834"/>
      <c r="D150" s="834"/>
      <c r="E150" s="834"/>
      <c r="F150" s="834"/>
      <c r="G150" s="162"/>
      <c r="H150" s="333"/>
      <c r="I150" s="333"/>
      <c r="J150" s="323" t="e">
        <f>VLOOKUP(A150,'[1]TAB OGU JUN18'!$A:$G,4,"falso")</f>
        <v>#N/A</v>
      </c>
      <c r="K150" s="313"/>
      <c r="L150" s="323" t="e">
        <f>VLOOKUP(A150,'[1]TAB OGU JUN18'!$A:$G,5,"falso")</f>
        <v>#N/A</v>
      </c>
      <c r="M150" s="313"/>
      <c r="N150" s="333"/>
      <c r="O150" s="297"/>
    </row>
    <row r="151" spans="1:15" ht="11.25" customHeight="1" x14ac:dyDescent="0.2">
      <c r="A151" s="140">
        <v>1201</v>
      </c>
      <c r="B151" s="834" t="s">
        <v>378</v>
      </c>
      <c r="C151" s="834"/>
      <c r="D151" s="834"/>
      <c r="E151" s="834"/>
      <c r="F151" s="834"/>
      <c r="G151" s="162"/>
      <c r="H151" s="333"/>
      <c r="I151" s="333"/>
      <c r="J151" s="323" t="e">
        <f>VLOOKUP(A151,'[1]TAB OGU JUN18'!$A:$G,4,"falso")</f>
        <v>#N/A</v>
      </c>
      <c r="K151" s="313"/>
      <c r="L151" s="323" t="e">
        <f>VLOOKUP(A151,'[1]TAB OGU JUN18'!$A:$G,5,"falso")</f>
        <v>#N/A</v>
      </c>
      <c r="M151" s="313"/>
      <c r="N151" s="333"/>
      <c r="O151" s="297"/>
    </row>
    <row r="152" spans="1:15" ht="11.25" customHeight="1" x14ac:dyDescent="0.2">
      <c r="A152" s="140" t="s">
        <v>379</v>
      </c>
      <c r="B152" s="834" t="s">
        <v>380</v>
      </c>
      <c r="C152" s="834"/>
      <c r="D152" s="834"/>
      <c r="E152" s="834"/>
      <c r="F152" s="834"/>
      <c r="G152" s="139" t="s">
        <v>31</v>
      </c>
      <c r="H152" s="189">
        <f>(H14*34.12)/24.65</f>
        <v>35.213501014198783</v>
      </c>
      <c r="I152" s="323">
        <f>VLOOKUP(A152,'[1]TAB OGU JUN18'!$A:$G,6,"falso")</f>
        <v>21.49</v>
      </c>
      <c r="J152" s="323">
        <f>VLOOKUP(A152,'[1]TAB OGU JUN18'!$A:$G,4,"falso")</f>
        <v>14.46</v>
      </c>
      <c r="K152" s="308">
        <f>H152*J152</f>
        <v>509.18722466531443</v>
      </c>
      <c r="L152" s="323">
        <f>VLOOKUP(A152,'[1]TAB OGU JUN18'!$A:$G,5,"falso")</f>
        <v>7.03</v>
      </c>
      <c r="M152" s="308">
        <f>L152*H152</f>
        <v>247.55091212981745</v>
      </c>
      <c r="N152" s="308">
        <f>H152*I152</f>
        <v>756.73813679513182</v>
      </c>
      <c r="O152" s="297">
        <f>N152/N155</f>
        <v>0.41767770043794594</v>
      </c>
    </row>
    <row r="153" spans="1:15" ht="11.25" customHeight="1" x14ac:dyDescent="0.2">
      <c r="A153" s="140" t="s">
        <v>381</v>
      </c>
      <c r="B153" s="834" t="s">
        <v>382</v>
      </c>
      <c r="C153" s="834"/>
      <c r="D153" s="834"/>
      <c r="E153" s="834"/>
      <c r="F153" s="834"/>
      <c r="G153" s="139" t="s">
        <v>31</v>
      </c>
      <c r="H153" s="189">
        <f>(H14*20.74)/24.65</f>
        <v>21.404689655172415</v>
      </c>
      <c r="I153" s="323">
        <f>VLOOKUP(A153,'[1]TAB OGU JUN18'!$A:$G,6,"falso")</f>
        <v>49.29</v>
      </c>
      <c r="J153" s="323">
        <f>VLOOKUP(A153,'[1]TAB OGU JUN18'!$A:$G,4,"falso")</f>
        <v>29.99</v>
      </c>
      <c r="K153" s="308">
        <f>H153*J153</f>
        <v>641.92664275862069</v>
      </c>
      <c r="L153" s="323">
        <f>VLOOKUP(A153,'[1]TAB OGU JUN18'!$A:$G,5,"falso")</f>
        <v>19.3</v>
      </c>
      <c r="M153" s="308">
        <f>L153*H153</f>
        <v>413.11051034482762</v>
      </c>
      <c r="N153" s="308">
        <f>H153*I153</f>
        <v>1055.0371531034484</v>
      </c>
      <c r="O153" s="297">
        <f>N153/N155</f>
        <v>0.58232229956205406</v>
      </c>
    </row>
    <row r="154" spans="1:15" ht="11.25" customHeight="1" x14ac:dyDescent="0.2">
      <c r="A154" s="140"/>
      <c r="B154" s="138"/>
      <c r="C154" s="138"/>
      <c r="D154" s="138"/>
      <c r="E154" s="138"/>
      <c r="F154" s="138"/>
      <c r="G154" s="139"/>
      <c r="H154" s="189"/>
      <c r="I154" s="189"/>
      <c r="J154" s="323" t="e">
        <f>VLOOKUP(A154,'[1]TAB OGU JUN18'!$A:$G,4,"falso")</f>
        <v>#N/A</v>
      </c>
      <c r="K154" s="313"/>
      <c r="L154" s="323" t="e">
        <f>VLOOKUP(A154,'[1]TAB OGU JUN18'!$A:$G,5,"falso")</f>
        <v>#N/A</v>
      </c>
      <c r="M154" s="313"/>
      <c r="N154" s="189"/>
      <c r="O154" s="297"/>
    </row>
    <row r="155" spans="1:15" ht="11.25" customHeight="1" x14ac:dyDescent="0.2">
      <c r="A155" s="202"/>
      <c r="B155" s="142" t="s">
        <v>18</v>
      </c>
      <c r="C155" s="143"/>
      <c r="D155" s="143"/>
      <c r="E155" s="143"/>
      <c r="F155" s="143"/>
      <c r="G155" s="173"/>
      <c r="H155" s="335"/>
      <c r="I155" s="335"/>
      <c r="J155" s="323" t="e">
        <f>VLOOKUP(A155,'[1]TAB OGU JUN18'!$A:$G,4,"falso")</f>
        <v>#N/A</v>
      </c>
      <c r="K155" s="335"/>
      <c r="L155" s="323" t="e">
        <f>VLOOKUP(A155,'[1]TAB OGU JUN18'!$A:$G,5,"falso")</f>
        <v>#N/A</v>
      </c>
      <c r="M155" s="335"/>
      <c r="N155" s="189">
        <f>SUM(N152:N154)</f>
        <v>1811.7752898985802</v>
      </c>
      <c r="O155" s="297">
        <f>N155/$N$179</f>
        <v>9.7558512175438011E-2</v>
      </c>
    </row>
    <row r="156" spans="1:15" ht="11.25" customHeight="1" x14ac:dyDescent="0.2">
      <c r="A156" s="202"/>
      <c r="B156" s="138"/>
      <c r="C156" s="138"/>
      <c r="D156" s="138"/>
      <c r="E156" s="138"/>
      <c r="F156" s="138"/>
      <c r="G156" s="162"/>
      <c r="H156" s="333"/>
      <c r="I156" s="333"/>
      <c r="J156" s="323" t="e">
        <f>VLOOKUP(A156,'[1]TAB OGU JUN18'!$A:$G,4,"falso")</f>
        <v>#N/A</v>
      </c>
      <c r="K156" s="313"/>
      <c r="L156" s="323" t="e">
        <f>VLOOKUP(A156,'[1]TAB OGU JUN18'!$A:$G,5,"falso")</f>
        <v>#N/A</v>
      </c>
      <c r="M156" s="313"/>
      <c r="N156" s="189"/>
      <c r="O156" s="297"/>
    </row>
    <row r="157" spans="1:15" ht="11.25" customHeight="1" x14ac:dyDescent="0.2">
      <c r="A157" s="140">
        <v>1202</v>
      </c>
      <c r="B157" s="834" t="s">
        <v>383</v>
      </c>
      <c r="C157" s="834"/>
      <c r="D157" s="834"/>
      <c r="E157" s="834"/>
      <c r="F157" s="834"/>
      <c r="G157" s="162"/>
      <c r="H157" s="333"/>
      <c r="I157" s="333"/>
      <c r="J157" s="323" t="e">
        <f>VLOOKUP(A157,'[1]TAB OGU JUN18'!$A:$G,4,"falso")</f>
        <v>#N/A</v>
      </c>
      <c r="K157" s="313"/>
      <c r="L157" s="323" t="e">
        <f>VLOOKUP(A157,'[1]TAB OGU JUN18'!$A:$G,5,"falso")</f>
        <v>#N/A</v>
      </c>
      <c r="M157" s="313"/>
      <c r="N157" s="333"/>
      <c r="O157" s="297"/>
    </row>
    <row r="158" spans="1:15" ht="11.25" customHeight="1" x14ac:dyDescent="0.2">
      <c r="A158" s="140" t="s">
        <v>384</v>
      </c>
      <c r="B158" s="834" t="s">
        <v>385</v>
      </c>
      <c r="C158" s="834"/>
      <c r="D158" s="834"/>
      <c r="E158" s="834"/>
      <c r="F158" s="834"/>
      <c r="G158" s="139" t="s">
        <v>17</v>
      </c>
      <c r="H158" s="189">
        <v>32.799999999999997</v>
      </c>
      <c r="I158" s="323">
        <f>VLOOKUP(A158,'[1]TAB OGU JUN18'!$A:$G,6,"falso")</f>
        <v>4.37</v>
      </c>
      <c r="J158" s="323">
        <f>VLOOKUP(A158,'[1]TAB OGU JUN18'!$A:$G,4,"falso")</f>
        <v>2.71</v>
      </c>
      <c r="K158" s="308">
        <f>H158*J158</f>
        <v>88.887999999999991</v>
      </c>
      <c r="L158" s="323">
        <f>VLOOKUP(A158,'[1]TAB OGU JUN18'!$A:$G,5,"falso")</f>
        <v>1.66</v>
      </c>
      <c r="M158" s="308">
        <f>L158*H158</f>
        <v>54.447999999999993</v>
      </c>
      <c r="N158" s="308">
        <f>H158*I158</f>
        <v>143.33599999999998</v>
      </c>
      <c r="O158" s="297">
        <f>N158/N160</f>
        <v>1</v>
      </c>
    </row>
    <row r="159" spans="1:15" ht="11.25" customHeight="1" x14ac:dyDescent="0.2">
      <c r="A159" s="140"/>
      <c r="B159" s="138"/>
      <c r="C159" s="138"/>
      <c r="D159" s="138"/>
      <c r="E159" s="138"/>
      <c r="F159" s="138"/>
      <c r="G159" s="139"/>
      <c r="H159" s="189"/>
      <c r="I159" s="189"/>
      <c r="J159" s="323" t="e">
        <f>VLOOKUP(A159,'[1]TAB OGU JUN18'!$A:$G,4,"falso")</f>
        <v>#N/A</v>
      </c>
      <c r="K159" s="313"/>
      <c r="L159" s="323" t="e">
        <f>VLOOKUP(A159,'[1]TAB OGU JUN18'!$A:$G,5,"falso")</f>
        <v>#N/A</v>
      </c>
      <c r="M159" s="313"/>
      <c r="N159" s="189"/>
      <c r="O159" s="297"/>
    </row>
    <row r="160" spans="1:15" ht="11.25" customHeight="1" x14ac:dyDescent="0.2">
      <c r="A160" s="202"/>
      <c r="B160" s="142" t="s">
        <v>18</v>
      </c>
      <c r="C160" s="143"/>
      <c r="D160" s="143"/>
      <c r="E160" s="143"/>
      <c r="F160" s="143"/>
      <c r="G160" s="173"/>
      <c r="H160" s="335"/>
      <c r="I160" s="335"/>
      <c r="J160" s="323" t="e">
        <f>VLOOKUP(A160,'[1]TAB OGU JUN18'!$A:$G,4,"falso")</f>
        <v>#N/A</v>
      </c>
      <c r="K160" s="335"/>
      <c r="L160" s="323" t="e">
        <f>VLOOKUP(A160,'[1]TAB OGU JUN18'!$A:$G,5,"falso")</f>
        <v>#N/A</v>
      </c>
      <c r="M160" s="335"/>
      <c r="N160" s="189">
        <f>SUM(N158:N159)</f>
        <v>143.33599999999998</v>
      </c>
      <c r="O160" s="297">
        <f>N160/$N$179</f>
        <v>7.7182015778354948E-3</v>
      </c>
    </row>
    <row r="161" spans="1:15" ht="11.25" customHeight="1" x14ac:dyDescent="0.2">
      <c r="A161" s="202"/>
      <c r="B161" s="138"/>
      <c r="C161" s="138"/>
      <c r="D161" s="138"/>
      <c r="E161" s="138"/>
      <c r="F161" s="138"/>
      <c r="G161" s="162"/>
      <c r="H161" s="333"/>
      <c r="I161" s="333"/>
      <c r="J161" s="323" t="e">
        <f>VLOOKUP(A161,'[1]TAB OGU JUN18'!$A:$G,4,"falso")</f>
        <v>#N/A</v>
      </c>
      <c r="K161" s="313"/>
      <c r="L161" s="323" t="e">
        <f>VLOOKUP(A161,'[1]TAB OGU JUN18'!$A:$G,5,"falso")</f>
        <v>#N/A</v>
      </c>
      <c r="M161" s="313"/>
      <c r="N161" s="189"/>
      <c r="O161" s="297"/>
    </row>
    <row r="162" spans="1:15" ht="11.25" customHeight="1" x14ac:dyDescent="0.2">
      <c r="A162" s="140">
        <v>1203</v>
      </c>
      <c r="B162" s="834" t="s">
        <v>386</v>
      </c>
      <c r="C162" s="834"/>
      <c r="D162" s="834"/>
      <c r="E162" s="834"/>
      <c r="F162" s="834"/>
      <c r="G162" s="162"/>
      <c r="H162" s="333"/>
      <c r="I162" s="333"/>
      <c r="J162" s="323" t="e">
        <f>VLOOKUP(A162,'[1]TAB OGU JUN18'!$A:$G,4,"falso")</f>
        <v>#N/A</v>
      </c>
      <c r="K162" s="313"/>
      <c r="L162" s="323" t="e">
        <f>VLOOKUP(A162,'[1]TAB OGU JUN18'!$A:$G,5,"falso")</f>
        <v>#N/A</v>
      </c>
      <c r="M162" s="313"/>
      <c r="N162" s="333"/>
      <c r="O162" s="297"/>
    </row>
    <row r="163" spans="1:15" ht="11.25" customHeight="1" x14ac:dyDescent="0.2">
      <c r="A163" s="140" t="s">
        <v>387</v>
      </c>
      <c r="B163" s="834" t="s">
        <v>388</v>
      </c>
      <c r="C163" s="834"/>
      <c r="D163" s="834"/>
      <c r="E163" s="834"/>
      <c r="F163" s="834"/>
      <c r="G163" s="139" t="s">
        <v>31</v>
      </c>
      <c r="H163" s="189">
        <v>165.3</v>
      </c>
      <c r="I163" s="323">
        <f>VLOOKUP(A163,'[1]TAB OGU JUN18'!$A:$G,6,"falso")</f>
        <v>3.38</v>
      </c>
      <c r="J163" s="323">
        <f>VLOOKUP(A163,'[1]TAB OGU JUN18'!$A:$G,4,"falso")</f>
        <v>2.74</v>
      </c>
      <c r="K163" s="308">
        <f t="shared" ref="K163:K169" si="0">H163*J163</f>
        <v>452.92200000000008</v>
      </c>
      <c r="L163" s="323">
        <f>VLOOKUP(A163,'[1]TAB OGU JUN18'!$A:$G,5,"falso")</f>
        <v>0.64</v>
      </c>
      <c r="M163" s="308">
        <f t="shared" ref="M163:M169" si="1">L163*H163</f>
        <v>105.79200000000002</v>
      </c>
      <c r="N163" s="308">
        <f t="shared" ref="N163:N169" si="2">H163*I163</f>
        <v>558.71400000000006</v>
      </c>
      <c r="O163" s="297">
        <f t="shared" ref="O163:O169" si="3">N163/$N$171</f>
        <v>3.7537319142112821E-2</v>
      </c>
    </row>
    <row r="164" spans="1:15" ht="11.25" customHeight="1" x14ac:dyDescent="0.2">
      <c r="A164" s="140" t="s">
        <v>389</v>
      </c>
      <c r="B164" s="834" t="s">
        <v>390</v>
      </c>
      <c r="C164" s="834"/>
      <c r="D164" s="834"/>
      <c r="E164" s="834"/>
      <c r="F164" s="834"/>
      <c r="G164" s="139" t="s">
        <v>31</v>
      </c>
      <c r="H164" s="189">
        <v>39.82</v>
      </c>
      <c r="I164" s="323">
        <f>VLOOKUP(A164,'[1]TAB OGU JUN18'!$A:$G,6,"falso")</f>
        <v>3.38</v>
      </c>
      <c r="J164" s="323">
        <f>VLOOKUP(A164,'[1]TAB OGU JUN18'!$A:$G,4,"falso")</f>
        <v>2.84</v>
      </c>
      <c r="K164" s="308">
        <f t="shared" si="0"/>
        <v>113.08879999999999</v>
      </c>
      <c r="L164" s="323">
        <f>VLOOKUP(A164,'[1]TAB OGU JUN18'!$A:$G,5,"falso")</f>
        <v>0.54</v>
      </c>
      <c r="M164" s="308">
        <f t="shared" si="1"/>
        <v>21.502800000000001</v>
      </c>
      <c r="N164" s="308">
        <f t="shared" si="2"/>
        <v>134.5916</v>
      </c>
      <c r="O164" s="297">
        <f t="shared" si="3"/>
        <v>9.0425653250994099E-3</v>
      </c>
    </row>
    <row r="165" spans="1:15" ht="11.25" customHeight="1" x14ac:dyDescent="0.2">
      <c r="A165" s="140" t="s">
        <v>391</v>
      </c>
      <c r="B165" s="838" t="s">
        <v>392</v>
      </c>
      <c r="C165" s="838"/>
      <c r="D165" s="838"/>
      <c r="E165" s="838"/>
      <c r="F165" s="838"/>
      <c r="G165" s="139" t="s">
        <v>31</v>
      </c>
      <c r="H165" s="189">
        <f>H164</f>
        <v>39.82</v>
      </c>
      <c r="I165" s="323">
        <f>VLOOKUP(A165,'[1]TAB OGU JUN18'!$A:$G,6,"falso")</f>
        <v>32.47</v>
      </c>
      <c r="J165" s="323">
        <f>VLOOKUP(A165,'[1]TAB OGU JUN18'!$A:$G,4,"falso")</f>
        <v>28.9</v>
      </c>
      <c r="K165" s="308">
        <f t="shared" si="0"/>
        <v>1150.798</v>
      </c>
      <c r="L165" s="323">
        <f>VLOOKUP(A165,'[1]TAB OGU JUN18'!$A:$G,5,"falso")</f>
        <v>3.57</v>
      </c>
      <c r="M165" s="308">
        <f t="shared" si="1"/>
        <v>142.1574</v>
      </c>
      <c r="N165" s="308">
        <f t="shared" si="2"/>
        <v>1292.9554000000001</v>
      </c>
      <c r="O165" s="297">
        <f t="shared" si="3"/>
        <v>8.6867484055023036E-2</v>
      </c>
    </row>
    <row r="166" spans="1:15" ht="11.25" customHeight="1" x14ac:dyDescent="0.2">
      <c r="A166" s="140" t="s">
        <v>393</v>
      </c>
      <c r="B166" s="838" t="s">
        <v>394</v>
      </c>
      <c r="C166" s="838"/>
      <c r="D166" s="838"/>
      <c r="E166" s="838"/>
      <c r="F166" s="838"/>
      <c r="G166" s="139" t="s">
        <v>31</v>
      </c>
      <c r="H166" s="189">
        <f>H163</f>
        <v>165.3</v>
      </c>
      <c r="I166" s="323">
        <f>VLOOKUP(A166,'[1]TAB OGU JUN18'!$A:$G,6,"falso")</f>
        <v>32.86</v>
      </c>
      <c r="J166" s="323">
        <f>VLOOKUP(A166,'[1]TAB OGU JUN18'!$A:$G,4,"falso")</f>
        <v>28.59</v>
      </c>
      <c r="K166" s="308">
        <f t="shared" si="0"/>
        <v>4725.9270000000006</v>
      </c>
      <c r="L166" s="323">
        <f>VLOOKUP(A166,'[1]TAB OGU JUN18'!$A:$G,5,"falso")</f>
        <v>4.2699999999999996</v>
      </c>
      <c r="M166" s="308">
        <f t="shared" si="1"/>
        <v>705.83100000000002</v>
      </c>
      <c r="N166" s="308">
        <f t="shared" si="2"/>
        <v>5431.7580000000007</v>
      </c>
      <c r="O166" s="297">
        <f t="shared" si="3"/>
        <v>0.36493381864196078</v>
      </c>
    </row>
    <row r="167" spans="1:15" ht="11.25" customHeight="1" x14ac:dyDescent="0.2">
      <c r="A167" s="140" t="s">
        <v>395</v>
      </c>
      <c r="B167" s="834" t="s">
        <v>396</v>
      </c>
      <c r="C167" s="834"/>
      <c r="D167" s="834"/>
      <c r="E167" s="834"/>
      <c r="F167" s="834"/>
      <c r="G167" s="139" t="s">
        <v>31</v>
      </c>
      <c r="H167" s="189">
        <f>H163</f>
        <v>165.3</v>
      </c>
      <c r="I167" s="323">
        <f>VLOOKUP(A167,'[1]TAB OGU JUN18'!$A:$G,6,"falso")</f>
        <v>21.53</v>
      </c>
      <c r="J167" s="323">
        <f>VLOOKUP(A167,'[1]TAB OGU JUN18'!$A:$G,4,"falso")</f>
        <v>20.82</v>
      </c>
      <c r="K167" s="308">
        <f t="shared" si="0"/>
        <v>3441.5460000000003</v>
      </c>
      <c r="L167" s="323">
        <f>VLOOKUP(A167,'[1]TAB OGU JUN18'!$A:$G,5,"falso")</f>
        <v>0.71</v>
      </c>
      <c r="M167" s="308">
        <f t="shared" si="1"/>
        <v>117.363</v>
      </c>
      <c r="N167" s="308">
        <f t="shared" si="2"/>
        <v>3558.9090000000006</v>
      </c>
      <c r="O167" s="297">
        <f t="shared" si="3"/>
        <v>0.2391060595058252</v>
      </c>
    </row>
    <row r="168" spans="1:15" ht="11.25" customHeight="1" x14ac:dyDescent="0.2">
      <c r="A168" s="140" t="s">
        <v>397</v>
      </c>
      <c r="B168" s="834" t="s">
        <v>398</v>
      </c>
      <c r="C168" s="834"/>
      <c r="D168" s="834"/>
      <c r="E168" s="834"/>
      <c r="F168" s="834"/>
      <c r="G168" s="139" t="s">
        <v>31</v>
      </c>
      <c r="H168" s="189">
        <f>H164</f>
        <v>39.82</v>
      </c>
      <c r="I168" s="323">
        <f>VLOOKUP(A168,'[1]TAB OGU JUN18'!$A:$G,6,"falso")</f>
        <v>26.77</v>
      </c>
      <c r="J168" s="323">
        <f>VLOOKUP(A168,'[1]TAB OGU JUN18'!$A:$G,4,"falso")</f>
        <v>26.06</v>
      </c>
      <c r="K168" s="308">
        <f t="shared" si="0"/>
        <v>1037.7092</v>
      </c>
      <c r="L168" s="323">
        <f>VLOOKUP(A168,'[1]TAB OGU JUN18'!$A:$G,5,"falso")</f>
        <v>0.71</v>
      </c>
      <c r="M168" s="308">
        <f t="shared" si="1"/>
        <v>28.272199999999998</v>
      </c>
      <c r="N168" s="308">
        <f t="shared" si="2"/>
        <v>1065.9813999999999</v>
      </c>
      <c r="O168" s="297">
        <f t="shared" si="3"/>
        <v>7.1618187500861297E-2</v>
      </c>
    </row>
    <row r="169" spans="1:15" ht="11.25" customHeight="1" x14ac:dyDescent="0.2">
      <c r="A169" s="140" t="s">
        <v>399</v>
      </c>
      <c r="B169" s="834" t="s">
        <v>400</v>
      </c>
      <c r="C169" s="834"/>
      <c r="D169" s="834"/>
      <c r="E169" s="834"/>
      <c r="F169" s="834"/>
      <c r="G169" s="139" t="s">
        <v>31</v>
      </c>
      <c r="H169" s="189">
        <f>(H14*51.74)/24.65</f>
        <v>53.398198782961472</v>
      </c>
      <c r="I169" s="323">
        <f>VLOOKUP(A169,'[1]TAB OGU JUN18'!$A:$G,6,"falso")</f>
        <v>53.21</v>
      </c>
      <c r="J169" s="323">
        <f>VLOOKUP(A169,'[1]TAB OGU JUN18'!$A:$G,4,"falso")</f>
        <v>29.95</v>
      </c>
      <c r="K169" s="308">
        <f t="shared" si="0"/>
        <v>1599.2760535496961</v>
      </c>
      <c r="L169" s="323">
        <f>VLOOKUP(A169,'[1]TAB OGU JUN18'!$A:$G,5,"falso")</f>
        <v>23.26</v>
      </c>
      <c r="M169" s="308">
        <f t="shared" si="1"/>
        <v>1242.0421036916839</v>
      </c>
      <c r="N169" s="308">
        <f t="shared" si="2"/>
        <v>2841.31815724138</v>
      </c>
      <c r="O169" s="297">
        <f t="shared" si="3"/>
        <v>0.19089456582911754</v>
      </c>
    </row>
    <row r="170" spans="1:15" ht="11.25" customHeight="1" x14ac:dyDescent="0.2">
      <c r="A170" s="140"/>
      <c r="B170" s="138"/>
      <c r="C170" s="138"/>
      <c r="D170" s="138"/>
      <c r="E170" s="138"/>
      <c r="F170" s="138"/>
      <c r="G170" s="139"/>
      <c r="H170" s="189"/>
      <c r="I170" s="189"/>
      <c r="J170" s="323" t="e">
        <f>VLOOKUP(A170,'[1]TAB OGU JUN18'!$A:$G,4,"falso")</f>
        <v>#N/A</v>
      </c>
      <c r="K170" s="313"/>
      <c r="L170" s="323" t="e">
        <f>VLOOKUP(A170,'[1]TAB OGU JUN18'!$A:$G,5,"falso")</f>
        <v>#N/A</v>
      </c>
      <c r="M170" s="308"/>
      <c r="N170" s="189"/>
      <c r="O170" s="297"/>
    </row>
    <row r="171" spans="1:15" ht="11.25" customHeight="1" x14ac:dyDescent="0.2">
      <c r="A171" s="202"/>
      <c r="B171" s="142" t="s">
        <v>18</v>
      </c>
      <c r="C171" s="143"/>
      <c r="D171" s="143"/>
      <c r="E171" s="143"/>
      <c r="F171" s="143"/>
      <c r="G171" s="173"/>
      <c r="H171" s="335"/>
      <c r="I171" s="335"/>
      <c r="J171" s="323" t="e">
        <f>VLOOKUP(A171,'[1]TAB OGU JUN18'!$A:$G,4,"falso")</f>
        <v>#N/A</v>
      </c>
      <c r="K171" s="335"/>
      <c r="L171" s="323" t="e">
        <f>VLOOKUP(A171,'[1]TAB OGU JUN18'!$A:$G,5,"falso")</f>
        <v>#N/A</v>
      </c>
      <c r="M171" s="335"/>
      <c r="N171" s="189">
        <f>SUM(N163:N170)</f>
        <v>14884.22755724138</v>
      </c>
      <c r="O171" s="297">
        <f>N171/$N$179</f>
        <v>0.80146975370571927</v>
      </c>
    </row>
    <row r="172" spans="1:15" ht="11.25" customHeight="1" x14ac:dyDescent="0.2">
      <c r="A172" s="202"/>
      <c r="B172" s="138"/>
      <c r="C172" s="138"/>
      <c r="D172" s="138"/>
      <c r="E172" s="138"/>
      <c r="F172" s="138"/>
      <c r="G172" s="162"/>
      <c r="H172" s="333"/>
      <c r="I172" s="333"/>
      <c r="J172" s="323" t="e">
        <f>VLOOKUP(A172,'[1]TAB OGU JUN18'!$A:$G,4,"falso")</f>
        <v>#N/A</v>
      </c>
      <c r="K172" s="313"/>
      <c r="L172" s="323" t="e">
        <f>VLOOKUP(A172,'[1]TAB OGU JUN18'!$A:$G,5,"falso")</f>
        <v>#N/A</v>
      </c>
      <c r="M172" s="313"/>
      <c r="N172" s="189"/>
      <c r="O172" s="297"/>
    </row>
    <row r="173" spans="1:15" ht="11.25" customHeight="1" x14ac:dyDescent="0.2">
      <c r="A173" s="204">
        <v>1204</v>
      </c>
      <c r="B173" s="837" t="s">
        <v>652</v>
      </c>
      <c r="C173" s="837"/>
      <c r="D173" s="837"/>
      <c r="E173" s="837"/>
      <c r="F173" s="837"/>
      <c r="G173" s="162"/>
      <c r="H173" s="333"/>
      <c r="I173" s="333"/>
      <c r="J173" s="323" t="e">
        <f>VLOOKUP(A173,'[1]TAB OGU JUN18'!$A:$G,4,"falso")</f>
        <v>#N/A</v>
      </c>
      <c r="K173" s="313"/>
      <c r="L173" s="323" t="e">
        <f>VLOOKUP(A173,'[1]TAB OGU JUN18'!$A:$G,5,"falso")</f>
        <v>#N/A</v>
      </c>
      <c r="M173" s="313"/>
      <c r="N173" s="333"/>
      <c r="O173" s="297"/>
    </row>
    <row r="174" spans="1:15" ht="11.25" customHeight="1" x14ac:dyDescent="0.2">
      <c r="A174" s="140" t="s">
        <v>401</v>
      </c>
      <c r="B174" s="834" t="s">
        <v>402</v>
      </c>
      <c r="C174" s="834"/>
      <c r="D174" s="834"/>
      <c r="E174" s="834"/>
      <c r="F174" s="834"/>
      <c r="G174" s="139" t="s">
        <v>31</v>
      </c>
      <c r="H174" s="189">
        <v>103.9</v>
      </c>
      <c r="I174" s="323">
        <f>VLOOKUP(A174,'[1]TAB OGU JUN18'!$A:$G,6,"falso")</f>
        <v>8.73</v>
      </c>
      <c r="J174" s="323">
        <f>VLOOKUP(A174,'[1]TAB OGU JUN18'!$A:$G,4,"falso")</f>
        <v>5.01</v>
      </c>
      <c r="K174" s="308">
        <f>H174*J174</f>
        <v>520.53899999999999</v>
      </c>
      <c r="L174" s="323">
        <f>VLOOKUP(A174,'[1]TAB OGU JUN18'!$A:$G,5,"falso")</f>
        <v>3.72</v>
      </c>
      <c r="M174" s="308">
        <f>L174*H174</f>
        <v>386.50800000000004</v>
      </c>
      <c r="N174" s="308">
        <f>H174*I174</f>
        <v>907.04700000000014</v>
      </c>
      <c r="O174" s="297">
        <f>N174/N177</f>
        <v>0.52375156684259649</v>
      </c>
    </row>
    <row r="175" spans="1:15" ht="11.25" customHeight="1" x14ac:dyDescent="0.2">
      <c r="A175" s="140" t="s">
        <v>403</v>
      </c>
      <c r="B175" s="834" t="s">
        <v>404</v>
      </c>
      <c r="C175" s="834"/>
      <c r="D175" s="834"/>
      <c r="E175" s="834"/>
      <c r="F175" s="834"/>
      <c r="G175" s="139" t="s">
        <v>31</v>
      </c>
      <c r="H175" s="189">
        <v>102.33</v>
      </c>
      <c r="I175" s="323">
        <f>VLOOKUP(A175,'[1]TAB OGU JUN18'!$A:$G,6,"falso")</f>
        <v>8.06</v>
      </c>
      <c r="J175" s="323">
        <f>VLOOKUP(A175,'[1]TAB OGU JUN18'!$A:$G,4,"falso")</f>
        <v>6.05</v>
      </c>
      <c r="K175" s="308">
        <f>H175*J175</f>
        <v>619.09649999999999</v>
      </c>
      <c r="L175" s="323">
        <f>VLOOKUP(A175,'[1]TAB OGU JUN18'!$A:$G,5,"falso")</f>
        <v>2.0099999999999998</v>
      </c>
      <c r="M175" s="308">
        <f>L175*H175</f>
        <v>205.68329999999997</v>
      </c>
      <c r="N175" s="308">
        <f>H175*I175</f>
        <v>824.77980000000002</v>
      </c>
      <c r="O175" s="297">
        <f>N175/N177</f>
        <v>0.47624843315740345</v>
      </c>
    </row>
    <row r="176" spans="1:15" ht="11.25" customHeight="1" x14ac:dyDescent="0.2">
      <c r="A176" s="140"/>
      <c r="B176" s="138"/>
      <c r="C176" s="138"/>
      <c r="D176" s="138"/>
      <c r="E176" s="138"/>
      <c r="F176" s="138"/>
      <c r="G176" s="139"/>
      <c r="H176" s="189"/>
      <c r="I176" s="189"/>
      <c r="J176" s="313"/>
      <c r="K176" s="313"/>
      <c r="L176" s="313"/>
      <c r="M176" s="313"/>
      <c r="N176" s="189"/>
      <c r="O176" s="297"/>
    </row>
    <row r="177" spans="1:16" ht="11.25" customHeight="1" x14ac:dyDescent="0.2">
      <c r="A177" s="202"/>
      <c r="B177" s="142" t="s">
        <v>18</v>
      </c>
      <c r="C177" s="143"/>
      <c r="D177" s="143"/>
      <c r="E177" s="143"/>
      <c r="F177" s="143"/>
      <c r="G177" s="173"/>
      <c r="H177" s="335"/>
      <c r="I177" s="335"/>
      <c r="J177" s="335"/>
      <c r="K177" s="335"/>
      <c r="L177" s="335"/>
      <c r="M177" s="335"/>
      <c r="N177" s="189">
        <f>SUM(N174:N176)</f>
        <v>1731.8268000000003</v>
      </c>
      <c r="O177" s="297">
        <f>N177/$N$179</f>
        <v>9.3253532541007142E-2</v>
      </c>
    </row>
    <row r="178" spans="1:16" ht="11.25" customHeight="1" x14ac:dyDescent="0.2">
      <c r="A178" s="202"/>
      <c r="B178" s="138"/>
      <c r="C178" s="138"/>
      <c r="D178" s="138"/>
      <c r="E178" s="138"/>
      <c r="F178" s="138"/>
      <c r="G178" s="162"/>
      <c r="H178" s="333"/>
      <c r="I178" s="333"/>
      <c r="J178" s="313"/>
      <c r="K178" s="313"/>
      <c r="L178" s="341"/>
      <c r="M178" s="313"/>
      <c r="N178" s="189"/>
      <c r="O178" s="297"/>
    </row>
    <row r="179" spans="1:16" s="132" customFormat="1" ht="11.25" customHeight="1" x14ac:dyDescent="0.2">
      <c r="A179" s="203"/>
      <c r="B179" s="175" t="s">
        <v>20</v>
      </c>
      <c r="C179" s="176"/>
      <c r="D179" s="176"/>
      <c r="E179" s="176"/>
      <c r="F179" s="176"/>
      <c r="G179" s="178"/>
      <c r="H179" s="337"/>
      <c r="I179" s="337"/>
      <c r="J179" s="337"/>
      <c r="K179" s="337"/>
      <c r="L179" s="337"/>
      <c r="M179" s="337"/>
      <c r="N179" s="295">
        <f>N177+N171+N160+N155</f>
        <v>18571.165647139962</v>
      </c>
      <c r="O179" s="186">
        <f>N179/$N$202</f>
        <v>0.34304917886704539</v>
      </c>
    </row>
    <row r="180" spans="1:16" ht="11.25" customHeight="1" x14ac:dyDescent="0.2">
      <c r="A180" s="202"/>
      <c r="B180" s="138"/>
      <c r="C180" s="138"/>
      <c r="D180" s="138"/>
      <c r="E180" s="138"/>
      <c r="F180" s="138"/>
      <c r="G180" s="162"/>
      <c r="H180" s="333"/>
      <c r="I180" s="333"/>
      <c r="J180" s="313"/>
      <c r="K180" s="313"/>
      <c r="L180" s="313"/>
      <c r="M180" s="313"/>
      <c r="N180" s="189"/>
      <c r="O180" s="297"/>
    </row>
    <row r="181" spans="1:16" ht="11.25" customHeight="1" x14ac:dyDescent="0.2">
      <c r="A181" s="98" t="s">
        <v>406</v>
      </c>
      <c r="B181" s="88" t="s">
        <v>407</v>
      </c>
      <c r="G181" s="97"/>
      <c r="H181" s="308"/>
      <c r="I181" s="308"/>
      <c r="J181" s="308"/>
      <c r="K181" s="308"/>
      <c r="L181" s="308"/>
      <c r="M181" s="308"/>
      <c r="N181" s="308"/>
      <c r="O181" s="185"/>
    </row>
    <row r="182" spans="1:16" ht="11.25" customHeight="1" x14ac:dyDescent="0.2">
      <c r="A182" s="98" t="s">
        <v>410</v>
      </c>
      <c r="B182" s="88" t="s">
        <v>411</v>
      </c>
      <c r="G182" s="97"/>
      <c r="H182" s="308"/>
      <c r="I182" s="308"/>
      <c r="J182" s="308"/>
      <c r="K182" s="308"/>
      <c r="L182" s="308"/>
      <c r="M182" s="308"/>
      <c r="N182" s="308"/>
      <c r="O182" s="185"/>
    </row>
    <row r="183" spans="1:16" ht="11.25" customHeight="1" x14ac:dyDescent="0.2">
      <c r="A183" s="98" t="s">
        <v>658</v>
      </c>
      <c r="B183" s="142" t="s">
        <v>657</v>
      </c>
      <c r="C183" s="142"/>
      <c r="D183" s="142"/>
      <c r="E183" s="142"/>
      <c r="F183" s="142"/>
      <c r="G183" s="97" t="s">
        <v>24</v>
      </c>
      <c r="H183" s="308">
        <v>1</v>
      </c>
      <c r="I183" s="499">
        <v>188.65</v>
      </c>
      <c r="J183" s="323">
        <v>17.649999999999999</v>
      </c>
      <c r="K183" s="308">
        <f t="shared" ref="K183:K190" si="4">H183*J183</f>
        <v>17.649999999999999</v>
      </c>
      <c r="L183" s="323">
        <v>171</v>
      </c>
      <c r="M183" s="308">
        <f t="shared" ref="M183:M190" si="5">L183*H183</f>
        <v>171</v>
      </c>
      <c r="N183" s="308">
        <f t="shared" ref="N183:N190" si="6">H183*I183</f>
        <v>188.65</v>
      </c>
      <c r="O183" s="185">
        <f t="shared" ref="O183:O190" si="7">N183/$N$192</f>
        <v>6.2520505996864872E-2</v>
      </c>
      <c r="P183" s="51">
        <v>95469</v>
      </c>
    </row>
    <row r="184" spans="1:16" ht="11.25" customHeight="1" x14ac:dyDescent="0.2">
      <c r="A184" s="98" t="s">
        <v>412</v>
      </c>
      <c r="B184" s="142" t="s">
        <v>413</v>
      </c>
      <c r="C184" s="142"/>
      <c r="D184" s="142"/>
      <c r="E184" s="142"/>
      <c r="F184" s="142"/>
      <c r="G184" s="97" t="s">
        <v>24</v>
      </c>
      <c r="H184" s="308">
        <v>1</v>
      </c>
      <c r="I184" s="323">
        <f>VLOOKUP(A184,'[1]TAB OGU JUN18'!$A:$G,6,"falso")</f>
        <v>65.59</v>
      </c>
      <c r="J184" s="323">
        <f>VLOOKUP(A184,'[1]TAB OGU JUN18'!$A:$G,4,"falso")</f>
        <v>14.43</v>
      </c>
      <c r="K184" s="308">
        <f t="shared" si="4"/>
        <v>14.43</v>
      </c>
      <c r="L184" s="323">
        <f>VLOOKUP(A184,'[1]TAB OGU JUN18'!$A:$G,5,"falso")</f>
        <v>51.16</v>
      </c>
      <c r="M184" s="308">
        <f t="shared" si="5"/>
        <v>51.16</v>
      </c>
      <c r="N184" s="308">
        <f t="shared" si="6"/>
        <v>65.59</v>
      </c>
      <c r="O184" s="185">
        <f t="shared" si="7"/>
        <v>2.1737185201878433E-2</v>
      </c>
    </row>
    <row r="185" spans="1:16" ht="11.25" customHeight="1" x14ac:dyDescent="0.2">
      <c r="A185" s="98" t="s">
        <v>414</v>
      </c>
      <c r="B185" s="142" t="s">
        <v>415</v>
      </c>
      <c r="C185" s="142"/>
      <c r="D185" s="142"/>
      <c r="E185" s="142"/>
      <c r="F185" s="142"/>
      <c r="G185" s="97" t="s">
        <v>24</v>
      </c>
      <c r="H185" s="308">
        <v>1</v>
      </c>
      <c r="I185" s="323">
        <f>VLOOKUP(A185,'[1]TAB OGU JUN18'!$A:$G,6,"falso")</f>
        <v>286.64999999999998</v>
      </c>
      <c r="J185" s="323">
        <f>VLOOKUP(A185,'[1]TAB OGU JUN18'!$A:$G,4,"falso")</f>
        <v>68.8</v>
      </c>
      <c r="K185" s="308">
        <f t="shared" si="4"/>
        <v>68.8</v>
      </c>
      <c r="L185" s="323">
        <f>VLOOKUP(A185,'[1]TAB OGU JUN18'!$A:$G,5,"falso")</f>
        <v>217.85</v>
      </c>
      <c r="M185" s="308">
        <f t="shared" si="5"/>
        <v>217.85</v>
      </c>
      <c r="N185" s="308">
        <f t="shared" si="6"/>
        <v>286.64999999999998</v>
      </c>
      <c r="O185" s="185">
        <f t="shared" si="7"/>
        <v>9.4998690930301152E-2</v>
      </c>
    </row>
    <row r="186" spans="1:16" ht="11.25" customHeight="1" x14ac:dyDescent="0.2">
      <c r="A186" s="98" t="s">
        <v>659</v>
      </c>
      <c r="B186" s="200" t="s">
        <v>660</v>
      </c>
      <c r="C186" s="142"/>
      <c r="D186" s="142"/>
      <c r="E186" s="142"/>
      <c r="F186" s="142"/>
      <c r="G186" s="97" t="s">
        <v>24</v>
      </c>
      <c r="H186" s="308">
        <v>1</v>
      </c>
      <c r="I186" s="323">
        <f>VLOOKUP(A186,'[1]TAB OGU JUN18'!$A:$G,6,"falso")</f>
        <v>47.32</v>
      </c>
      <c r="J186" s="323">
        <f>VLOOKUP(A186,'[1]TAB OGU JUN18'!$A:$G,4,"falso")</f>
        <v>6.31</v>
      </c>
      <c r="K186" s="308">
        <f t="shared" si="4"/>
        <v>6.31</v>
      </c>
      <c r="L186" s="323">
        <f>VLOOKUP(A186,'[1]TAB OGU JUN18'!$A:$G,5,"falso")</f>
        <v>41.01</v>
      </c>
      <c r="M186" s="308">
        <f t="shared" si="5"/>
        <v>41.01</v>
      </c>
      <c r="N186" s="308">
        <f t="shared" si="6"/>
        <v>47.32</v>
      </c>
      <c r="O186" s="185">
        <f t="shared" si="7"/>
        <v>1.5682323582144952E-2</v>
      </c>
    </row>
    <row r="187" spans="1:16" ht="11.25" customHeight="1" x14ac:dyDescent="0.2">
      <c r="A187" s="98" t="s">
        <v>416</v>
      </c>
      <c r="B187" s="200" t="s">
        <v>417</v>
      </c>
      <c r="C187" s="142"/>
      <c r="D187" s="142"/>
      <c r="E187" s="142"/>
      <c r="F187" s="142"/>
      <c r="G187" s="97" t="s">
        <v>24</v>
      </c>
      <c r="H187" s="308">
        <v>2</v>
      </c>
      <c r="I187" s="323">
        <f>VLOOKUP(A187,'[1]TAB OGU JUN18'!$A:$G,6,"falso")</f>
        <v>1046.57</v>
      </c>
      <c r="J187" s="323">
        <f>VLOOKUP(A187,'[1]TAB OGU JUN18'!$A:$G,4,"falso")</f>
        <v>112.47</v>
      </c>
      <c r="K187" s="308">
        <f t="shared" si="4"/>
        <v>224.94</v>
      </c>
      <c r="L187" s="323">
        <f>VLOOKUP(A187,'[1]TAB OGU JUN18'!$A:$G,5,"falso")</f>
        <v>934.1</v>
      </c>
      <c r="M187" s="308">
        <f t="shared" si="5"/>
        <v>1868.2</v>
      </c>
      <c r="N187" s="308">
        <f t="shared" si="6"/>
        <v>2093.14</v>
      </c>
      <c r="O187" s="185">
        <f t="shared" si="7"/>
        <v>0.69368763277115142</v>
      </c>
    </row>
    <row r="188" spans="1:16" ht="11.25" customHeight="1" x14ac:dyDescent="0.2">
      <c r="A188" s="98" t="s">
        <v>420</v>
      </c>
      <c r="B188" s="200" t="s">
        <v>421</v>
      </c>
      <c r="C188" s="142"/>
      <c r="D188" s="142"/>
      <c r="E188" s="142"/>
      <c r="F188" s="142"/>
      <c r="G188" s="97" t="s">
        <v>24</v>
      </c>
      <c r="H188" s="308">
        <v>1</v>
      </c>
      <c r="I188" s="323">
        <f>VLOOKUP(A188,'[1]TAB OGU JUN18'!$A:$G,6,"falso")</f>
        <v>35.67</v>
      </c>
      <c r="J188" s="323">
        <f>VLOOKUP(A188,'[1]TAB OGU JUN18'!$A:$G,4,"falso")</f>
        <v>8.56</v>
      </c>
      <c r="K188" s="308">
        <f t="shared" si="4"/>
        <v>8.56</v>
      </c>
      <c r="L188" s="323">
        <f>VLOOKUP(A188,'[1]TAB OGU JUN18'!$A:$G,5,"falso")</f>
        <v>27.11</v>
      </c>
      <c r="M188" s="308">
        <f t="shared" si="5"/>
        <v>27.11</v>
      </c>
      <c r="N188" s="308">
        <f t="shared" si="6"/>
        <v>35.67</v>
      </c>
      <c r="O188" s="185">
        <f t="shared" si="7"/>
        <v>1.182139649567013E-2</v>
      </c>
    </row>
    <row r="189" spans="1:16" ht="11.25" customHeight="1" x14ac:dyDescent="0.2">
      <c r="A189" s="98" t="s">
        <v>422</v>
      </c>
      <c r="B189" s="200" t="s">
        <v>423</v>
      </c>
      <c r="C189" s="142"/>
      <c r="D189" s="142"/>
      <c r="E189" s="142"/>
      <c r="F189" s="142"/>
      <c r="G189" s="97" t="s">
        <v>24</v>
      </c>
      <c r="H189" s="308">
        <v>2</v>
      </c>
      <c r="I189" s="323">
        <f>VLOOKUP(A189,'[1]TAB OGU JUN18'!$A:$G,6,"falso")</f>
        <v>30.58</v>
      </c>
      <c r="J189" s="323">
        <f>VLOOKUP(A189,'[1]TAB OGU JUN18'!$A:$G,4,"falso")</f>
        <v>7.34</v>
      </c>
      <c r="K189" s="308">
        <f t="shared" si="4"/>
        <v>14.68</v>
      </c>
      <c r="L189" s="323">
        <f>VLOOKUP(A189,'[1]TAB OGU JUN18'!$A:$G,5,"falso")</f>
        <v>23.24</v>
      </c>
      <c r="M189" s="308">
        <f t="shared" si="5"/>
        <v>46.48</v>
      </c>
      <c r="N189" s="308">
        <f t="shared" si="6"/>
        <v>61.16</v>
      </c>
      <c r="O189" s="185">
        <f t="shared" si="7"/>
        <v>2.0269038678866976E-2</v>
      </c>
    </row>
    <row r="190" spans="1:16" ht="25.5" customHeight="1" x14ac:dyDescent="0.2">
      <c r="A190" s="98" t="s">
        <v>661</v>
      </c>
      <c r="B190" s="837" t="s">
        <v>686</v>
      </c>
      <c r="C190" s="837"/>
      <c r="D190" s="837"/>
      <c r="E190" s="837"/>
      <c r="F190" s="837"/>
      <c r="G190" s="97" t="s">
        <v>24</v>
      </c>
      <c r="H190" s="308">
        <v>1</v>
      </c>
      <c r="I190" s="499">
        <v>239.23</v>
      </c>
      <c r="J190" s="323">
        <v>22.04</v>
      </c>
      <c r="K190" s="308">
        <f t="shared" si="4"/>
        <v>22.04</v>
      </c>
      <c r="L190" s="323">
        <v>217.19</v>
      </c>
      <c r="M190" s="308">
        <f t="shared" si="5"/>
        <v>217.19</v>
      </c>
      <c r="N190" s="308">
        <f t="shared" si="6"/>
        <v>239.23</v>
      </c>
      <c r="O190" s="185">
        <f t="shared" si="7"/>
        <v>7.9283226343122085E-2</v>
      </c>
      <c r="P190" s="51">
        <v>86929</v>
      </c>
    </row>
    <row r="191" spans="1:16" ht="11.25" customHeight="1" x14ac:dyDescent="0.2">
      <c r="B191" s="130"/>
      <c r="G191" s="52"/>
      <c r="H191" s="324"/>
      <c r="I191" s="313"/>
      <c r="J191" s="313"/>
      <c r="K191" s="313"/>
      <c r="L191" s="313"/>
      <c r="M191" s="313"/>
      <c r="N191" s="308"/>
      <c r="O191" s="185"/>
    </row>
    <row r="192" spans="1:16" ht="11.25" customHeight="1" x14ac:dyDescent="0.2">
      <c r="B192" s="130" t="s">
        <v>18</v>
      </c>
      <c r="C192" s="131"/>
      <c r="D192" s="131"/>
      <c r="E192" s="131"/>
      <c r="F192" s="131"/>
      <c r="G192" s="53"/>
      <c r="H192" s="325"/>
      <c r="I192" s="326"/>
      <c r="J192" s="326"/>
      <c r="K192" s="326"/>
      <c r="L192" s="326"/>
      <c r="M192" s="326"/>
      <c r="N192" s="308">
        <f>SUM(N183:N191)</f>
        <v>3017.41</v>
      </c>
      <c r="O192" s="185">
        <f>N192/'[4]31'!N17</f>
        <v>5.1127590369048716E-2</v>
      </c>
    </row>
    <row r="194" spans="1:16" ht="11.25" customHeight="1" x14ac:dyDescent="0.2">
      <c r="A194" s="98" t="s">
        <v>169</v>
      </c>
      <c r="B194" s="88" t="s">
        <v>172</v>
      </c>
      <c r="G194" s="97"/>
      <c r="H194" s="308"/>
      <c r="I194" s="308"/>
      <c r="J194" s="308"/>
      <c r="K194" s="308"/>
      <c r="L194" s="308"/>
      <c r="M194" s="308"/>
      <c r="N194" s="308"/>
      <c r="O194" s="185"/>
    </row>
    <row r="195" spans="1:16" ht="11.25" customHeight="1" x14ac:dyDescent="0.2">
      <c r="A195" s="98" t="s">
        <v>170</v>
      </c>
      <c r="B195" s="88" t="s">
        <v>173</v>
      </c>
      <c r="G195" s="97"/>
      <c r="H195" s="308"/>
      <c r="I195" s="308"/>
      <c r="J195" s="308"/>
      <c r="K195" s="308"/>
      <c r="L195" s="308"/>
      <c r="M195" s="308"/>
      <c r="N195" s="308"/>
      <c r="O195" s="185"/>
    </row>
    <row r="196" spans="1:16" ht="11.25" customHeight="1" x14ac:dyDescent="0.2">
      <c r="A196" s="98" t="s">
        <v>480</v>
      </c>
      <c r="B196" s="834" t="s">
        <v>481</v>
      </c>
      <c r="C196" s="834"/>
      <c r="D196" s="834"/>
      <c r="E196" s="834"/>
      <c r="F196" s="834"/>
      <c r="G196" s="97" t="s">
        <v>31</v>
      </c>
      <c r="H196" s="308">
        <f>H14</f>
        <v>25.44</v>
      </c>
      <c r="I196" s="323">
        <f>VLOOKUP(A196,'[1]TAB OGU JUN18'!$A:$G,6,"falso")</f>
        <v>2.46</v>
      </c>
      <c r="J196" s="323">
        <f>VLOOKUP(A196,'[1]TAB OGU JUN18'!$A:$G,4,"falso")</f>
        <v>2.34</v>
      </c>
      <c r="K196" s="308">
        <f>H196*J196</f>
        <v>59.529600000000002</v>
      </c>
      <c r="L196" s="323">
        <f>VLOOKUP(A196,'[1]TAB OGU JUN18'!$A:$G,5,"falso")</f>
        <v>0.12</v>
      </c>
      <c r="M196" s="308">
        <f>L196*H196</f>
        <v>3.0528</v>
      </c>
      <c r="N196" s="308">
        <f>H196*I196</f>
        <v>62.5824</v>
      </c>
      <c r="O196" s="185">
        <f>N196/N198</f>
        <v>1</v>
      </c>
    </row>
    <row r="197" spans="1:16" ht="11.25" customHeight="1" x14ac:dyDescent="0.2">
      <c r="B197" s="130"/>
      <c r="G197" s="52"/>
      <c r="H197" s="324"/>
      <c r="I197" s="313"/>
      <c r="J197" s="313"/>
      <c r="K197" s="313"/>
      <c r="L197" s="313"/>
      <c r="M197" s="313"/>
      <c r="N197" s="308"/>
      <c r="O197" s="185"/>
    </row>
    <row r="198" spans="1:16" ht="11.25" customHeight="1" x14ac:dyDescent="0.2">
      <c r="B198" s="130" t="s">
        <v>18</v>
      </c>
      <c r="C198" s="131"/>
      <c r="D198" s="131"/>
      <c r="E198" s="131"/>
      <c r="F198" s="131"/>
      <c r="G198" s="53"/>
      <c r="H198" s="325"/>
      <c r="I198" s="326"/>
      <c r="J198" s="326"/>
      <c r="K198" s="326"/>
      <c r="L198" s="326"/>
      <c r="M198" s="326"/>
      <c r="N198" s="308">
        <f>N196</f>
        <v>62.5824</v>
      </c>
      <c r="O198" s="185">
        <f>N198/N200</f>
        <v>2.0319011176780827E-2</v>
      </c>
    </row>
    <row r="199" spans="1:16" ht="11.25" customHeight="1" x14ac:dyDescent="0.2">
      <c r="A199" s="98"/>
      <c r="B199" s="88"/>
      <c r="G199" s="97"/>
      <c r="H199" s="308"/>
      <c r="I199" s="308"/>
      <c r="J199" s="308"/>
      <c r="K199" s="308"/>
      <c r="L199" s="308"/>
      <c r="M199" s="308"/>
      <c r="N199" s="308"/>
      <c r="O199" s="185"/>
    </row>
    <row r="200" spans="1:16" s="132" customFormat="1" ht="11.25" customHeight="1" x14ac:dyDescent="0.2">
      <c r="A200" s="145"/>
      <c r="B200" s="133" t="s">
        <v>20</v>
      </c>
      <c r="C200" s="134"/>
      <c r="D200" s="134"/>
      <c r="E200" s="134"/>
      <c r="F200" s="134"/>
      <c r="G200" s="78"/>
      <c r="H200" s="327"/>
      <c r="I200" s="328"/>
      <c r="J200" s="328"/>
      <c r="K200" s="328"/>
      <c r="L200" s="328"/>
      <c r="M200" s="328"/>
      <c r="N200" s="310">
        <f>N198+N192</f>
        <v>3079.9923999999996</v>
      </c>
      <c r="O200" s="186">
        <f>N200/N202</f>
        <v>5.6894051984263005E-2</v>
      </c>
    </row>
    <row r="201" spans="1:16" ht="6.75" customHeight="1" x14ac:dyDescent="0.2">
      <c r="A201" s="98"/>
      <c r="B201" s="88"/>
      <c r="G201" s="97"/>
      <c r="H201" s="308"/>
      <c r="I201" s="308"/>
      <c r="J201" s="308"/>
      <c r="K201" s="308"/>
      <c r="L201" s="308"/>
      <c r="M201" s="308"/>
      <c r="N201" s="308"/>
      <c r="O201" s="185"/>
    </row>
    <row r="202" spans="1:16" ht="11.25" customHeight="1" x14ac:dyDescent="0.2">
      <c r="A202" s="206"/>
      <c r="B202" s="147" t="s">
        <v>30</v>
      </c>
      <c r="C202" s="146"/>
      <c r="D202" s="146"/>
      <c r="E202" s="146"/>
      <c r="F202" s="146"/>
      <c r="G202" s="146"/>
      <c r="H202" s="342"/>
      <c r="I202" s="451"/>
      <c r="J202" s="345"/>
      <c r="K202" s="452">
        <f>SUM(K14:K201)</f>
        <v>32091.516629606496</v>
      </c>
      <c r="L202" s="452"/>
      <c r="M202" s="452">
        <f>SUM(M14:M201)</f>
        <v>22044.061564963489</v>
      </c>
      <c r="N202" s="316">
        <f>N200+N113+N51+N23+N105+N148+N179</f>
        <v>54135.578194569985</v>
      </c>
      <c r="O202" s="29"/>
      <c r="P202" s="149"/>
    </row>
    <row r="203" spans="1:16" ht="6.75" customHeight="1" x14ac:dyDescent="0.2">
      <c r="H203" s="311"/>
      <c r="I203" s="311"/>
      <c r="J203" s="311"/>
      <c r="K203" s="311"/>
      <c r="L203" s="311"/>
      <c r="M203" s="311"/>
      <c r="N203" s="313"/>
      <c r="P203" s="149"/>
    </row>
    <row r="204" spans="1:16" ht="11.25" customHeight="1" x14ac:dyDescent="0.2">
      <c r="A204" s="206"/>
      <c r="B204" s="147" t="s">
        <v>265</v>
      </c>
      <c r="C204" s="146"/>
      <c r="D204" s="146"/>
      <c r="E204" s="146"/>
      <c r="F204" s="146"/>
      <c r="G204" s="146"/>
      <c r="H204" s="342"/>
      <c r="I204" s="345"/>
      <c r="J204" s="345"/>
      <c r="K204" s="275">
        <f>K202*(1+O5)</f>
        <v>40942.356916051969</v>
      </c>
      <c r="L204" s="275"/>
      <c r="M204" s="275">
        <f>M202*(1+O7)</f>
        <v>25950.269274275019</v>
      </c>
      <c r="N204" s="316">
        <f>K204+M204</f>
        <v>66892.626190326991</v>
      </c>
      <c r="O204" s="29">
        <f>N204/RESUMO!H95</f>
        <v>9.2374191689864743E-3</v>
      </c>
      <c r="P204" s="149"/>
    </row>
    <row r="208" spans="1:16" s="150" customFormat="1" ht="11.25" customHeight="1" x14ac:dyDescent="0.2">
      <c r="A208" s="156"/>
      <c r="B208" s="51"/>
      <c r="C208" s="51"/>
      <c r="D208" s="51"/>
      <c r="E208" s="51"/>
      <c r="F208" s="51"/>
      <c r="G208" s="51"/>
      <c r="H208" s="51"/>
      <c r="I208" s="51"/>
      <c r="J208" s="51"/>
      <c r="K208" s="51"/>
      <c r="L208" s="51"/>
      <c r="M208" s="51"/>
      <c r="N208" s="52"/>
      <c r="O208" s="52"/>
    </row>
    <row r="209" spans="1:15" s="150" customFormat="1" ht="11.25" customHeight="1" x14ac:dyDescent="0.2">
      <c r="A209" s="156"/>
      <c r="B209" s="51"/>
      <c r="C209" s="51"/>
      <c r="D209" s="51"/>
      <c r="E209" s="51"/>
      <c r="F209" s="51"/>
      <c r="G209" s="51"/>
      <c r="H209" s="51"/>
      <c r="I209" s="51"/>
      <c r="J209" s="51"/>
      <c r="K209" s="51"/>
      <c r="L209" s="51"/>
      <c r="M209" s="51"/>
      <c r="N209" s="52"/>
      <c r="O209" s="52"/>
    </row>
  </sheetData>
  <mergeCells count="55">
    <mergeCell ref="B196:F196"/>
    <mergeCell ref="B167:F167"/>
    <mergeCell ref="B168:F168"/>
    <mergeCell ref="B169:F169"/>
    <mergeCell ref="B173:F173"/>
    <mergeCell ref="B174:F174"/>
    <mergeCell ref="B175:F175"/>
    <mergeCell ref="B190:F190"/>
    <mergeCell ref="B143:F143"/>
    <mergeCell ref="B166:F166"/>
    <mergeCell ref="B150:F150"/>
    <mergeCell ref="B151:F151"/>
    <mergeCell ref="B152:F152"/>
    <mergeCell ref="B153:F153"/>
    <mergeCell ref="B157:F157"/>
    <mergeCell ref="B158:F158"/>
    <mergeCell ref="B162:F162"/>
    <mergeCell ref="B163:F163"/>
    <mergeCell ref="B164:F164"/>
    <mergeCell ref="B165:F165"/>
    <mergeCell ref="B144:F144"/>
    <mergeCell ref="B132:F132"/>
    <mergeCell ref="B133:F133"/>
    <mergeCell ref="B137:F137"/>
    <mergeCell ref="B138:F138"/>
    <mergeCell ref="B142:F142"/>
    <mergeCell ref="B121:F121"/>
    <mergeCell ref="B122:F122"/>
    <mergeCell ref="B126:F126"/>
    <mergeCell ref="B127:F127"/>
    <mergeCell ref="B128:F128"/>
    <mergeCell ref="B117:F117"/>
    <mergeCell ref="B74:F74"/>
    <mergeCell ref="B75:F75"/>
    <mergeCell ref="B80:F80"/>
    <mergeCell ref="B81:F81"/>
    <mergeCell ref="B85:F85"/>
    <mergeCell ref="B86:F86"/>
    <mergeCell ref="B90:F90"/>
    <mergeCell ref="B91:F91"/>
    <mergeCell ref="B115:F115"/>
    <mergeCell ref="B116:F116"/>
    <mergeCell ref="B76:F76"/>
    <mergeCell ref="B70:F70"/>
    <mergeCell ref="A2:O2"/>
    <mergeCell ref="N4:O4"/>
    <mergeCell ref="A5:B6"/>
    <mergeCell ref="B14:F14"/>
    <mergeCell ref="B36:F36"/>
    <mergeCell ref="B37:F37"/>
    <mergeCell ref="B53:F53"/>
    <mergeCell ref="B54:F54"/>
    <mergeCell ref="B64:F64"/>
    <mergeCell ref="B65:F65"/>
    <mergeCell ref="B69:F69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2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rowBreaks count="1" manualBreakCount="1">
    <brk id="24" max="15" man="1"/>
  </rowBreaks>
  <legacyDrawingHF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Planilha23">
    <tabColor theme="6" tint="0.39997558519241921"/>
    <pageSetUpPr fitToPage="1"/>
  </sheetPr>
  <dimension ref="A1:P113"/>
  <sheetViews>
    <sheetView view="pageBreakPreview" topLeftCell="A69" zoomScale="90" zoomScaleNormal="90" zoomScaleSheetLayoutView="90" workbookViewId="0">
      <selection activeCell="Q106" sqref="Q106"/>
    </sheetView>
  </sheetViews>
  <sheetFormatPr defaultColWidth="11.42578125" defaultRowHeight="12" customHeight="1" x14ac:dyDescent="0.2"/>
  <cols>
    <col min="1" max="1" width="11.42578125" style="156"/>
    <col min="2" max="5" width="11.42578125" style="51"/>
    <col min="6" max="6" width="28.5703125" style="51" customWidth="1"/>
    <col min="7" max="9" width="11.42578125" style="51" customWidth="1"/>
    <col min="10" max="10" width="11.42578125" style="51" hidden="1" customWidth="1"/>
    <col min="11" max="11" width="14.28515625" style="51" customWidth="1"/>
    <col min="12" max="12" width="7.7109375" style="51" hidden="1" customWidth="1"/>
    <col min="13" max="13" width="14.28515625" style="51" customWidth="1"/>
    <col min="14" max="14" width="17.140625" style="51" customWidth="1"/>
    <col min="15" max="15" width="11.42578125" style="52" customWidth="1"/>
    <col min="16" max="16384" width="11.42578125" style="51"/>
  </cols>
  <sheetData>
    <row r="1" spans="1:15" ht="7.5" customHeight="1" x14ac:dyDescent="0.2"/>
    <row r="2" spans="1:15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5" ht="7.5" customHeight="1" thickBot="1" x14ac:dyDescent="0.25">
      <c r="A3" s="194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95"/>
    </row>
    <row r="4" spans="1:15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5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5" ht="12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5" ht="12" customHeight="1" x14ac:dyDescent="0.2">
      <c r="A7" s="196"/>
      <c r="B7" s="253"/>
      <c r="C7" s="260" t="s">
        <v>6</v>
      </c>
      <c r="D7" s="263" t="str">
        <f>RESUMO!A47</f>
        <v>U.C. : 13</v>
      </c>
      <c r="E7" s="258"/>
      <c r="F7" s="258"/>
      <c r="G7" s="260" t="s">
        <v>9</v>
      </c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5" ht="12" customHeight="1" x14ac:dyDescent="0.2">
      <c r="A8" s="196"/>
      <c r="B8" s="253"/>
      <c r="C8" s="260" t="s">
        <v>8</v>
      </c>
      <c r="D8" s="200" t="str">
        <f>RESUMO!B47</f>
        <v>ESTAÇÃO DE TRATAMENTO DE ESGOTO - ETE</v>
      </c>
      <c r="E8" s="258"/>
      <c r="F8" s="258"/>
      <c r="G8" s="260"/>
      <c r="J8" s="277"/>
      <c r="K8" s="277"/>
      <c r="L8" s="277"/>
      <c r="M8" s="277" t="s">
        <v>774</v>
      </c>
      <c r="N8" s="261"/>
      <c r="O8" s="234"/>
    </row>
    <row r="9" spans="1:15" ht="12" customHeight="1" thickBot="1" x14ac:dyDescent="0.25">
      <c r="A9" s="197"/>
      <c r="B9" s="125"/>
      <c r="C9" s="268"/>
      <c r="D9" s="268"/>
      <c r="E9" s="268"/>
      <c r="F9" s="268"/>
      <c r="G9" s="266"/>
      <c r="H9" s="123"/>
      <c r="I9" s="278"/>
      <c r="J9" s="278"/>
      <c r="K9" s="278"/>
      <c r="L9" s="278"/>
      <c r="M9" s="278" t="s">
        <v>654</v>
      </c>
      <c r="N9" s="271"/>
      <c r="O9" s="427"/>
    </row>
    <row r="10" spans="1:15" ht="12" customHeight="1" thickTop="1" x14ac:dyDescent="0.2">
      <c r="A10" s="198"/>
      <c r="B10" s="126" t="s">
        <v>10</v>
      </c>
      <c r="C10" s="127"/>
      <c r="D10" s="127"/>
      <c r="E10" s="127"/>
      <c r="F10" s="127"/>
      <c r="G10" s="128" t="s">
        <v>11</v>
      </c>
      <c r="H10" s="128" t="s">
        <v>12</v>
      </c>
      <c r="I10" s="128" t="s">
        <v>13</v>
      </c>
      <c r="J10" s="128"/>
      <c r="K10" s="128" t="s">
        <v>212</v>
      </c>
      <c r="L10" s="128"/>
      <c r="M10" s="128" t="s">
        <v>213</v>
      </c>
      <c r="N10" s="128" t="s">
        <v>14</v>
      </c>
      <c r="O10" s="128" t="s">
        <v>15</v>
      </c>
    </row>
    <row r="11" spans="1:15" ht="7.5" customHeight="1" x14ac:dyDescent="0.2">
      <c r="O11" s="19"/>
    </row>
    <row r="12" spans="1:15" ht="12" customHeight="1" x14ac:dyDescent="0.2">
      <c r="A12" s="93">
        <f>[4]RESUMO!A45</f>
        <v>19</v>
      </c>
      <c r="B12" s="93" t="str">
        <f>[4]RESUMO!B45</f>
        <v>LABORATÓRIO - MATERIAIS</v>
      </c>
      <c r="N12" s="52"/>
      <c r="O12" s="19"/>
    </row>
    <row r="13" spans="1:15" ht="12" customHeight="1" x14ac:dyDescent="0.2">
      <c r="A13" s="140">
        <v>11</v>
      </c>
      <c r="B13" s="834" t="s">
        <v>649</v>
      </c>
      <c r="C13" s="834"/>
      <c r="D13" s="834"/>
      <c r="E13" s="834"/>
      <c r="F13" s="834"/>
      <c r="G13" s="137"/>
      <c r="H13" s="162"/>
      <c r="I13" s="162"/>
      <c r="J13" s="52"/>
      <c r="K13" s="52"/>
      <c r="L13" s="52"/>
      <c r="M13" s="52"/>
      <c r="N13" s="199"/>
      <c r="O13" s="68"/>
    </row>
    <row r="14" spans="1:15" ht="12" customHeight="1" x14ac:dyDescent="0.2">
      <c r="A14" s="140">
        <v>1108</v>
      </c>
      <c r="B14" s="834" t="s">
        <v>376</v>
      </c>
      <c r="C14" s="834"/>
      <c r="D14" s="834"/>
      <c r="E14" s="834"/>
      <c r="F14" s="834"/>
      <c r="G14" s="137"/>
      <c r="H14" s="162"/>
      <c r="I14" s="162"/>
      <c r="J14" s="52"/>
      <c r="K14" s="52"/>
      <c r="L14" s="52"/>
      <c r="M14" s="52"/>
      <c r="N14" s="199"/>
      <c r="O14" s="68"/>
    </row>
    <row r="15" spans="1:15" ht="12" customHeight="1" x14ac:dyDescent="0.2">
      <c r="A15" s="140" t="s">
        <v>987</v>
      </c>
      <c r="B15" s="837" t="s">
        <v>988</v>
      </c>
      <c r="C15" s="837"/>
      <c r="D15" s="837"/>
      <c r="E15" s="837"/>
      <c r="F15" s="837"/>
      <c r="G15" s="139" t="s">
        <v>31</v>
      </c>
      <c r="H15" s="189">
        <v>5.57</v>
      </c>
      <c r="I15" s="323">
        <f>VLOOKUP(A15,'[1]TAB OGU JUN18'!$A:$G,6,"falso")</f>
        <v>121</v>
      </c>
      <c r="J15" s="314"/>
      <c r="K15" s="314"/>
      <c r="L15" s="323">
        <f>VLOOKUP(A15,'[1]TAB OGU JUN18'!$A:$G,5,"falso")</f>
        <v>121</v>
      </c>
      <c r="M15" s="308">
        <f>L15*H15</f>
        <v>673.97</v>
      </c>
      <c r="N15" s="189">
        <f>H15*I15</f>
        <v>673.97</v>
      </c>
      <c r="O15" s="214">
        <f>N15/N17</f>
        <v>1</v>
      </c>
    </row>
    <row r="16" spans="1:15" ht="12" customHeight="1" x14ac:dyDescent="0.2">
      <c r="A16" s="140"/>
      <c r="B16" s="138"/>
      <c r="C16" s="138"/>
      <c r="D16" s="138"/>
      <c r="E16" s="138"/>
      <c r="F16" s="138"/>
      <c r="G16" s="139"/>
      <c r="H16" s="189"/>
      <c r="I16" s="189"/>
      <c r="J16" s="313"/>
      <c r="K16" s="313"/>
      <c r="L16" s="313"/>
      <c r="M16" s="313"/>
      <c r="N16" s="189"/>
      <c r="O16" s="234"/>
    </row>
    <row r="17" spans="1:15" ht="12" customHeight="1" x14ac:dyDescent="0.2">
      <c r="A17" s="202"/>
      <c r="B17" s="142" t="s">
        <v>18</v>
      </c>
      <c r="C17" s="143"/>
      <c r="D17" s="143"/>
      <c r="E17" s="143"/>
      <c r="F17" s="143"/>
      <c r="G17" s="173"/>
      <c r="H17" s="335"/>
      <c r="I17" s="335"/>
      <c r="J17" s="335"/>
      <c r="K17" s="335"/>
      <c r="L17" s="335"/>
      <c r="M17" s="335"/>
      <c r="N17" s="189">
        <f>SUM(N15:N16)</f>
        <v>673.97</v>
      </c>
      <c r="O17" s="234">
        <f>N17/N19</f>
        <v>1</v>
      </c>
    </row>
    <row r="18" spans="1:15" ht="12" customHeight="1" x14ac:dyDescent="0.2">
      <c r="A18" s="202"/>
      <c r="B18" s="138"/>
      <c r="C18" s="138"/>
      <c r="D18" s="138"/>
      <c r="E18" s="138"/>
      <c r="F18" s="138"/>
      <c r="G18" s="162"/>
      <c r="H18" s="333"/>
      <c r="I18" s="333"/>
      <c r="J18" s="313"/>
      <c r="K18" s="313"/>
      <c r="L18" s="313"/>
      <c r="M18" s="313"/>
      <c r="N18" s="189"/>
      <c r="O18" s="234"/>
    </row>
    <row r="19" spans="1:15" s="132" customFormat="1" ht="12" customHeight="1" x14ac:dyDescent="0.2">
      <c r="A19" s="203"/>
      <c r="B19" s="175" t="s">
        <v>20</v>
      </c>
      <c r="C19" s="176"/>
      <c r="D19" s="176"/>
      <c r="E19" s="176"/>
      <c r="F19" s="176"/>
      <c r="G19" s="178"/>
      <c r="H19" s="337"/>
      <c r="I19" s="337"/>
      <c r="J19" s="337"/>
      <c r="K19" s="337"/>
      <c r="L19" s="337"/>
      <c r="M19" s="337"/>
      <c r="N19" s="295">
        <f>N17</f>
        <v>673.97</v>
      </c>
      <c r="O19" s="235">
        <f>N19/$N$99</f>
        <v>6.4969599332769148E-2</v>
      </c>
    </row>
    <row r="20" spans="1:15" ht="12" customHeight="1" x14ac:dyDescent="0.2">
      <c r="A20" s="202"/>
      <c r="B20" s="138"/>
      <c r="C20" s="138"/>
      <c r="D20" s="138"/>
      <c r="E20" s="138"/>
      <c r="F20" s="138"/>
      <c r="G20" s="162"/>
      <c r="H20" s="333"/>
      <c r="I20" s="333"/>
      <c r="J20" s="313"/>
      <c r="K20" s="313"/>
      <c r="L20" s="313"/>
      <c r="M20" s="313"/>
      <c r="N20" s="189"/>
      <c r="O20" s="234"/>
    </row>
    <row r="21" spans="1:15" ht="12" customHeight="1" x14ac:dyDescent="0.2">
      <c r="A21" s="140" t="s">
        <v>406</v>
      </c>
      <c r="B21" s="834" t="s">
        <v>407</v>
      </c>
      <c r="C21" s="834"/>
      <c r="D21" s="834"/>
      <c r="E21" s="834"/>
      <c r="F21" s="834"/>
      <c r="G21" s="137"/>
      <c r="H21" s="162"/>
      <c r="I21" s="162"/>
      <c r="J21" s="52"/>
      <c r="K21" s="52"/>
      <c r="L21" s="52"/>
      <c r="M21" s="52"/>
      <c r="N21" s="199"/>
      <c r="O21" s="68"/>
    </row>
    <row r="22" spans="1:15" ht="12" customHeight="1" x14ac:dyDescent="0.2">
      <c r="A22" s="140" t="s">
        <v>410</v>
      </c>
      <c r="B22" s="834" t="s">
        <v>411</v>
      </c>
      <c r="C22" s="834"/>
      <c r="D22" s="834"/>
      <c r="E22" s="834"/>
      <c r="F22" s="834"/>
      <c r="G22" s="137"/>
      <c r="H22" s="162"/>
      <c r="I22" s="162"/>
      <c r="J22" s="52"/>
      <c r="K22" s="52"/>
      <c r="L22" s="52"/>
      <c r="M22" s="52"/>
      <c r="N22" s="199"/>
      <c r="O22" s="68"/>
    </row>
    <row r="23" spans="1:15" ht="12" customHeight="1" x14ac:dyDescent="0.2">
      <c r="A23" s="140" t="s">
        <v>773</v>
      </c>
      <c r="B23" s="200" t="s">
        <v>772</v>
      </c>
      <c r="C23" s="200"/>
      <c r="D23" s="200"/>
      <c r="E23" s="200"/>
      <c r="F23" s="200"/>
      <c r="G23" s="139" t="s">
        <v>31</v>
      </c>
      <c r="H23" s="189">
        <v>1.8</v>
      </c>
      <c r="I23" s="323">
        <f>VLOOKUP(A23,'[1]TAB OGU JUN18'!$A:$G,6,"falso")</f>
        <v>786.08</v>
      </c>
      <c r="J23" s="314"/>
      <c r="K23" s="314"/>
      <c r="L23" s="323">
        <f>VLOOKUP(A23,'[1]TAB OGU JUN18'!$A:$G,5,"falso")</f>
        <v>786.08</v>
      </c>
      <c r="M23" s="308">
        <f>L23*H23</f>
        <v>1414.9440000000002</v>
      </c>
      <c r="N23" s="189">
        <f>H23*I23</f>
        <v>1414.9440000000002</v>
      </c>
      <c r="O23" s="214">
        <f>N23/N25</f>
        <v>1</v>
      </c>
    </row>
    <row r="24" spans="1:15" ht="12" customHeight="1" x14ac:dyDescent="0.2">
      <c r="A24" s="140"/>
      <c r="B24" s="138"/>
      <c r="C24" s="138"/>
      <c r="D24" s="138"/>
      <c r="E24" s="138"/>
      <c r="F24" s="138"/>
      <c r="G24" s="139"/>
      <c r="H24" s="189"/>
      <c r="I24" s="189"/>
      <c r="J24" s="313"/>
      <c r="K24" s="313"/>
      <c r="L24" s="313"/>
      <c r="M24" s="313"/>
      <c r="N24" s="189"/>
      <c r="O24" s="234"/>
    </row>
    <row r="25" spans="1:15" ht="12" customHeight="1" x14ac:dyDescent="0.2">
      <c r="A25" s="202"/>
      <c r="B25" s="142" t="s">
        <v>18</v>
      </c>
      <c r="C25" s="143"/>
      <c r="D25" s="143"/>
      <c r="E25" s="143"/>
      <c r="F25" s="143"/>
      <c r="G25" s="173"/>
      <c r="H25" s="335"/>
      <c r="I25" s="335"/>
      <c r="J25" s="335"/>
      <c r="K25" s="335"/>
      <c r="L25" s="335"/>
      <c r="M25" s="335"/>
      <c r="N25" s="189">
        <f>SUM(N23:N24)</f>
        <v>1414.9440000000002</v>
      </c>
      <c r="O25" s="234">
        <f>N25/N27</f>
        <v>1</v>
      </c>
    </row>
    <row r="26" spans="1:15" ht="12" customHeight="1" x14ac:dyDescent="0.2">
      <c r="A26" s="202"/>
      <c r="B26" s="138"/>
      <c r="C26" s="138"/>
      <c r="D26" s="138"/>
      <c r="E26" s="138"/>
      <c r="F26" s="138"/>
      <c r="G26" s="162"/>
      <c r="H26" s="333"/>
      <c r="I26" s="333"/>
      <c r="J26" s="313"/>
      <c r="K26" s="313"/>
      <c r="L26" s="313"/>
      <c r="M26" s="313"/>
      <c r="N26" s="189"/>
      <c r="O26" s="234"/>
    </row>
    <row r="27" spans="1:15" s="132" customFormat="1" ht="12" customHeight="1" x14ac:dyDescent="0.2">
      <c r="A27" s="203"/>
      <c r="B27" s="175" t="s">
        <v>20</v>
      </c>
      <c r="C27" s="176"/>
      <c r="D27" s="176"/>
      <c r="E27" s="176"/>
      <c r="F27" s="176"/>
      <c r="G27" s="178"/>
      <c r="H27" s="337"/>
      <c r="I27" s="337"/>
      <c r="J27" s="337"/>
      <c r="K27" s="337"/>
      <c r="L27" s="337"/>
      <c r="M27" s="337"/>
      <c r="N27" s="295">
        <f>N25</f>
        <v>1414.9440000000002</v>
      </c>
      <c r="O27" s="235">
        <f>N27/$N$99</f>
        <v>0.13639827404529242</v>
      </c>
    </row>
    <row r="28" spans="1:15" ht="12" customHeight="1" x14ac:dyDescent="0.2">
      <c r="A28" s="202"/>
      <c r="B28" s="138"/>
      <c r="C28" s="138"/>
      <c r="D28" s="138"/>
      <c r="E28" s="138"/>
      <c r="F28" s="138"/>
      <c r="G28" s="162"/>
      <c r="H28" s="333"/>
      <c r="I28" s="333"/>
      <c r="J28" s="313"/>
      <c r="K28" s="313"/>
      <c r="L28" s="313"/>
      <c r="M28" s="313"/>
      <c r="N28" s="189"/>
      <c r="O28" s="234"/>
    </row>
    <row r="29" spans="1:15" ht="12" customHeight="1" x14ac:dyDescent="0.2">
      <c r="A29" s="140" t="s">
        <v>488</v>
      </c>
      <c r="B29" s="837" t="s">
        <v>489</v>
      </c>
      <c r="C29" s="837"/>
      <c r="D29" s="837"/>
      <c r="E29" s="837"/>
      <c r="F29" s="837"/>
      <c r="G29" s="137"/>
      <c r="H29" s="333"/>
      <c r="I29" s="333"/>
      <c r="J29" s="313"/>
      <c r="K29" s="313"/>
      <c r="L29" s="313"/>
      <c r="M29" s="313"/>
      <c r="N29" s="333"/>
      <c r="O29" s="214"/>
    </row>
    <row r="30" spans="1:15" ht="12" customHeight="1" x14ac:dyDescent="0.2">
      <c r="A30" s="140" t="s">
        <v>492</v>
      </c>
      <c r="B30" s="834" t="s">
        <v>555</v>
      </c>
      <c r="C30" s="834"/>
      <c r="D30" s="834"/>
      <c r="E30" s="834"/>
      <c r="F30" s="834"/>
      <c r="G30" s="137"/>
      <c r="H30" s="333"/>
      <c r="I30" s="333"/>
      <c r="J30" s="313"/>
      <c r="K30" s="313"/>
      <c r="L30" s="313"/>
      <c r="M30" s="313"/>
      <c r="N30" s="333"/>
      <c r="O30" s="68"/>
    </row>
    <row r="31" spans="1:15" ht="12" hidden="1" customHeight="1" x14ac:dyDescent="0.2">
      <c r="A31" s="140" t="s">
        <v>493</v>
      </c>
      <c r="B31" s="200" t="s">
        <v>494</v>
      </c>
      <c r="C31" s="153"/>
      <c r="D31" s="153"/>
      <c r="E31" s="153"/>
      <c r="F31" s="153"/>
      <c r="G31" s="139" t="s">
        <v>24</v>
      </c>
      <c r="H31" s="189">
        <v>0</v>
      </c>
      <c r="I31" s="323">
        <f>VLOOKUP(A31,'[1]TAB OGU JUN18'!$A:$G,6,"falso")</f>
        <v>0.74</v>
      </c>
      <c r="J31" s="314"/>
      <c r="K31" s="314"/>
      <c r="L31" s="323">
        <f>VLOOKUP(A31,'[1]TAB OGU JUN18'!$A:$G,5,"falso")</f>
        <v>0.74</v>
      </c>
      <c r="M31" s="308">
        <f>L31*H31</f>
        <v>0</v>
      </c>
      <c r="N31" s="189">
        <f>H31*I31</f>
        <v>0</v>
      </c>
      <c r="O31" s="214">
        <f>N31/N35</f>
        <v>0</v>
      </c>
    </row>
    <row r="32" spans="1:15" ht="12" customHeight="1" x14ac:dyDescent="0.2">
      <c r="A32" s="140" t="s">
        <v>694</v>
      </c>
      <c r="B32" s="200" t="s">
        <v>693</v>
      </c>
      <c r="C32" s="153"/>
      <c r="D32" s="153"/>
      <c r="E32" s="153"/>
      <c r="F32" s="153"/>
      <c r="G32" s="139" t="s">
        <v>24</v>
      </c>
      <c r="H32" s="189">
        <v>3</v>
      </c>
      <c r="I32" s="323">
        <f>VLOOKUP(A32,'[1]TAB OGU JUN18'!$A:$G,6,"falso")</f>
        <v>1.02</v>
      </c>
      <c r="J32" s="314"/>
      <c r="K32" s="314"/>
      <c r="L32" s="323">
        <f>VLOOKUP(A32,'[1]TAB OGU JUN18'!$A:$G,5,"falso")</f>
        <v>1.02</v>
      </c>
      <c r="M32" s="308">
        <f>L32*H32</f>
        <v>3.06</v>
      </c>
      <c r="N32" s="189">
        <f>H32*I32</f>
        <v>3.06</v>
      </c>
      <c r="O32" s="214">
        <f>N32/N35</f>
        <v>1</v>
      </c>
    </row>
    <row r="33" spans="1:15" ht="12" hidden="1" customHeight="1" x14ac:dyDescent="0.2">
      <c r="A33" s="140" t="s">
        <v>495</v>
      </c>
      <c r="B33" s="200" t="s">
        <v>496</v>
      </c>
      <c r="C33" s="153"/>
      <c r="D33" s="153"/>
      <c r="E33" s="153"/>
      <c r="F33" s="153"/>
      <c r="G33" s="139" t="s">
        <v>24</v>
      </c>
      <c r="H33" s="189">
        <v>0</v>
      </c>
      <c r="I33" s="323">
        <f>VLOOKUP(A33,'[1]TAB OGU JUN18'!$A:$G,6,"falso")</f>
        <v>2.5299999999999998</v>
      </c>
      <c r="J33" s="314"/>
      <c r="K33" s="314"/>
      <c r="L33" s="323">
        <f>VLOOKUP(A33,'[1]TAB OGU JUN18'!$A:$G,5,"falso")</f>
        <v>2.5299999999999998</v>
      </c>
      <c r="M33" s="308">
        <f>L33*H33</f>
        <v>0</v>
      </c>
      <c r="N33" s="189">
        <f>H33*I33</f>
        <v>0</v>
      </c>
      <c r="O33" s="214">
        <f>N33/N35</f>
        <v>0</v>
      </c>
    </row>
    <row r="34" spans="1:15" ht="12" customHeight="1" x14ac:dyDescent="0.2">
      <c r="A34" s="140"/>
      <c r="B34" s="138"/>
      <c r="C34" s="138"/>
      <c r="D34" s="138"/>
      <c r="E34" s="138"/>
      <c r="F34" s="138"/>
      <c r="G34" s="139"/>
      <c r="H34" s="189"/>
      <c r="I34" s="189"/>
      <c r="J34" s="313"/>
      <c r="K34" s="313"/>
      <c r="L34" s="313"/>
      <c r="M34" s="313"/>
      <c r="N34" s="189"/>
      <c r="O34" s="234"/>
    </row>
    <row r="35" spans="1:15" ht="12" customHeight="1" x14ac:dyDescent="0.2">
      <c r="A35" s="202"/>
      <c r="B35" s="142" t="s">
        <v>18</v>
      </c>
      <c r="C35" s="143"/>
      <c r="D35" s="143"/>
      <c r="E35" s="143"/>
      <c r="F35" s="143"/>
      <c r="G35" s="173"/>
      <c r="H35" s="335"/>
      <c r="I35" s="335"/>
      <c r="J35" s="335"/>
      <c r="K35" s="335"/>
      <c r="L35" s="335"/>
      <c r="M35" s="335"/>
      <c r="N35" s="189">
        <f>SUM(N31:N34)</f>
        <v>3.06</v>
      </c>
      <c r="O35" s="234">
        <f>N35/N44</f>
        <v>7.2033898305084734E-2</v>
      </c>
    </row>
    <row r="36" spans="1:15" ht="12" customHeight="1" x14ac:dyDescent="0.2">
      <c r="A36" s="202"/>
      <c r="B36" s="138"/>
      <c r="C36" s="138"/>
      <c r="D36" s="138"/>
      <c r="E36" s="138"/>
      <c r="F36" s="138"/>
      <c r="G36" s="162"/>
      <c r="H36" s="333"/>
      <c r="I36" s="333"/>
      <c r="J36" s="313"/>
      <c r="K36" s="313"/>
      <c r="L36" s="313"/>
      <c r="M36" s="313"/>
      <c r="N36" s="189"/>
      <c r="O36" s="234"/>
    </row>
    <row r="37" spans="1:15" ht="12" customHeight="1" x14ac:dyDescent="0.2">
      <c r="A37" s="140" t="s">
        <v>497</v>
      </c>
      <c r="B37" s="834" t="s">
        <v>36</v>
      </c>
      <c r="C37" s="834"/>
      <c r="D37" s="834"/>
      <c r="E37" s="834"/>
      <c r="F37" s="834"/>
      <c r="G37" s="137"/>
      <c r="H37" s="333"/>
      <c r="I37" s="333"/>
      <c r="J37" s="313"/>
      <c r="K37" s="313"/>
      <c r="L37" s="313"/>
      <c r="M37" s="313"/>
      <c r="N37" s="333"/>
      <c r="O37" s="68"/>
    </row>
    <row r="38" spans="1:15" ht="12" hidden="1" customHeight="1" x14ac:dyDescent="0.2">
      <c r="A38" s="140" t="s">
        <v>498</v>
      </c>
      <c r="B38" s="200" t="s">
        <v>576</v>
      </c>
      <c r="C38" s="153"/>
      <c r="D38" s="153"/>
      <c r="E38" s="153"/>
      <c r="F38" s="153"/>
      <c r="G38" s="139" t="s">
        <v>17</v>
      </c>
      <c r="H38" s="189">
        <v>0</v>
      </c>
      <c r="I38" s="323">
        <f>VLOOKUP(A38,'[1]TAB OGU JUN18'!$A:$G,6,"falso")</f>
        <v>1.65</v>
      </c>
      <c r="J38" s="314"/>
      <c r="K38" s="314"/>
      <c r="L38" s="323">
        <f>VLOOKUP(A38,'[1]TAB OGU JUN18'!$A:$G,5,"falso")</f>
        <v>1.65</v>
      </c>
      <c r="M38" s="308">
        <f>L38*H38</f>
        <v>0</v>
      </c>
      <c r="N38" s="189">
        <f>H38*I38</f>
        <v>0</v>
      </c>
      <c r="O38" s="214">
        <f>N38/N42</f>
        <v>0</v>
      </c>
    </row>
    <row r="39" spans="1:15" ht="12" customHeight="1" x14ac:dyDescent="0.2">
      <c r="A39" s="140" t="s">
        <v>499</v>
      </c>
      <c r="B39" s="200" t="s">
        <v>500</v>
      </c>
      <c r="C39" s="153"/>
      <c r="D39" s="153"/>
      <c r="E39" s="153"/>
      <c r="F39" s="153"/>
      <c r="G39" s="139" t="s">
        <v>17</v>
      </c>
      <c r="H39" s="189">
        <v>18</v>
      </c>
      <c r="I39" s="323">
        <f>VLOOKUP(A39,'[1]TAB OGU JUN18'!$A:$G,6,"falso")</f>
        <v>2.19</v>
      </c>
      <c r="J39" s="314"/>
      <c r="K39" s="314"/>
      <c r="L39" s="323">
        <f>VLOOKUP(A39,'[1]TAB OGU JUN18'!$A:$G,5,"falso")</f>
        <v>2.19</v>
      </c>
      <c r="M39" s="308">
        <f>L39*H39</f>
        <v>39.42</v>
      </c>
      <c r="N39" s="189">
        <f>H39*I39</f>
        <v>39.42</v>
      </c>
      <c r="O39" s="214">
        <f>N39/N42</f>
        <v>1</v>
      </c>
    </row>
    <row r="40" spans="1:15" ht="12" hidden="1" customHeight="1" x14ac:dyDescent="0.2">
      <c r="A40" s="140" t="s">
        <v>501</v>
      </c>
      <c r="B40" s="200" t="s">
        <v>502</v>
      </c>
      <c r="C40" s="153"/>
      <c r="D40" s="153"/>
      <c r="E40" s="153"/>
      <c r="F40" s="153"/>
      <c r="G40" s="139" t="s">
        <v>17</v>
      </c>
      <c r="H40" s="189">
        <v>0</v>
      </c>
      <c r="I40" s="323">
        <f>VLOOKUP(A40,'[1]TAB OGU JUN18'!$A:$G,6,"falso")</f>
        <v>4.7</v>
      </c>
      <c r="J40" s="314"/>
      <c r="K40" s="314"/>
      <c r="L40" s="323">
        <f>VLOOKUP(A40,'[1]TAB OGU JUN18'!$A:$G,5,"falso")</f>
        <v>4.7</v>
      </c>
      <c r="M40" s="308">
        <f>L40*H40</f>
        <v>0</v>
      </c>
      <c r="N40" s="189">
        <f>H40*I40</f>
        <v>0</v>
      </c>
      <c r="O40" s="214">
        <f>N40/N42</f>
        <v>0</v>
      </c>
    </row>
    <row r="41" spans="1:15" ht="12" customHeight="1" x14ac:dyDescent="0.2">
      <c r="A41" s="140"/>
      <c r="B41" s="138"/>
      <c r="C41" s="138"/>
      <c r="D41" s="138"/>
      <c r="E41" s="138"/>
      <c r="F41" s="138"/>
      <c r="G41" s="139"/>
      <c r="H41" s="189"/>
      <c r="I41" s="189"/>
      <c r="J41" s="313"/>
      <c r="K41" s="313"/>
      <c r="L41" s="313"/>
      <c r="M41" s="313"/>
      <c r="N41" s="189"/>
      <c r="O41" s="234"/>
    </row>
    <row r="42" spans="1:15" ht="12" customHeight="1" x14ac:dyDescent="0.2">
      <c r="A42" s="202"/>
      <c r="B42" s="142" t="s">
        <v>18</v>
      </c>
      <c r="C42" s="143"/>
      <c r="D42" s="143"/>
      <c r="E42" s="143"/>
      <c r="F42" s="143"/>
      <c r="G42" s="173"/>
      <c r="H42" s="335"/>
      <c r="I42" s="335"/>
      <c r="J42" s="335"/>
      <c r="K42" s="335"/>
      <c r="L42" s="335"/>
      <c r="M42" s="335"/>
      <c r="N42" s="189">
        <f>SUM(N38:N41)</f>
        <v>39.42</v>
      </c>
      <c r="O42" s="234">
        <f>N42/N44</f>
        <v>0.92796610169491522</v>
      </c>
    </row>
    <row r="43" spans="1:15" ht="12" customHeight="1" x14ac:dyDescent="0.2">
      <c r="A43" s="202"/>
      <c r="B43" s="138"/>
      <c r="C43" s="138"/>
      <c r="D43" s="138"/>
      <c r="E43" s="138"/>
      <c r="F43" s="138"/>
      <c r="G43" s="162"/>
      <c r="H43" s="333"/>
      <c r="I43" s="333"/>
      <c r="J43" s="313"/>
      <c r="K43" s="313"/>
      <c r="L43" s="313"/>
      <c r="M43" s="313"/>
      <c r="N43" s="189"/>
      <c r="O43" s="234"/>
    </row>
    <row r="44" spans="1:15" s="132" customFormat="1" ht="12" customHeight="1" x14ac:dyDescent="0.2">
      <c r="A44" s="203"/>
      <c r="B44" s="175" t="s">
        <v>20</v>
      </c>
      <c r="C44" s="176"/>
      <c r="D44" s="176"/>
      <c r="E44" s="176"/>
      <c r="F44" s="176"/>
      <c r="G44" s="178"/>
      <c r="H44" s="337"/>
      <c r="I44" s="337"/>
      <c r="J44" s="337"/>
      <c r="K44" s="337"/>
      <c r="L44" s="337"/>
      <c r="M44" s="337"/>
      <c r="N44" s="295">
        <f>N35+N42</f>
        <v>42.480000000000004</v>
      </c>
      <c r="O44" s="235">
        <f>N44/$N$99</f>
        <v>4.0950021212458028E-3</v>
      </c>
    </row>
    <row r="45" spans="1:15" ht="12" customHeight="1" x14ac:dyDescent="0.2">
      <c r="A45" s="202"/>
      <c r="B45" s="138"/>
      <c r="C45" s="138"/>
      <c r="D45" s="138"/>
      <c r="E45" s="138"/>
      <c r="F45" s="138"/>
      <c r="G45" s="162"/>
      <c r="H45" s="333"/>
      <c r="I45" s="333"/>
      <c r="J45" s="313"/>
      <c r="K45" s="313"/>
      <c r="L45" s="313"/>
      <c r="M45" s="313"/>
      <c r="N45" s="189"/>
      <c r="O45" s="234"/>
    </row>
    <row r="46" spans="1:15" ht="12" customHeight="1" x14ac:dyDescent="0.2">
      <c r="A46" s="140" t="s">
        <v>270</v>
      </c>
      <c r="B46" s="837" t="s">
        <v>29</v>
      </c>
      <c r="C46" s="837"/>
      <c r="D46" s="837"/>
      <c r="E46" s="837"/>
      <c r="F46" s="837"/>
      <c r="G46" s="137"/>
      <c r="H46" s="333"/>
      <c r="I46" s="333"/>
      <c r="J46" s="313"/>
      <c r="K46" s="313"/>
      <c r="L46" s="313"/>
      <c r="M46" s="313"/>
      <c r="N46" s="333"/>
      <c r="O46" s="214"/>
    </row>
    <row r="47" spans="1:15" ht="12" customHeight="1" x14ac:dyDescent="0.2">
      <c r="A47" s="140" t="s">
        <v>271</v>
      </c>
      <c r="B47" s="834" t="s">
        <v>34</v>
      </c>
      <c r="C47" s="834"/>
      <c r="D47" s="834"/>
      <c r="E47" s="834"/>
      <c r="F47" s="834"/>
      <c r="G47" s="137"/>
      <c r="H47" s="333"/>
      <c r="I47" s="333"/>
      <c r="J47" s="313"/>
      <c r="K47" s="313"/>
      <c r="L47" s="313"/>
      <c r="M47" s="313"/>
      <c r="N47" s="333"/>
      <c r="O47" s="68"/>
    </row>
    <row r="48" spans="1:15" ht="12" customHeight="1" x14ac:dyDescent="0.2">
      <c r="A48" s="140" t="s">
        <v>278</v>
      </c>
      <c r="B48" s="200" t="s">
        <v>503</v>
      </c>
      <c r="C48" s="153"/>
      <c r="D48" s="153"/>
      <c r="E48" s="153"/>
      <c r="F48" s="153"/>
      <c r="G48" s="139" t="s">
        <v>24</v>
      </c>
      <c r="H48" s="189">
        <v>1</v>
      </c>
      <c r="I48" s="323">
        <f>VLOOKUP(A48,'[1]TAB OGU JUN18'!$A:$G,6,"falso")</f>
        <v>19.420000000000002</v>
      </c>
      <c r="J48" s="314"/>
      <c r="K48" s="314"/>
      <c r="L48" s="323">
        <f>VLOOKUP(A48,'[1]TAB OGU JUN18'!$A:$G,5,"falso")</f>
        <v>19.420000000000002</v>
      </c>
      <c r="M48" s="308">
        <f>L48*H48</f>
        <v>19.420000000000002</v>
      </c>
      <c r="N48" s="189">
        <f>H48*I48</f>
        <v>19.420000000000002</v>
      </c>
      <c r="O48" s="214">
        <f>N48/N50</f>
        <v>1</v>
      </c>
    </row>
    <row r="49" spans="1:16" ht="12" customHeight="1" x14ac:dyDescent="0.2">
      <c r="A49" s="140"/>
      <c r="B49" s="138"/>
      <c r="C49" s="138"/>
      <c r="D49" s="138"/>
      <c r="E49" s="138"/>
      <c r="F49" s="138"/>
      <c r="G49" s="139"/>
      <c r="H49" s="189"/>
      <c r="I49" s="189"/>
      <c r="J49" s="313"/>
      <c r="K49" s="313"/>
      <c r="L49" s="313"/>
      <c r="M49" s="313"/>
      <c r="N49" s="189"/>
      <c r="O49" s="234"/>
    </row>
    <row r="50" spans="1:16" ht="12" customHeight="1" x14ac:dyDescent="0.2">
      <c r="A50" s="202"/>
      <c r="B50" s="142" t="s">
        <v>18</v>
      </c>
      <c r="C50" s="143"/>
      <c r="D50" s="143"/>
      <c r="E50" s="143"/>
      <c r="F50" s="143"/>
      <c r="G50" s="173"/>
      <c r="H50" s="335"/>
      <c r="I50" s="335"/>
      <c r="J50" s="335"/>
      <c r="K50" s="335"/>
      <c r="L50" s="335"/>
      <c r="M50" s="335"/>
      <c r="N50" s="189">
        <f>SUM(N48:N49)</f>
        <v>19.420000000000002</v>
      </c>
      <c r="O50" s="234">
        <f>N50/N52</f>
        <v>1</v>
      </c>
    </row>
    <row r="51" spans="1:16" ht="12" customHeight="1" x14ac:dyDescent="0.2">
      <c r="A51" s="202"/>
      <c r="B51" s="138"/>
      <c r="C51" s="138"/>
      <c r="D51" s="138"/>
      <c r="E51" s="138"/>
      <c r="F51" s="138"/>
      <c r="G51" s="162"/>
      <c r="H51" s="333"/>
      <c r="I51" s="333"/>
      <c r="J51" s="313"/>
      <c r="K51" s="313"/>
      <c r="L51" s="313"/>
      <c r="M51" s="313"/>
      <c r="N51" s="189"/>
      <c r="O51" s="234"/>
    </row>
    <row r="52" spans="1:16" s="132" customFormat="1" ht="12" customHeight="1" x14ac:dyDescent="0.2">
      <c r="A52" s="203"/>
      <c r="B52" s="175" t="s">
        <v>20</v>
      </c>
      <c r="C52" s="176"/>
      <c r="D52" s="176"/>
      <c r="E52" s="176"/>
      <c r="F52" s="176"/>
      <c r="G52" s="178"/>
      <c r="H52" s="337"/>
      <c r="I52" s="337"/>
      <c r="J52" s="337"/>
      <c r="K52" s="337"/>
      <c r="L52" s="337"/>
      <c r="M52" s="337"/>
      <c r="N52" s="295">
        <f>N50</f>
        <v>19.420000000000002</v>
      </c>
      <c r="O52" s="235">
        <f>N52/$N$99</f>
        <v>1.8720560544866641E-3</v>
      </c>
    </row>
    <row r="53" spans="1:16" ht="12" customHeight="1" x14ac:dyDescent="0.2">
      <c r="A53" s="202"/>
      <c r="B53" s="138"/>
      <c r="C53" s="138"/>
      <c r="D53" s="138"/>
      <c r="E53" s="138"/>
      <c r="F53" s="138"/>
      <c r="G53" s="162"/>
      <c r="H53" s="333"/>
      <c r="I53" s="333"/>
      <c r="J53" s="313"/>
      <c r="K53" s="313"/>
      <c r="L53" s="313"/>
      <c r="M53" s="313"/>
      <c r="N53" s="189"/>
      <c r="O53" s="234"/>
    </row>
    <row r="54" spans="1:16" ht="12" customHeight="1" x14ac:dyDescent="0.2">
      <c r="A54" s="140"/>
      <c r="B54" s="837" t="s">
        <v>557</v>
      </c>
      <c r="C54" s="837"/>
      <c r="D54" s="837"/>
      <c r="E54" s="837"/>
      <c r="F54" s="837"/>
      <c r="G54" s="137"/>
      <c r="H54" s="333"/>
      <c r="I54" s="333"/>
      <c r="J54" s="313"/>
      <c r="K54" s="313"/>
      <c r="L54" s="313"/>
      <c r="M54" s="313"/>
      <c r="N54" s="333"/>
      <c r="O54" s="214"/>
    </row>
    <row r="55" spans="1:16" ht="12" customHeight="1" x14ac:dyDescent="0.2">
      <c r="A55" s="140"/>
      <c r="B55" s="834" t="s">
        <v>577</v>
      </c>
      <c r="C55" s="834"/>
      <c r="D55" s="834"/>
      <c r="E55" s="834"/>
      <c r="F55" s="834"/>
      <c r="G55" s="137"/>
      <c r="H55" s="333"/>
      <c r="I55" s="333"/>
      <c r="J55" s="313"/>
      <c r="K55" s="313"/>
      <c r="L55" s="313"/>
      <c r="M55" s="313"/>
      <c r="N55" s="333"/>
      <c r="O55" s="68"/>
    </row>
    <row r="56" spans="1:16" ht="12" customHeight="1" x14ac:dyDescent="0.2">
      <c r="A56" s="140" t="s">
        <v>707</v>
      </c>
      <c r="B56" s="200" t="s">
        <v>708</v>
      </c>
      <c r="C56" s="153"/>
      <c r="D56" s="153"/>
      <c r="E56" s="153"/>
      <c r="F56" s="153"/>
      <c r="G56" s="139" t="s">
        <v>31</v>
      </c>
      <c r="H56" s="189">
        <v>1.8</v>
      </c>
      <c r="I56" s="323">
        <f>L56</f>
        <v>158.49</v>
      </c>
      <c r="J56" s="314"/>
      <c r="K56" s="314"/>
      <c r="L56" s="323">
        <v>158.49</v>
      </c>
      <c r="M56" s="308">
        <f t="shared" ref="M56:M57" si="0">L56*H56</f>
        <v>285.28200000000004</v>
      </c>
      <c r="N56" s="189">
        <f t="shared" ref="N56:N58" si="1">H56*I56</f>
        <v>285.28200000000004</v>
      </c>
      <c r="O56" s="214">
        <f>N56/N60</f>
        <v>0.7749659080413559</v>
      </c>
    </row>
    <row r="57" spans="1:16" ht="12" customHeight="1" x14ac:dyDescent="0.2">
      <c r="A57" s="140" t="s">
        <v>578</v>
      </c>
      <c r="B57" s="200" t="s">
        <v>579</v>
      </c>
      <c r="C57" s="153"/>
      <c r="D57" s="153"/>
      <c r="E57" s="153"/>
      <c r="F57" s="153"/>
      <c r="G57" s="139" t="s">
        <v>24</v>
      </c>
      <c r="H57" s="189">
        <v>2</v>
      </c>
      <c r="I57" s="323">
        <f t="shared" ref="I57:I58" si="2">L57</f>
        <v>33.75</v>
      </c>
      <c r="J57" s="314"/>
      <c r="K57" s="314"/>
      <c r="L57" s="323">
        <v>33.75</v>
      </c>
      <c r="M57" s="308">
        <f t="shared" si="0"/>
        <v>67.5</v>
      </c>
      <c r="N57" s="189">
        <f t="shared" si="1"/>
        <v>67.5</v>
      </c>
      <c r="O57" s="214">
        <f>N57/N60</f>
        <v>0.18336312418165715</v>
      </c>
    </row>
    <row r="58" spans="1:16" ht="12" customHeight="1" x14ac:dyDescent="0.2">
      <c r="A58" s="140" t="s">
        <v>758</v>
      </c>
      <c r="B58" s="200" t="s">
        <v>701</v>
      </c>
      <c r="C58" s="153"/>
      <c r="D58" s="153"/>
      <c r="E58" s="153"/>
      <c r="F58" s="153"/>
      <c r="G58" s="139" t="s">
        <v>24</v>
      </c>
      <c r="H58" s="189">
        <v>1</v>
      </c>
      <c r="I58" s="323">
        <f t="shared" si="2"/>
        <v>15.34</v>
      </c>
      <c r="J58" s="314"/>
      <c r="K58" s="314"/>
      <c r="L58" s="323">
        <v>15.34</v>
      </c>
      <c r="M58" s="308">
        <f>L58*H58</f>
        <v>15.34</v>
      </c>
      <c r="N58" s="189">
        <f t="shared" si="1"/>
        <v>15.34</v>
      </c>
      <c r="O58" s="214">
        <f>N58/N60</f>
        <v>4.1670967776986978E-2</v>
      </c>
      <c r="P58" s="51">
        <v>12613</v>
      </c>
    </row>
    <row r="59" spans="1:16" ht="12" customHeight="1" x14ac:dyDescent="0.2">
      <c r="A59" s="140"/>
      <c r="B59" s="138"/>
      <c r="C59" s="138"/>
      <c r="D59" s="138"/>
      <c r="E59" s="138"/>
      <c r="F59" s="138"/>
      <c r="G59" s="139"/>
      <c r="H59" s="189"/>
      <c r="I59" s="189"/>
      <c r="J59" s="313"/>
      <c r="K59" s="313"/>
      <c r="L59" s="313"/>
      <c r="M59" s="313"/>
      <c r="N59" s="189"/>
      <c r="O59" s="234"/>
    </row>
    <row r="60" spans="1:16" ht="12" customHeight="1" x14ac:dyDescent="0.2">
      <c r="A60" s="202"/>
      <c r="B60" s="142" t="s">
        <v>18</v>
      </c>
      <c r="C60" s="143"/>
      <c r="D60" s="143"/>
      <c r="E60" s="143"/>
      <c r="F60" s="143"/>
      <c r="G60" s="173"/>
      <c r="H60" s="335"/>
      <c r="I60" s="335"/>
      <c r="J60" s="335"/>
      <c r="K60" s="335"/>
      <c r="L60" s="335"/>
      <c r="M60" s="335"/>
      <c r="N60" s="189">
        <f>SUM(N56:N59)</f>
        <v>368.12200000000001</v>
      </c>
      <c r="O60" s="234">
        <f>N60/N97</f>
        <v>4.4768410592635824E-2</v>
      </c>
    </row>
    <row r="61" spans="1:16" ht="12" customHeight="1" x14ac:dyDescent="0.2">
      <c r="A61" s="202"/>
      <c r="B61" s="138"/>
      <c r="C61" s="138"/>
      <c r="D61" s="138"/>
      <c r="E61" s="138"/>
      <c r="F61" s="138"/>
      <c r="G61" s="162"/>
      <c r="H61" s="333"/>
      <c r="I61" s="333"/>
      <c r="J61" s="313"/>
      <c r="K61" s="313"/>
      <c r="L61" s="313"/>
      <c r="M61" s="313"/>
      <c r="N61" s="189"/>
      <c r="O61" s="234"/>
    </row>
    <row r="62" spans="1:16" ht="12" customHeight="1" x14ac:dyDescent="0.2">
      <c r="A62" s="140"/>
      <c r="B62" s="142" t="s">
        <v>702</v>
      </c>
      <c r="C62" s="153"/>
      <c r="D62" s="153"/>
      <c r="E62" s="153"/>
      <c r="F62" s="153"/>
      <c r="G62" s="137"/>
      <c r="H62" s="333"/>
      <c r="I62" s="333"/>
      <c r="J62" s="313"/>
      <c r="K62" s="313"/>
      <c r="L62" s="313"/>
      <c r="M62" s="313"/>
      <c r="N62" s="333"/>
      <c r="O62" s="68"/>
    </row>
    <row r="63" spans="1:16" ht="12" customHeight="1" x14ac:dyDescent="0.2">
      <c r="A63" s="140" t="s">
        <v>700</v>
      </c>
      <c r="B63" s="200" t="s">
        <v>699</v>
      </c>
      <c r="C63" s="153"/>
      <c r="D63" s="153"/>
      <c r="E63" s="153"/>
      <c r="F63" s="153"/>
      <c r="G63" s="139" t="s">
        <v>24</v>
      </c>
      <c r="H63" s="189">
        <v>1</v>
      </c>
      <c r="I63" s="323">
        <v>14.07</v>
      </c>
      <c r="J63" s="314"/>
      <c r="K63" s="314"/>
      <c r="L63" s="323">
        <v>14.07</v>
      </c>
      <c r="M63" s="308">
        <f t="shared" ref="M63" si="3">L63*H63</f>
        <v>14.07</v>
      </c>
      <c r="N63" s="189">
        <f t="shared" ref="N63" si="4">H63*I63</f>
        <v>14.07</v>
      </c>
      <c r="O63" s="214">
        <f>N63/$N$67</f>
        <v>0.16192887558982622</v>
      </c>
    </row>
    <row r="64" spans="1:16" ht="12" customHeight="1" x14ac:dyDescent="0.2">
      <c r="A64" s="140" t="s">
        <v>583</v>
      </c>
      <c r="B64" s="200" t="s">
        <v>584</v>
      </c>
      <c r="C64" s="153"/>
      <c r="D64" s="153"/>
      <c r="E64" s="153"/>
      <c r="F64" s="153"/>
      <c r="G64" s="139" t="s">
        <v>24</v>
      </c>
      <c r="H64" s="189">
        <v>2</v>
      </c>
      <c r="I64" s="499">
        <v>17.54</v>
      </c>
      <c r="J64" s="314"/>
      <c r="K64" s="314"/>
      <c r="L64" s="323">
        <v>17.54</v>
      </c>
      <c r="M64" s="308">
        <f>L64*H64</f>
        <v>35.08</v>
      </c>
      <c r="N64" s="189">
        <f>H64*I64</f>
        <v>35.08</v>
      </c>
      <c r="O64" s="214">
        <f t="shared" ref="O64:O65" si="5">N64/$N$67</f>
        <v>0.40372885257221774</v>
      </c>
      <c r="P64" s="51">
        <v>6016</v>
      </c>
    </row>
    <row r="65" spans="1:16" ht="12" customHeight="1" x14ac:dyDescent="0.2">
      <c r="A65" s="140" t="s">
        <v>585</v>
      </c>
      <c r="B65" s="200" t="s">
        <v>586</v>
      </c>
      <c r="C65" s="153"/>
      <c r="D65" s="153"/>
      <c r="E65" s="153"/>
      <c r="F65" s="153"/>
      <c r="G65" s="139" t="s">
        <v>24</v>
      </c>
      <c r="H65" s="189">
        <v>1</v>
      </c>
      <c r="I65" s="499">
        <v>37.74</v>
      </c>
      <c r="J65" s="314"/>
      <c r="K65" s="314"/>
      <c r="L65" s="323">
        <v>37.74</v>
      </c>
      <c r="M65" s="308">
        <f>L65*H65</f>
        <v>37.74</v>
      </c>
      <c r="N65" s="189">
        <f>H65*I65</f>
        <v>37.74</v>
      </c>
      <c r="O65" s="214">
        <f t="shared" si="5"/>
        <v>0.43434227183795604</v>
      </c>
      <c r="P65" s="51">
        <v>6017</v>
      </c>
    </row>
    <row r="66" spans="1:16" ht="12" customHeight="1" x14ac:dyDescent="0.2">
      <c r="A66" s="140"/>
      <c r="B66" s="138"/>
      <c r="C66" s="138"/>
      <c r="D66" s="138"/>
      <c r="E66" s="138"/>
      <c r="F66" s="138"/>
      <c r="G66" s="139"/>
      <c r="H66" s="189"/>
      <c r="I66" s="189"/>
      <c r="J66" s="313"/>
      <c r="K66" s="313"/>
      <c r="L66" s="313"/>
      <c r="M66" s="313"/>
      <c r="N66" s="189"/>
      <c r="O66" s="234"/>
    </row>
    <row r="67" spans="1:16" ht="12" customHeight="1" x14ac:dyDescent="0.2">
      <c r="A67" s="202"/>
      <c r="B67" s="142" t="s">
        <v>18</v>
      </c>
      <c r="C67" s="143"/>
      <c r="D67" s="143"/>
      <c r="E67" s="143"/>
      <c r="F67" s="143"/>
      <c r="G67" s="173"/>
      <c r="H67" s="335"/>
      <c r="I67" s="335"/>
      <c r="J67" s="335"/>
      <c r="K67" s="335"/>
      <c r="L67" s="335"/>
      <c r="M67" s="335"/>
      <c r="N67" s="189">
        <f>SUM(N63:N66)</f>
        <v>86.89</v>
      </c>
      <c r="O67" s="234">
        <f>N67/N97</f>
        <v>1.0566951164000322E-2</v>
      </c>
    </row>
    <row r="68" spans="1:16" ht="12" customHeight="1" x14ac:dyDescent="0.2">
      <c r="A68" s="202"/>
      <c r="B68" s="138"/>
      <c r="C68" s="138"/>
      <c r="D68" s="138"/>
      <c r="E68" s="138"/>
      <c r="F68" s="138"/>
      <c r="G68" s="162"/>
      <c r="H68" s="333"/>
      <c r="I68" s="333"/>
      <c r="J68" s="313"/>
      <c r="K68" s="313"/>
      <c r="L68" s="313"/>
      <c r="M68" s="313"/>
      <c r="N68" s="189"/>
      <c r="O68" s="234"/>
    </row>
    <row r="69" spans="1:16" ht="12" customHeight="1" x14ac:dyDescent="0.2">
      <c r="A69" s="140"/>
      <c r="B69" s="142" t="s">
        <v>580</v>
      </c>
      <c r="C69" s="142"/>
      <c r="D69" s="142"/>
      <c r="E69" s="142"/>
      <c r="F69" s="142"/>
      <c r="G69" s="137"/>
      <c r="H69" s="333"/>
      <c r="I69" s="333"/>
      <c r="J69" s="313"/>
      <c r="K69" s="313"/>
      <c r="L69" s="313"/>
      <c r="M69" s="313"/>
      <c r="N69" s="333"/>
      <c r="O69" s="214"/>
    </row>
    <row r="70" spans="1:16" ht="12" hidden="1" customHeight="1" x14ac:dyDescent="0.2">
      <c r="A70" s="140" t="s">
        <v>689</v>
      </c>
      <c r="B70" s="200" t="s">
        <v>690</v>
      </c>
      <c r="C70" s="153"/>
      <c r="D70" s="153"/>
      <c r="E70" s="153"/>
      <c r="F70" s="153"/>
      <c r="G70" s="139" t="s">
        <v>24</v>
      </c>
      <c r="H70" s="189">
        <v>0</v>
      </c>
      <c r="I70" s="323">
        <v>1.21</v>
      </c>
      <c r="J70" s="314"/>
      <c r="K70" s="314"/>
      <c r="L70" s="323">
        <v>1.21</v>
      </c>
      <c r="M70" s="308">
        <f t="shared" ref="M70:M88" si="6">L70*H70</f>
        <v>0</v>
      </c>
      <c r="N70" s="189">
        <f t="shared" ref="N70:N88" si="7">H70*I70</f>
        <v>0</v>
      </c>
      <c r="O70" s="214">
        <f t="shared" ref="O70:O88" si="8">N70/$N$90</f>
        <v>0</v>
      </c>
    </row>
    <row r="71" spans="1:16" ht="12" customHeight="1" x14ac:dyDescent="0.2">
      <c r="A71" s="140" t="s">
        <v>687</v>
      </c>
      <c r="B71" s="200" t="s">
        <v>688</v>
      </c>
      <c r="C71" s="153"/>
      <c r="D71" s="153"/>
      <c r="E71" s="153"/>
      <c r="F71" s="153"/>
      <c r="G71" s="139" t="s">
        <v>24</v>
      </c>
      <c r="H71" s="189">
        <v>8</v>
      </c>
      <c r="I71" s="323">
        <f>L71</f>
        <v>0.61</v>
      </c>
      <c r="J71" s="314"/>
      <c r="K71" s="314"/>
      <c r="L71" s="323">
        <v>0.61</v>
      </c>
      <c r="M71" s="308">
        <f t="shared" si="6"/>
        <v>4.88</v>
      </c>
      <c r="N71" s="189">
        <f t="shared" si="7"/>
        <v>4.88</v>
      </c>
      <c r="O71" s="214">
        <f t="shared" si="8"/>
        <v>2.3484684424553048E-2</v>
      </c>
    </row>
    <row r="72" spans="1:16" ht="12" customHeight="1" x14ac:dyDescent="0.2">
      <c r="A72" s="140" t="s">
        <v>589</v>
      </c>
      <c r="B72" s="200" t="s">
        <v>590</v>
      </c>
      <c r="C72" s="153"/>
      <c r="D72" s="153"/>
      <c r="E72" s="153"/>
      <c r="F72" s="153"/>
      <c r="G72" s="139" t="s">
        <v>17</v>
      </c>
      <c r="H72" s="189">
        <v>2</v>
      </c>
      <c r="I72" s="323">
        <f>L72</f>
        <v>3.39</v>
      </c>
      <c r="J72" s="314"/>
      <c r="K72" s="314"/>
      <c r="L72" s="323">
        <f>3.39</f>
        <v>3.39</v>
      </c>
      <c r="M72" s="308">
        <f t="shared" si="6"/>
        <v>6.78</v>
      </c>
      <c r="N72" s="189">
        <f t="shared" si="7"/>
        <v>6.78</v>
      </c>
      <c r="O72" s="214">
        <f t="shared" si="8"/>
        <v>3.2628311557063458E-2</v>
      </c>
    </row>
    <row r="73" spans="1:16" ht="12" customHeight="1" x14ac:dyDescent="0.2">
      <c r="A73" s="140" t="s">
        <v>593</v>
      </c>
      <c r="B73" s="200" t="s">
        <v>594</v>
      </c>
      <c r="C73" s="153"/>
      <c r="D73" s="153"/>
      <c r="E73" s="153"/>
      <c r="F73" s="153"/>
      <c r="G73" s="139" t="s">
        <v>17</v>
      </c>
      <c r="H73" s="189">
        <v>1</v>
      </c>
      <c r="I73" s="323">
        <v>8.9600000000000009</v>
      </c>
      <c r="J73" s="314"/>
      <c r="K73" s="314"/>
      <c r="L73" s="323">
        <f>I73</f>
        <v>8.9600000000000009</v>
      </c>
      <c r="M73" s="308">
        <f t="shared" si="6"/>
        <v>8.9600000000000009</v>
      </c>
      <c r="N73" s="189">
        <f t="shared" si="7"/>
        <v>8.9600000000000009</v>
      </c>
      <c r="O73" s="214">
        <f t="shared" si="8"/>
        <v>4.3119420582785922E-2</v>
      </c>
    </row>
    <row r="74" spans="1:16" ht="12" customHeight="1" x14ac:dyDescent="0.2">
      <c r="A74" s="140" t="s">
        <v>691</v>
      </c>
      <c r="B74" s="200" t="s">
        <v>692</v>
      </c>
      <c r="C74" s="153"/>
      <c r="D74" s="153"/>
      <c r="E74" s="153"/>
      <c r="F74" s="153"/>
      <c r="G74" s="139" t="s">
        <v>24</v>
      </c>
      <c r="H74" s="189">
        <v>5</v>
      </c>
      <c r="I74" s="323">
        <v>3.85</v>
      </c>
      <c r="J74" s="314"/>
      <c r="K74" s="314"/>
      <c r="L74" s="323">
        <f t="shared" ref="L74:L75" si="9">I74</f>
        <v>3.85</v>
      </c>
      <c r="M74" s="308">
        <f t="shared" si="6"/>
        <v>19.25</v>
      </c>
      <c r="N74" s="189">
        <f t="shared" si="7"/>
        <v>19.25</v>
      </c>
      <c r="O74" s="214">
        <f t="shared" si="8"/>
        <v>9.2639380158329135E-2</v>
      </c>
    </row>
    <row r="75" spans="1:16" ht="12" customHeight="1" x14ac:dyDescent="0.2">
      <c r="A75" s="140" t="s">
        <v>591</v>
      </c>
      <c r="B75" s="200" t="s">
        <v>592</v>
      </c>
      <c r="C75" s="153"/>
      <c r="D75" s="153"/>
      <c r="E75" s="153"/>
      <c r="F75" s="153"/>
      <c r="G75" s="139" t="s">
        <v>17</v>
      </c>
      <c r="H75" s="189">
        <v>0.5</v>
      </c>
      <c r="I75" s="323">
        <v>5.83</v>
      </c>
      <c r="J75" s="314"/>
      <c r="K75" s="314"/>
      <c r="L75" s="323">
        <f t="shared" si="9"/>
        <v>5.83</v>
      </c>
      <c r="M75" s="308">
        <f t="shared" si="6"/>
        <v>2.915</v>
      </c>
      <c r="N75" s="189">
        <f t="shared" si="7"/>
        <v>2.915</v>
      </c>
      <c r="O75" s="214">
        <f t="shared" si="8"/>
        <v>1.4028248995404126E-2</v>
      </c>
    </row>
    <row r="76" spans="1:16" ht="12" customHeight="1" x14ac:dyDescent="0.2">
      <c r="A76" s="140" t="s">
        <v>705</v>
      </c>
      <c r="B76" s="200" t="s">
        <v>706</v>
      </c>
      <c r="C76" s="153"/>
      <c r="D76" s="153"/>
      <c r="E76" s="153"/>
      <c r="F76" s="153"/>
      <c r="G76" s="139" t="s">
        <v>24</v>
      </c>
      <c r="H76" s="189">
        <v>6</v>
      </c>
      <c r="I76" s="499">
        <v>0.82</v>
      </c>
      <c r="J76" s="314"/>
      <c r="K76" s="314"/>
      <c r="L76" s="323">
        <v>0.82</v>
      </c>
      <c r="M76" s="308">
        <f t="shared" si="6"/>
        <v>4.92</v>
      </c>
      <c r="N76" s="189">
        <f t="shared" si="7"/>
        <v>4.92</v>
      </c>
      <c r="O76" s="214">
        <f t="shared" si="8"/>
        <v>2.3677181837869054E-2</v>
      </c>
      <c r="P76" s="51">
        <v>77</v>
      </c>
    </row>
    <row r="77" spans="1:16" ht="12" customHeight="1" x14ac:dyDescent="0.2">
      <c r="A77" s="140" t="s">
        <v>696</v>
      </c>
      <c r="B77" s="200" t="s">
        <v>695</v>
      </c>
      <c r="C77" s="153"/>
      <c r="D77" s="153"/>
      <c r="E77" s="153"/>
      <c r="F77" s="153"/>
      <c r="G77" s="139" t="s">
        <v>24</v>
      </c>
      <c r="H77" s="189">
        <v>4</v>
      </c>
      <c r="I77" s="499">
        <v>0.38</v>
      </c>
      <c r="J77" s="314"/>
      <c r="K77" s="314"/>
      <c r="L77" s="323">
        <v>0.38</v>
      </c>
      <c r="M77" s="308">
        <f t="shared" si="6"/>
        <v>1.52</v>
      </c>
      <c r="N77" s="189">
        <f t="shared" si="7"/>
        <v>1.52</v>
      </c>
      <c r="O77" s="214">
        <f t="shared" si="8"/>
        <v>7.314901706008326E-3</v>
      </c>
      <c r="P77" s="51">
        <v>3542</v>
      </c>
    </row>
    <row r="78" spans="1:16" ht="12" customHeight="1" x14ac:dyDescent="0.2">
      <c r="A78" s="140" t="s">
        <v>581</v>
      </c>
      <c r="B78" s="200" t="s">
        <v>582</v>
      </c>
      <c r="C78" s="153"/>
      <c r="D78" s="153"/>
      <c r="E78" s="153"/>
      <c r="F78" s="153"/>
      <c r="G78" s="139" t="s">
        <v>24</v>
      </c>
      <c r="H78" s="189">
        <v>3</v>
      </c>
      <c r="I78" s="499">
        <v>0.92</v>
      </c>
      <c r="J78" s="314"/>
      <c r="K78" s="314"/>
      <c r="L78" s="323">
        <v>0.92</v>
      </c>
      <c r="M78" s="308">
        <f t="shared" si="6"/>
        <v>2.7600000000000002</v>
      </c>
      <c r="N78" s="189">
        <f t="shared" si="7"/>
        <v>2.7600000000000002</v>
      </c>
      <c r="O78" s="214">
        <f t="shared" si="8"/>
        <v>1.3282321518804593E-2</v>
      </c>
      <c r="P78" s="51">
        <v>3868</v>
      </c>
    </row>
    <row r="79" spans="1:16" ht="12" customHeight="1" x14ac:dyDescent="0.2">
      <c r="A79" s="140" t="s">
        <v>698</v>
      </c>
      <c r="B79" s="200" t="s">
        <v>697</v>
      </c>
      <c r="C79" s="153"/>
      <c r="D79" s="153"/>
      <c r="E79" s="153"/>
      <c r="F79" s="153"/>
      <c r="G79" s="139" t="s">
        <v>24</v>
      </c>
      <c r="H79" s="189">
        <v>2</v>
      </c>
      <c r="I79" s="499">
        <v>2.65</v>
      </c>
      <c r="J79" s="314"/>
      <c r="K79" s="314"/>
      <c r="L79" s="323">
        <v>2.65</v>
      </c>
      <c r="M79" s="308">
        <f t="shared" si="6"/>
        <v>5.3</v>
      </c>
      <c r="N79" s="189">
        <f t="shared" si="7"/>
        <v>5.3</v>
      </c>
      <c r="O79" s="214">
        <f t="shared" si="8"/>
        <v>2.5505907264371137E-2</v>
      </c>
      <c r="P79" s="51">
        <v>3869</v>
      </c>
    </row>
    <row r="80" spans="1:16" ht="12" customHeight="1" x14ac:dyDescent="0.2">
      <c r="A80" s="140" t="s">
        <v>587</v>
      </c>
      <c r="B80" s="200" t="s">
        <v>588</v>
      </c>
      <c r="C80" s="153"/>
      <c r="D80" s="153"/>
      <c r="E80" s="153"/>
      <c r="F80" s="153"/>
      <c r="G80" s="139" t="s">
        <v>24</v>
      </c>
      <c r="H80" s="189">
        <v>5</v>
      </c>
      <c r="I80" s="499">
        <v>4.0999999999999996</v>
      </c>
      <c r="J80" s="314"/>
      <c r="K80" s="314"/>
      <c r="L80" s="323">
        <v>4.0999999999999996</v>
      </c>
      <c r="M80" s="308">
        <f t="shared" si="6"/>
        <v>20.5</v>
      </c>
      <c r="N80" s="189">
        <f t="shared" si="7"/>
        <v>20.5</v>
      </c>
      <c r="O80" s="214">
        <f t="shared" si="8"/>
        <v>9.8654924324454399E-2</v>
      </c>
      <c r="P80" s="51">
        <v>3515</v>
      </c>
    </row>
    <row r="81" spans="1:16" ht="12" customHeight="1" x14ac:dyDescent="0.2">
      <c r="A81" s="140" t="s">
        <v>703</v>
      </c>
      <c r="B81" s="200" t="s">
        <v>704</v>
      </c>
      <c r="C81" s="153"/>
      <c r="D81" s="153"/>
      <c r="E81" s="153"/>
      <c r="F81" s="153"/>
      <c r="G81" s="139" t="s">
        <v>24</v>
      </c>
      <c r="H81" s="189">
        <v>2</v>
      </c>
      <c r="I81" s="499">
        <v>7.2</v>
      </c>
      <c r="J81" s="314"/>
      <c r="K81" s="314"/>
      <c r="L81" s="323">
        <v>7.2</v>
      </c>
      <c r="M81" s="308">
        <f t="shared" si="6"/>
        <v>14.4</v>
      </c>
      <c r="N81" s="189">
        <f t="shared" si="7"/>
        <v>14.4</v>
      </c>
      <c r="O81" s="214">
        <f t="shared" si="8"/>
        <v>6.9299068793763088E-2</v>
      </c>
      <c r="P81" s="51">
        <v>6148</v>
      </c>
    </row>
    <row r="82" spans="1:16" ht="12" customHeight="1" x14ac:dyDescent="0.2">
      <c r="A82" s="140" t="s">
        <v>595</v>
      </c>
      <c r="B82" s="200" t="s">
        <v>596</v>
      </c>
      <c r="C82" s="153"/>
      <c r="D82" s="153"/>
      <c r="E82" s="153"/>
      <c r="F82" s="153"/>
      <c r="G82" s="139" t="s">
        <v>24</v>
      </c>
      <c r="H82" s="189">
        <v>4</v>
      </c>
      <c r="I82" s="499">
        <v>2.75</v>
      </c>
      <c r="J82" s="314"/>
      <c r="K82" s="314"/>
      <c r="L82" s="323">
        <v>2.75</v>
      </c>
      <c r="M82" s="308">
        <f t="shared" si="6"/>
        <v>11</v>
      </c>
      <c r="N82" s="189">
        <f t="shared" si="7"/>
        <v>11</v>
      </c>
      <c r="O82" s="214">
        <f t="shared" si="8"/>
        <v>5.2936788661902358E-2</v>
      </c>
      <c r="P82" s="51">
        <v>20148</v>
      </c>
    </row>
    <row r="83" spans="1:16" ht="12" customHeight="1" x14ac:dyDescent="0.2">
      <c r="A83" s="140" t="s">
        <v>1034</v>
      </c>
      <c r="B83" s="200" t="s">
        <v>989</v>
      </c>
      <c r="C83" s="153"/>
      <c r="D83" s="153"/>
      <c r="E83" s="153"/>
      <c r="F83" s="153"/>
      <c r="G83" s="139" t="s">
        <v>24</v>
      </c>
      <c r="H83" s="189">
        <v>3</v>
      </c>
      <c r="I83" s="499">
        <v>13.83</v>
      </c>
      <c r="J83" s="314"/>
      <c r="K83" s="314"/>
      <c r="L83" s="323">
        <v>13.83</v>
      </c>
      <c r="M83" s="308">
        <f t="shared" si="6"/>
        <v>41.49</v>
      </c>
      <c r="N83" s="189">
        <f t="shared" si="7"/>
        <v>41.49</v>
      </c>
      <c r="O83" s="214">
        <f t="shared" si="8"/>
        <v>0.19966794196202992</v>
      </c>
      <c r="P83" s="51">
        <v>20148</v>
      </c>
    </row>
    <row r="84" spans="1:16" ht="12" customHeight="1" x14ac:dyDescent="0.2">
      <c r="A84" s="140" t="s">
        <v>597</v>
      </c>
      <c r="B84" s="200" t="s">
        <v>598</v>
      </c>
      <c r="C84" s="200"/>
      <c r="D84" s="200"/>
      <c r="E84" s="200"/>
      <c r="F84" s="153"/>
      <c r="G84" s="139" t="s">
        <v>24</v>
      </c>
      <c r="H84" s="189">
        <v>5</v>
      </c>
      <c r="I84" s="499">
        <v>3.54</v>
      </c>
      <c r="J84" s="314"/>
      <c r="K84" s="314"/>
      <c r="L84" s="323">
        <v>3.54</v>
      </c>
      <c r="M84" s="308">
        <f t="shared" si="6"/>
        <v>17.7</v>
      </c>
      <c r="N84" s="189">
        <f t="shared" si="7"/>
        <v>17.7</v>
      </c>
      <c r="O84" s="214">
        <f t="shared" si="8"/>
        <v>8.5180105392333796E-2</v>
      </c>
      <c r="P84" s="51">
        <v>20154</v>
      </c>
    </row>
    <row r="85" spans="1:16" ht="12" customHeight="1" x14ac:dyDescent="0.2">
      <c r="A85" s="140" t="s">
        <v>599</v>
      </c>
      <c r="B85" s="200" t="s">
        <v>600</v>
      </c>
      <c r="C85" s="153"/>
      <c r="D85" s="153"/>
      <c r="E85" s="153"/>
      <c r="F85" s="153"/>
      <c r="G85" s="139" t="s">
        <v>24</v>
      </c>
      <c r="H85" s="189">
        <v>1</v>
      </c>
      <c r="I85" s="499">
        <v>18.66</v>
      </c>
      <c r="J85" s="314"/>
      <c r="K85" s="314"/>
      <c r="L85" s="323">
        <v>18.66</v>
      </c>
      <c r="M85" s="308">
        <f t="shared" si="6"/>
        <v>18.66</v>
      </c>
      <c r="N85" s="189">
        <f t="shared" si="7"/>
        <v>18.66</v>
      </c>
      <c r="O85" s="214">
        <f t="shared" si="8"/>
        <v>8.9800043311918001E-2</v>
      </c>
      <c r="P85" s="51">
        <v>20157</v>
      </c>
    </row>
    <row r="86" spans="1:16" ht="12" customHeight="1" x14ac:dyDescent="0.2">
      <c r="A86" s="140" t="s">
        <v>601</v>
      </c>
      <c r="B86" s="200" t="s">
        <v>602</v>
      </c>
      <c r="C86" s="153"/>
      <c r="D86" s="153"/>
      <c r="E86" s="153"/>
      <c r="F86" s="153"/>
      <c r="G86" s="139" t="s">
        <v>24</v>
      </c>
      <c r="H86" s="189">
        <v>1</v>
      </c>
      <c r="I86" s="499">
        <v>10.45</v>
      </c>
      <c r="J86" s="314"/>
      <c r="K86" s="314"/>
      <c r="L86" s="323">
        <v>10.45</v>
      </c>
      <c r="M86" s="308">
        <f t="shared" si="6"/>
        <v>10.45</v>
      </c>
      <c r="N86" s="189">
        <f t="shared" si="7"/>
        <v>10.45</v>
      </c>
      <c r="O86" s="214">
        <f t="shared" si="8"/>
        <v>5.0289949228807238E-2</v>
      </c>
      <c r="P86" s="51">
        <v>10908</v>
      </c>
    </row>
    <row r="87" spans="1:16" ht="12" customHeight="1" x14ac:dyDescent="0.2">
      <c r="A87" s="140" t="s">
        <v>603</v>
      </c>
      <c r="B87" s="200" t="s">
        <v>604</v>
      </c>
      <c r="C87" s="153"/>
      <c r="D87" s="153"/>
      <c r="E87" s="153"/>
      <c r="F87" s="153"/>
      <c r="G87" s="139" t="s">
        <v>24</v>
      </c>
      <c r="H87" s="189">
        <v>1</v>
      </c>
      <c r="I87" s="499">
        <v>12.06</v>
      </c>
      <c r="J87" s="314"/>
      <c r="K87" s="314"/>
      <c r="L87" s="323">
        <v>12.06</v>
      </c>
      <c r="M87" s="308">
        <f t="shared" si="6"/>
        <v>12.06</v>
      </c>
      <c r="N87" s="189">
        <f t="shared" si="7"/>
        <v>12.06</v>
      </c>
      <c r="O87" s="214">
        <f t="shared" si="8"/>
        <v>5.8037970114776585E-2</v>
      </c>
      <c r="P87" s="51">
        <v>5103</v>
      </c>
    </row>
    <row r="88" spans="1:16" ht="12" customHeight="1" x14ac:dyDescent="0.2">
      <c r="A88" s="140" t="s">
        <v>605</v>
      </c>
      <c r="B88" s="200" t="s">
        <v>606</v>
      </c>
      <c r="C88" s="153"/>
      <c r="D88" s="153"/>
      <c r="E88" s="153"/>
      <c r="F88" s="153"/>
      <c r="G88" s="139" t="s">
        <v>24</v>
      </c>
      <c r="H88" s="189">
        <v>1</v>
      </c>
      <c r="I88" s="499">
        <v>4.25</v>
      </c>
      <c r="J88" s="314"/>
      <c r="K88" s="314"/>
      <c r="L88" s="323">
        <v>4.25</v>
      </c>
      <c r="M88" s="308">
        <f t="shared" si="6"/>
        <v>4.25</v>
      </c>
      <c r="N88" s="189">
        <f t="shared" si="7"/>
        <v>4.25</v>
      </c>
      <c r="O88" s="214">
        <f t="shared" si="8"/>
        <v>2.0452850164825911E-2</v>
      </c>
      <c r="P88" s="51">
        <v>7097</v>
      </c>
    </row>
    <row r="89" spans="1:16" ht="12" customHeight="1" x14ac:dyDescent="0.2">
      <c r="A89" s="140"/>
      <c r="B89" s="138"/>
      <c r="C89" s="138"/>
      <c r="D89" s="138"/>
      <c r="E89" s="138"/>
      <c r="F89" s="138"/>
      <c r="G89" s="139"/>
      <c r="H89" s="189"/>
      <c r="I89" s="189"/>
      <c r="J89" s="313"/>
      <c r="K89" s="313"/>
      <c r="L89" s="313"/>
      <c r="M89" s="313"/>
      <c r="N89" s="189"/>
      <c r="O89" s="234"/>
    </row>
    <row r="90" spans="1:16" ht="12" customHeight="1" x14ac:dyDescent="0.2">
      <c r="A90" s="202"/>
      <c r="B90" s="142" t="s">
        <v>18</v>
      </c>
      <c r="C90" s="143"/>
      <c r="D90" s="143"/>
      <c r="E90" s="143"/>
      <c r="F90" s="143"/>
      <c r="G90" s="173"/>
      <c r="H90" s="335"/>
      <c r="I90" s="335"/>
      <c r="J90" s="335"/>
      <c r="K90" s="335"/>
      <c r="L90" s="335"/>
      <c r="M90" s="335"/>
      <c r="N90" s="189">
        <f>SUM(N70:N89)</f>
        <v>207.79499999999999</v>
      </c>
      <c r="O90" s="234">
        <f>N90/N97</f>
        <v>2.5270567581119192E-2</v>
      </c>
    </row>
    <row r="91" spans="1:16" ht="12" customHeight="1" x14ac:dyDescent="0.2">
      <c r="A91" s="202"/>
      <c r="B91" s="138"/>
      <c r="C91" s="138"/>
      <c r="D91" s="138"/>
      <c r="E91" s="138"/>
      <c r="F91" s="138"/>
      <c r="G91" s="162"/>
      <c r="H91" s="333"/>
      <c r="I91" s="333"/>
      <c r="J91" s="313"/>
      <c r="K91" s="313"/>
      <c r="L91" s="313"/>
      <c r="M91" s="313"/>
      <c r="N91" s="189"/>
      <c r="O91" s="234"/>
    </row>
    <row r="92" spans="1:16" customFormat="1" ht="12" customHeight="1" x14ac:dyDescent="0.2">
      <c r="A92" s="238"/>
      <c r="B92" s="834" t="s">
        <v>557</v>
      </c>
      <c r="C92" s="834"/>
      <c r="D92" s="834"/>
      <c r="E92" s="834"/>
      <c r="F92" s="152"/>
      <c r="G92" s="152"/>
      <c r="H92" s="162"/>
      <c r="I92" s="152"/>
      <c r="J92" s="152"/>
      <c r="K92" s="61"/>
      <c r="O92" s="13"/>
    </row>
    <row r="93" spans="1:16" customFormat="1" ht="12" customHeight="1" x14ac:dyDescent="0.2">
      <c r="A93" s="151" t="s">
        <v>545</v>
      </c>
      <c r="B93" s="142" t="s">
        <v>575</v>
      </c>
      <c r="C93" s="153"/>
      <c r="D93" s="153"/>
      <c r="E93" s="153"/>
      <c r="F93" s="152"/>
      <c r="G93" s="139" t="s">
        <v>24</v>
      </c>
      <c r="H93" s="189">
        <v>1</v>
      </c>
      <c r="I93" s="308">
        <v>7560</v>
      </c>
      <c r="J93" s="351"/>
      <c r="K93" s="308"/>
      <c r="L93" s="351">
        <v>7560</v>
      </c>
      <c r="M93" s="308">
        <f>L93*H93</f>
        <v>7560</v>
      </c>
      <c r="N93" s="352">
        <f>I93*H93</f>
        <v>7560</v>
      </c>
      <c r="O93" s="25">
        <f>N93/N95</f>
        <v>1</v>
      </c>
    </row>
    <row r="94" spans="1:16" customFormat="1" ht="12" customHeight="1" x14ac:dyDescent="0.2">
      <c r="A94" s="239"/>
      <c r="B94" s="138"/>
      <c r="C94" s="138"/>
      <c r="D94" s="138"/>
      <c r="E94" s="138"/>
      <c r="F94" s="152"/>
      <c r="G94" s="139"/>
      <c r="H94" s="189"/>
      <c r="I94" s="353"/>
      <c r="J94" s="354"/>
      <c r="K94" s="354"/>
      <c r="L94" s="355"/>
      <c r="M94" s="355"/>
      <c r="N94" s="352"/>
      <c r="O94" s="25"/>
    </row>
    <row r="95" spans="1:16" customFormat="1" ht="12" customHeight="1" x14ac:dyDescent="0.2">
      <c r="A95" s="152"/>
      <c r="B95" s="142" t="s">
        <v>533</v>
      </c>
      <c r="C95" s="143"/>
      <c r="D95" s="143"/>
      <c r="E95" s="143"/>
      <c r="F95" s="154"/>
      <c r="G95" s="172"/>
      <c r="H95" s="335"/>
      <c r="I95" s="356"/>
      <c r="J95" s="356"/>
      <c r="K95" s="356"/>
      <c r="L95" s="356"/>
      <c r="M95" s="356"/>
      <c r="N95" s="352">
        <f>SUM(N93:N94)</f>
        <v>7560</v>
      </c>
      <c r="O95" s="439">
        <f>N95/N97</f>
        <v>0.91939407066224454</v>
      </c>
    </row>
    <row r="96" spans="1:16" customFormat="1" ht="12" customHeight="1" x14ac:dyDescent="0.2">
      <c r="A96" s="152"/>
      <c r="B96" s="138"/>
      <c r="C96" s="138"/>
      <c r="D96" s="138"/>
      <c r="E96" s="138"/>
      <c r="F96" s="152"/>
      <c r="G96" s="159"/>
      <c r="H96" s="333"/>
      <c r="I96" s="355"/>
      <c r="J96" s="355"/>
      <c r="K96" s="355"/>
      <c r="L96" s="355"/>
      <c r="M96" s="355"/>
      <c r="N96" s="352"/>
      <c r="O96" s="439"/>
    </row>
    <row r="97" spans="1:16" s="132" customFormat="1" ht="12" customHeight="1" x14ac:dyDescent="0.2">
      <c r="A97" s="203"/>
      <c r="B97" s="175" t="s">
        <v>20</v>
      </c>
      <c r="C97" s="176"/>
      <c r="D97" s="176"/>
      <c r="E97" s="176"/>
      <c r="F97" s="176"/>
      <c r="G97" s="178"/>
      <c r="H97" s="337"/>
      <c r="I97" s="337"/>
      <c r="J97" s="337"/>
      <c r="K97" s="337"/>
      <c r="L97" s="337"/>
      <c r="M97" s="337"/>
      <c r="N97" s="295">
        <f>N90+N60+N67+N95</f>
        <v>8222.8070000000007</v>
      </c>
      <c r="O97" s="235">
        <f>N97/$N$99</f>
        <v>0.7926650684462061</v>
      </c>
    </row>
    <row r="98" spans="1:16" ht="7.5" customHeight="1" x14ac:dyDescent="0.2">
      <c r="A98" s="202"/>
      <c r="B98" s="138"/>
      <c r="C98" s="138"/>
      <c r="D98" s="138"/>
      <c r="E98" s="138"/>
      <c r="F98" s="138"/>
      <c r="G98" s="162"/>
      <c r="H98" s="333"/>
      <c r="I98" s="333"/>
      <c r="J98" s="313"/>
      <c r="K98" s="313"/>
      <c r="L98" s="313"/>
      <c r="M98" s="313"/>
      <c r="N98" s="189"/>
      <c r="O98" s="234"/>
    </row>
    <row r="99" spans="1:16" ht="12" customHeight="1" x14ac:dyDescent="0.2">
      <c r="A99" s="206"/>
      <c r="B99" s="147" t="s">
        <v>30</v>
      </c>
      <c r="C99" s="146"/>
      <c r="D99" s="146"/>
      <c r="E99" s="146"/>
      <c r="F99" s="146"/>
      <c r="G99" s="322"/>
      <c r="H99" s="350"/>
      <c r="I99" s="393"/>
      <c r="J99" s="393"/>
      <c r="K99" s="393"/>
      <c r="L99" s="393"/>
      <c r="M99" s="285">
        <f>SUM(M13:M93)</f>
        <v>10373.621000000001</v>
      </c>
      <c r="N99" s="316">
        <f>N44+N52+N97+N19+N27</f>
        <v>10373.620999999999</v>
      </c>
      <c r="O99" s="29"/>
      <c r="P99" s="149"/>
    </row>
    <row r="100" spans="1:16" ht="7.5" customHeight="1" x14ac:dyDescent="0.2">
      <c r="H100" s="311"/>
      <c r="I100" s="311"/>
      <c r="J100" s="311"/>
      <c r="K100" s="311"/>
      <c r="L100" s="311"/>
      <c r="M100" s="311"/>
      <c r="N100" s="311"/>
      <c r="O100" s="219"/>
      <c r="P100" s="149"/>
    </row>
    <row r="101" spans="1:16" ht="12" customHeight="1" x14ac:dyDescent="0.2">
      <c r="A101" s="206"/>
      <c r="B101" s="147" t="s">
        <v>265</v>
      </c>
      <c r="C101" s="146"/>
      <c r="D101" s="146"/>
      <c r="E101" s="146"/>
      <c r="F101" s="146"/>
      <c r="G101" s="322"/>
      <c r="H101" s="350"/>
      <c r="I101" s="393"/>
      <c r="J101" s="393"/>
      <c r="K101" s="393"/>
      <c r="L101" s="393"/>
      <c r="M101" s="285">
        <f>M99*(1+O7)</f>
        <v>12211.826641200001</v>
      </c>
      <c r="N101" s="316">
        <f>M101</f>
        <v>12211.826641200001</v>
      </c>
      <c r="O101" s="29">
        <f>N101/RESUMO!H95</f>
        <v>1.6863706499248325E-3</v>
      </c>
      <c r="P101" s="149"/>
    </row>
    <row r="112" spans="1:16" ht="12" customHeight="1" x14ac:dyDescent="0.2">
      <c r="A112" s="208"/>
      <c r="B112" s="150"/>
      <c r="C112" s="150"/>
      <c r="D112" s="150"/>
      <c r="E112" s="150"/>
      <c r="F112" s="150"/>
      <c r="G112" s="150"/>
      <c r="H112" s="150"/>
      <c r="I112" s="150"/>
      <c r="J112" s="150"/>
      <c r="K112" s="150"/>
      <c r="L112" s="150"/>
      <c r="M112" s="150"/>
      <c r="N112" s="211"/>
      <c r="O112" s="210"/>
    </row>
    <row r="113" spans="1:15" ht="12" customHeight="1" x14ac:dyDescent="0.2">
      <c r="A113" s="98"/>
      <c r="C113" s="184"/>
      <c r="D113" s="184"/>
      <c r="E113" s="184"/>
      <c r="F113" s="184"/>
      <c r="G113" s="184"/>
      <c r="H113" s="184"/>
      <c r="I113" s="184"/>
      <c r="J113" s="184"/>
      <c r="K113" s="184"/>
      <c r="L113" s="184"/>
      <c r="M113" s="184"/>
      <c r="N113" s="184"/>
      <c r="O113" s="437"/>
    </row>
  </sheetData>
  <mergeCells count="16">
    <mergeCell ref="B92:E92"/>
    <mergeCell ref="B37:F37"/>
    <mergeCell ref="B46:F46"/>
    <mergeCell ref="B47:F47"/>
    <mergeCell ref="B54:F54"/>
    <mergeCell ref="B55:F55"/>
    <mergeCell ref="B30:F30"/>
    <mergeCell ref="A2:O2"/>
    <mergeCell ref="N4:O4"/>
    <mergeCell ref="A5:B6"/>
    <mergeCell ref="B29:F29"/>
    <mergeCell ref="B13:F13"/>
    <mergeCell ref="B14:F14"/>
    <mergeCell ref="B15:F15"/>
    <mergeCell ref="B21:F21"/>
    <mergeCell ref="B22:F22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legacyDrawingHF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>
    <tabColor theme="8" tint="0.79998168889431442"/>
    <pageSetUpPr fitToPage="1"/>
  </sheetPr>
  <dimension ref="A1:P33"/>
  <sheetViews>
    <sheetView tabSelected="1" view="pageBreakPreview" zoomScale="90" zoomScaleNormal="90" zoomScaleSheetLayoutView="90" workbookViewId="0">
      <selection activeCell="O33" sqref="O33"/>
    </sheetView>
  </sheetViews>
  <sheetFormatPr defaultColWidth="11.42578125" defaultRowHeight="12" customHeight="1" x14ac:dyDescent="0.2"/>
  <cols>
    <col min="1" max="1" width="11.42578125" style="156"/>
    <col min="2" max="5" width="11.42578125" style="51"/>
    <col min="6" max="6" width="28.5703125" style="51" customWidth="1"/>
    <col min="7" max="9" width="11.42578125" style="51" customWidth="1"/>
    <col min="10" max="10" width="8.7109375" style="51" hidden="1" customWidth="1"/>
    <col min="11" max="11" width="14.28515625" style="51" customWidth="1"/>
    <col min="12" max="12" width="8.7109375" style="51" hidden="1" customWidth="1"/>
    <col min="13" max="13" width="14.28515625" style="51" customWidth="1"/>
    <col min="14" max="14" width="17.140625" style="51" customWidth="1"/>
    <col min="15" max="15" width="11.42578125" style="52" customWidth="1"/>
    <col min="16" max="16384" width="11.42578125" style="51"/>
  </cols>
  <sheetData>
    <row r="1" spans="1:15" ht="7.5" customHeight="1" x14ac:dyDescent="0.2"/>
    <row r="2" spans="1:15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5" ht="7.5" customHeight="1" thickBot="1" x14ac:dyDescent="0.25">
      <c r="A3" s="194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95"/>
    </row>
    <row r="4" spans="1:15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5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5" ht="12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5" ht="12" customHeight="1" x14ac:dyDescent="0.2">
      <c r="A7" s="196"/>
      <c r="B7" s="253"/>
      <c r="C7" s="260" t="s">
        <v>6</v>
      </c>
      <c r="D7" s="263" t="str">
        <f>RESUMO!A47</f>
        <v>U.C. : 13</v>
      </c>
      <c r="E7" s="258"/>
      <c r="F7" s="258"/>
      <c r="G7" s="260" t="s">
        <v>9</v>
      </c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5" ht="12" customHeight="1" thickBot="1" x14ac:dyDescent="0.25">
      <c r="A8" s="197"/>
      <c r="B8" s="125"/>
      <c r="C8" s="266" t="s">
        <v>8</v>
      </c>
      <c r="D8" s="267" t="str">
        <f>RESUMO!B47</f>
        <v>ESTAÇÃO DE TRATAMENTO DE ESGOTO - ETE</v>
      </c>
      <c r="E8" s="268"/>
      <c r="F8" s="268"/>
      <c r="G8" s="266"/>
      <c r="H8" s="123"/>
      <c r="I8" s="278"/>
      <c r="J8" s="278"/>
      <c r="K8" s="278"/>
      <c r="L8" s="278"/>
      <c r="M8" s="278" t="s">
        <v>777</v>
      </c>
      <c r="N8" s="271"/>
      <c r="O8" s="427"/>
    </row>
    <row r="9" spans="1:15" ht="12" customHeight="1" thickTop="1" x14ac:dyDescent="0.2">
      <c r="A9" s="198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5" ht="7.5" customHeight="1" x14ac:dyDescent="0.2">
      <c r="O10" s="19"/>
    </row>
    <row r="11" spans="1:15" ht="12" customHeight="1" x14ac:dyDescent="0.2">
      <c r="A11" s="93">
        <f>RESUMO!A73</f>
        <v>20</v>
      </c>
      <c r="B11" s="93" t="str">
        <f>RESUMO!B73</f>
        <v>INSTALAÇÕES ELÉTRICAS</v>
      </c>
      <c r="N11" s="52"/>
      <c r="O11" s="19"/>
    </row>
    <row r="12" spans="1:15" ht="11.25" customHeight="1" x14ac:dyDescent="0.2">
      <c r="A12" s="98" t="s">
        <v>424</v>
      </c>
      <c r="B12" s="88" t="s">
        <v>425</v>
      </c>
      <c r="G12" s="97"/>
      <c r="H12" s="308"/>
      <c r="I12" s="308"/>
      <c r="J12" s="308"/>
      <c r="K12" s="308"/>
      <c r="L12" s="308"/>
      <c r="M12" s="308"/>
      <c r="N12" s="308"/>
      <c r="O12" s="185"/>
    </row>
    <row r="13" spans="1:15" ht="11.25" customHeight="1" x14ac:dyDescent="0.2">
      <c r="A13" s="98" t="s">
        <v>683</v>
      </c>
      <c r="B13" s="200" t="s">
        <v>684</v>
      </c>
      <c r="C13" s="153"/>
      <c r="D13" s="153"/>
      <c r="E13" s="153"/>
      <c r="F13" s="153"/>
      <c r="G13" s="97" t="s">
        <v>24</v>
      </c>
      <c r="H13" s="308">
        <v>1</v>
      </c>
      <c r="I13" s="323">
        <v>48543.98</v>
      </c>
      <c r="J13" s="323">
        <v>13985.5</v>
      </c>
      <c r="K13" s="308">
        <f>H13*J13</f>
        <v>13985.5</v>
      </c>
      <c r="L13" s="323">
        <v>34558.480000000003</v>
      </c>
      <c r="M13" s="308">
        <f>L13*H13</f>
        <v>34558.480000000003</v>
      </c>
      <c r="N13" s="308">
        <f>H13*I13</f>
        <v>48543.98</v>
      </c>
      <c r="O13" s="185">
        <f>N13/N15</f>
        <v>1</v>
      </c>
    </row>
    <row r="14" spans="1:15" ht="11.25" customHeight="1" x14ac:dyDescent="0.2">
      <c r="B14" s="130"/>
      <c r="G14" s="52"/>
      <c r="H14" s="324"/>
      <c r="I14" s="313"/>
      <c r="J14" s="313"/>
      <c r="K14" s="313"/>
      <c r="L14" s="313"/>
      <c r="M14" s="313"/>
      <c r="N14" s="308"/>
      <c r="O14" s="185"/>
    </row>
    <row r="15" spans="1:15" ht="11.25" customHeight="1" x14ac:dyDescent="0.2">
      <c r="B15" s="130" t="s">
        <v>18</v>
      </c>
      <c r="C15" s="131"/>
      <c r="D15" s="131"/>
      <c r="E15" s="131"/>
      <c r="F15" s="131"/>
      <c r="G15" s="53"/>
      <c r="H15" s="325"/>
      <c r="I15" s="326"/>
      <c r="J15" s="326"/>
      <c r="K15" s="326"/>
      <c r="L15" s="326"/>
      <c r="M15" s="326"/>
      <c r="N15" s="308">
        <f>SUM(N13:N14)</f>
        <v>48543.98</v>
      </c>
      <c r="O15" s="185">
        <f>N15/N17</f>
        <v>1</v>
      </c>
    </row>
    <row r="16" spans="1:15" ht="11.25" customHeight="1" x14ac:dyDescent="0.2">
      <c r="A16" s="98"/>
      <c r="B16" s="88"/>
      <c r="G16" s="97"/>
      <c r="H16" s="308"/>
      <c r="I16" s="308"/>
      <c r="J16" s="308"/>
      <c r="K16" s="308"/>
      <c r="L16" s="308"/>
      <c r="M16" s="308"/>
      <c r="N16" s="308"/>
      <c r="O16" s="185"/>
    </row>
    <row r="17" spans="1:16" s="132" customFormat="1" ht="11.25" customHeight="1" x14ac:dyDescent="0.2">
      <c r="A17" s="145"/>
      <c r="B17" s="133" t="s">
        <v>20</v>
      </c>
      <c r="C17" s="134"/>
      <c r="D17" s="134"/>
      <c r="E17" s="134"/>
      <c r="F17" s="134"/>
      <c r="G17" s="78"/>
      <c r="H17" s="327"/>
      <c r="I17" s="328"/>
      <c r="J17" s="328"/>
      <c r="K17" s="328"/>
      <c r="L17" s="328"/>
      <c r="M17" s="328"/>
      <c r="N17" s="310">
        <f>N15</f>
        <v>48543.98</v>
      </c>
      <c r="O17" s="186">
        <f>N17/'29'!N202</f>
        <v>0.89671121319748204</v>
      </c>
    </row>
    <row r="18" spans="1:16" ht="7.5" customHeight="1" x14ac:dyDescent="0.2">
      <c r="A18" s="202"/>
      <c r="B18" s="138"/>
      <c r="C18" s="138"/>
      <c r="D18" s="138"/>
      <c r="E18" s="138"/>
      <c r="F18" s="138"/>
      <c r="G18" s="162"/>
      <c r="H18" s="333"/>
      <c r="I18" s="333"/>
      <c r="J18" s="313"/>
      <c r="K18" s="313"/>
      <c r="L18" s="313"/>
      <c r="M18" s="313"/>
      <c r="N18" s="189"/>
      <c r="O18" s="234"/>
    </row>
    <row r="19" spans="1:16" ht="12" customHeight="1" x14ac:dyDescent="0.2">
      <c r="A19" s="206"/>
      <c r="B19" s="147" t="s">
        <v>30</v>
      </c>
      <c r="C19" s="146"/>
      <c r="D19" s="146"/>
      <c r="E19" s="146"/>
      <c r="F19" s="146"/>
      <c r="G19" s="322"/>
      <c r="H19" s="350"/>
      <c r="I19" s="393"/>
      <c r="J19" s="393"/>
      <c r="K19" s="285">
        <f>SUM(K13:K18)</f>
        <v>13985.5</v>
      </c>
      <c r="L19" s="393"/>
      <c r="M19" s="285">
        <f>SUM(M13:M18)</f>
        <v>34558.480000000003</v>
      </c>
      <c r="N19" s="316">
        <f>N17</f>
        <v>48543.98</v>
      </c>
      <c r="O19" s="29"/>
      <c r="P19" s="149"/>
    </row>
    <row r="20" spans="1:16" ht="7.5" customHeight="1" x14ac:dyDescent="0.2">
      <c r="H20" s="311"/>
      <c r="I20" s="311"/>
      <c r="J20" s="311"/>
      <c r="K20" s="311"/>
      <c r="L20" s="311"/>
      <c r="M20" s="311"/>
      <c r="N20" s="311"/>
      <c r="O20" s="219"/>
      <c r="P20" s="149"/>
    </row>
    <row r="21" spans="1:16" ht="12" customHeight="1" x14ac:dyDescent="0.2">
      <c r="A21" s="206"/>
      <c r="B21" s="147" t="s">
        <v>265</v>
      </c>
      <c r="C21" s="146"/>
      <c r="D21" s="146"/>
      <c r="E21" s="146"/>
      <c r="F21" s="146"/>
      <c r="G21" s="322"/>
      <c r="H21" s="350"/>
      <c r="I21" s="393"/>
      <c r="J21" s="393"/>
      <c r="K21" s="285">
        <f>K19*(1+O5)</f>
        <v>17842.7009</v>
      </c>
      <c r="L21" s="393"/>
      <c r="M21" s="285">
        <f>M19*(1+O7)</f>
        <v>40682.242656000002</v>
      </c>
      <c r="N21" s="316">
        <f>K21+M21</f>
        <v>58524.943555999998</v>
      </c>
      <c r="O21" s="29">
        <f>N21/RESUMO!H95</f>
        <v>8.0818988019672345E-3</v>
      </c>
      <c r="P21" s="149"/>
    </row>
    <row r="32" spans="1:16" ht="12" customHeight="1" x14ac:dyDescent="0.2">
      <c r="A32" s="208"/>
      <c r="B32" s="150"/>
      <c r="C32" s="150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211"/>
      <c r="O32" s="210"/>
    </row>
    <row r="33" spans="1:15" ht="12" customHeight="1" x14ac:dyDescent="0.2">
      <c r="A33" s="98"/>
      <c r="C33" s="184"/>
      <c r="D33" s="184"/>
      <c r="E33" s="184"/>
      <c r="F33" s="184"/>
      <c r="G33" s="184"/>
      <c r="H33" s="184"/>
      <c r="I33" s="184"/>
      <c r="J33" s="184"/>
      <c r="K33" s="184"/>
      <c r="L33" s="184"/>
      <c r="M33" s="184"/>
      <c r="N33" s="184"/>
      <c r="O33" s="437"/>
    </row>
  </sheetData>
  <mergeCells count="3">
    <mergeCell ref="A2:O2"/>
    <mergeCell ref="N4:O4"/>
    <mergeCell ref="A5:B6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legacyDrawingHF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>
    <tabColor theme="6" tint="0.39997558519241921"/>
    <pageSetUpPr fitToPage="1"/>
  </sheetPr>
  <dimension ref="A1:R63"/>
  <sheetViews>
    <sheetView view="pageBreakPreview" zoomScale="80" zoomScaleNormal="90" zoomScaleSheetLayoutView="80" workbookViewId="0">
      <selection activeCell="N49" sqref="N49"/>
    </sheetView>
  </sheetViews>
  <sheetFormatPr defaultColWidth="11.42578125" defaultRowHeight="12" customHeight="1" x14ac:dyDescent="0.2"/>
  <cols>
    <col min="1" max="5" width="11.42578125" style="51"/>
    <col min="6" max="6" width="28.5703125" style="51" customWidth="1"/>
    <col min="7" max="7" width="11.42578125" style="51"/>
    <col min="8" max="9" width="11.42578125" style="51" customWidth="1"/>
    <col min="10" max="10" width="8.42578125" style="51" hidden="1" customWidth="1"/>
    <col min="11" max="11" width="14.28515625" style="51" customWidth="1"/>
    <col min="12" max="12" width="8.42578125" style="51" hidden="1" customWidth="1"/>
    <col min="13" max="13" width="14.28515625" style="51" customWidth="1"/>
    <col min="14" max="14" width="17.28515625" style="51" customWidth="1"/>
    <col min="15" max="15" width="11.42578125" style="51" customWidth="1"/>
    <col min="16" max="16384" width="11.42578125" style="51"/>
  </cols>
  <sheetData>
    <row r="1" spans="1:15" ht="7.5" customHeight="1" x14ac:dyDescent="0.2"/>
    <row r="2" spans="1:15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5" ht="7.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</row>
    <row r="4" spans="1:15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5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5" ht="12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5" ht="12" customHeight="1" x14ac:dyDescent="0.2">
      <c r="A7" s="253"/>
      <c r="B7" s="253"/>
      <c r="C7" s="260" t="s">
        <v>6</v>
      </c>
      <c r="D7" s="263" t="str">
        <f>RESUMO!A74</f>
        <v>U.C. : 14</v>
      </c>
      <c r="E7" s="258"/>
      <c r="F7" s="258"/>
      <c r="G7" s="260" t="s">
        <v>9</v>
      </c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5" ht="12" customHeight="1" thickBot="1" x14ac:dyDescent="0.25">
      <c r="A8" s="124"/>
      <c r="B8" s="125"/>
      <c r="C8" s="266" t="s">
        <v>8</v>
      </c>
      <c r="D8" s="267" t="str">
        <f>RESUMO!B74</f>
        <v>ESTAÇÃO ELEVATÓRIA DE ESGOTO - EEE01</v>
      </c>
      <c r="E8" s="268"/>
      <c r="F8" s="268"/>
      <c r="G8" s="266"/>
      <c r="H8" s="123"/>
      <c r="I8" s="278"/>
      <c r="J8" s="278"/>
      <c r="K8" s="278"/>
      <c r="L8" s="278"/>
      <c r="M8" s="278"/>
      <c r="N8" s="271"/>
      <c r="O8" s="268"/>
    </row>
    <row r="9" spans="1:15" ht="12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5" ht="7.5" customHeight="1" x14ac:dyDescent="0.2">
      <c r="O10" s="61"/>
    </row>
    <row r="11" spans="1:15" ht="12" customHeight="1" x14ac:dyDescent="0.2">
      <c r="A11" s="93">
        <f>RESUMO!A75</f>
        <v>1</v>
      </c>
      <c r="B11" s="93" t="str">
        <f>RESUMO!B75</f>
        <v>URBANIZAÇÃO</v>
      </c>
      <c r="H11" s="505"/>
      <c r="O11" s="61"/>
    </row>
    <row r="12" spans="1:15" ht="12" customHeight="1" x14ac:dyDescent="0.2">
      <c r="A12" s="98" t="s">
        <v>49</v>
      </c>
      <c r="B12" s="88" t="s">
        <v>86</v>
      </c>
      <c r="G12" s="52"/>
      <c r="H12" s="501"/>
      <c r="I12" s="19"/>
      <c r="J12" s="52"/>
      <c r="K12" s="52"/>
      <c r="L12" s="52"/>
      <c r="M12" s="52"/>
      <c r="N12" s="52"/>
      <c r="O12" s="19"/>
    </row>
    <row r="13" spans="1:15" ht="12" customHeight="1" x14ac:dyDescent="0.2">
      <c r="A13" s="98" t="s">
        <v>289</v>
      </c>
      <c r="B13" s="88" t="s">
        <v>667</v>
      </c>
      <c r="G13" s="52"/>
      <c r="H13" s="501"/>
      <c r="I13" s="19"/>
      <c r="J13" s="52"/>
      <c r="K13" s="52"/>
      <c r="L13" s="52"/>
      <c r="M13" s="52"/>
      <c r="N13" s="52"/>
      <c r="O13" s="19"/>
    </row>
    <row r="14" spans="1:15" s="272" customFormat="1" ht="12" customHeight="1" x14ac:dyDescent="0.2">
      <c r="A14" s="98" t="s">
        <v>290</v>
      </c>
      <c r="B14" s="88" t="s">
        <v>668</v>
      </c>
      <c r="C14" s="51"/>
      <c r="D14" s="51"/>
      <c r="E14" s="51"/>
      <c r="F14" s="51"/>
      <c r="G14" s="97" t="s">
        <v>31</v>
      </c>
      <c r="H14" s="502">
        <v>750</v>
      </c>
      <c r="I14" s="72">
        <f>VLOOKUP(A14,'[1]TAB OGU JUN18'!$A:$G,6,"falso")</f>
        <v>0.51</v>
      </c>
      <c r="J14" s="72">
        <f>VLOOKUP(A14,'[1]TAB OGU JUN18'!$A:$G,4,"falso")</f>
        <v>0.51</v>
      </c>
      <c r="K14" s="15">
        <f>H14*J14</f>
        <v>382.5</v>
      </c>
      <c r="L14" s="72">
        <f>VLOOKUP(A14,'[1]TAB OGU JUN18'!$A:$G,5,"falso")</f>
        <v>0</v>
      </c>
      <c r="M14" s="15"/>
      <c r="N14" s="15">
        <f>H14*I14</f>
        <v>382.5</v>
      </c>
      <c r="O14" s="25">
        <f>N14/N16</f>
        <v>1</v>
      </c>
    </row>
    <row r="15" spans="1:15" ht="12" customHeight="1" x14ac:dyDescent="0.2">
      <c r="A15" s="273"/>
      <c r="B15" s="88"/>
      <c r="G15" s="97"/>
      <c r="H15" s="502"/>
      <c r="I15" s="15"/>
      <c r="J15" s="15"/>
      <c r="K15" s="15"/>
      <c r="L15" s="15"/>
      <c r="M15" s="15"/>
      <c r="N15" s="15"/>
      <c r="O15" s="25"/>
    </row>
    <row r="16" spans="1:15" ht="12" customHeight="1" x14ac:dyDescent="0.2">
      <c r="B16" s="130" t="s">
        <v>18</v>
      </c>
      <c r="C16" s="131"/>
      <c r="D16" s="131"/>
      <c r="E16" s="131"/>
      <c r="F16" s="131"/>
      <c r="G16" s="53"/>
      <c r="H16" s="503"/>
      <c r="I16" s="20"/>
      <c r="J16" s="53"/>
      <c r="K16" s="53"/>
      <c r="L16" s="53"/>
      <c r="M16" s="53"/>
      <c r="N16" s="15">
        <f>N14</f>
        <v>382.5</v>
      </c>
      <c r="O16" s="25">
        <f>N16/N18</f>
        <v>1</v>
      </c>
    </row>
    <row r="17" spans="1:15" ht="12" customHeight="1" x14ac:dyDescent="0.2">
      <c r="A17" s="130"/>
      <c r="G17" s="52"/>
      <c r="H17" s="501"/>
      <c r="I17" s="19"/>
      <c r="J17" s="52"/>
      <c r="K17" s="52"/>
      <c r="L17" s="52"/>
      <c r="M17" s="52"/>
      <c r="N17" s="15"/>
      <c r="O17" s="25"/>
    </row>
    <row r="18" spans="1:15" s="132" customFormat="1" ht="12" customHeight="1" x14ac:dyDescent="0.2">
      <c r="B18" s="133" t="s">
        <v>20</v>
      </c>
      <c r="C18" s="134"/>
      <c r="D18" s="134"/>
      <c r="E18" s="134"/>
      <c r="F18" s="134"/>
      <c r="G18" s="78"/>
      <c r="H18" s="504"/>
      <c r="I18" s="455"/>
      <c r="J18" s="78"/>
      <c r="K18" s="78"/>
      <c r="L18" s="78"/>
      <c r="M18" s="78"/>
      <c r="N18" s="83">
        <f>N16</f>
        <v>382.5</v>
      </c>
      <c r="O18" s="77">
        <f>N18/N55</f>
        <v>8.70166350759124E-3</v>
      </c>
    </row>
    <row r="19" spans="1:15" ht="12" customHeight="1" x14ac:dyDescent="0.2">
      <c r="B19" s="130"/>
      <c r="G19" s="52"/>
      <c r="H19" s="501"/>
      <c r="I19" s="19"/>
      <c r="J19" s="52"/>
      <c r="K19" s="52"/>
      <c r="L19" s="52"/>
      <c r="M19" s="52"/>
      <c r="N19" s="15"/>
      <c r="O19" s="25"/>
    </row>
    <row r="20" spans="1:15" ht="12" customHeight="1" x14ac:dyDescent="0.2">
      <c r="A20" s="98" t="s">
        <v>148</v>
      </c>
      <c r="B20" s="88" t="s">
        <v>27</v>
      </c>
      <c r="G20" s="97"/>
      <c r="H20" s="502"/>
      <c r="I20" s="15"/>
      <c r="J20" s="15"/>
      <c r="K20" s="15"/>
      <c r="L20" s="15"/>
      <c r="M20" s="15"/>
      <c r="N20" s="15"/>
      <c r="O20" s="25"/>
    </row>
    <row r="21" spans="1:15" ht="12" customHeight="1" x14ac:dyDescent="0.2">
      <c r="A21" s="98">
        <v>1002</v>
      </c>
      <c r="B21" s="88" t="s">
        <v>670</v>
      </c>
      <c r="G21" s="97"/>
      <c r="H21" s="502"/>
      <c r="I21" s="15"/>
      <c r="J21" s="15"/>
      <c r="K21" s="15"/>
      <c r="L21" s="15"/>
      <c r="M21" s="15"/>
      <c r="N21" s="15"/>
      <c r="O21" s="25"/>
    </row>
    <row r="22" spans="1:15" s="272" customFormat="1" ht="12" customHeight="1" x14ac:dyDescent="0.2">
      <c r="A22" s="98" t="s">
        <v>795</v>
      </c>
      <c r="B22" s="88" t="s">
        <v>796</v>
      </c>
      <c r="C22" s="51"/>
      <c r="D22" s="51"/>
      <c r="E22" s="51"/>
      <c r="F22" s="51"/>
      <c r="G22" s="97" t="s">
        <v>31</v>
      </c>
      <c r="H22" s="502">
        <v>105.14</v>
      </c>
      <c r="I22" s="72">
        <f>VLOOKUP(A22,'[1]TAB OGU JUN18'!$A:$G,6,"falso")</f>
        <v>92.73</v>
      </c>
      <c r="J22" s="72">
        <f>VLOOKUP(A22,'[1]TAB OGU JUN18'!$A:$G,4,"falso")</f>
        <v>69.55</v>
      </c>
      <c r="K22" s="15">
        <f>H22*J22</f>
        <v>7312.4870000000001</v>
      </c>
      <c r="L22" s="72">
        <f>VLOOKUP(A22,'[1]TAB OGU JUN18'!$A:$G,5,"falso")</f>
        <v>23.18</v>
      </c>
      <c r="M22" s="15">
        <f>H22*L22</f>
        <v>2437.1451999999999</v>
      </c>
      <c r="N22" s="15">
        <f t="shared" ref="N22:N24" si="0">H22*I22</f>
        <v>9749.6322</v>
      </c>
      <c r="O22" s="25">
        <f t="shared" ref="O22:O24" si="1">N22/$N$26</f>
        <v>0.57532075430547358</v>
      </c>
    </row>
    <row r="23" spans="1:15" s="272" customFormat="1" ht="12" customHeight="1" x14ac:dyDescent="0.2">
      <c r="A23" s="98" t="s">
        <v>356</v>
      </c>
      <c r="B23" s="88" t="s">
        <v>671</v>
      </c>
      <c r="C23" s="51"/>
      <c r="D23" s="51"/>
      <c r="E23" s="51"/>
      <c r="F23" s="51"/>
      <c r="G23" s="97" t="s">
        <v>32</v>
      </c>
      <c r="H23" s="502">
        <v>4.24</v>
      </c>
      <c r="I23" s="72">
        <f>VLOOKUP(A23,'[1]TAB OGU JUN18'!$A:$G,6,"falso")</f>
        <v>495.59</v>
      </c>
      <c r="J23" s="72">
        <f>VLOOKUP(A23,'[1]TAB OGU JUN18'!$A:$G,4,"falso")</f>
        <v>326.67</v>
      </c>
      <c r="K23" s="15">
        <f>H23*J23</f>
        <v>1385.0808000000002</v>
      </c>
      <c r="L23" s="72">
        <f>VLOOKUP(A23,'[1]TAB OGU JUN18'!$A:$G,5,"falso")</f>
        <v>168.92</v>
      </c>
      <c r="M23" s="15">
        <f t="shared" ref="M23:M24" si="2">H23*L23</f>
        <v>716.22079999999994</v>
      </c>
      <c r="N23" s="15">
        <f t="shared" si="0"/>
        <v>2101.3015999999998</v>
      </c>
      <c r="O23" s="25">
        <f t="shared" si="1"/>
        <v>0.12399672077222548</v>
      </c>
    </row>
    <row r="24" spans="1:15" s="272" customFormat="1" ht="12" customHeight="1" x14ac:dyDescent="0.2">
      <c r="A24" s="98" t="s">
        <v>357</v>
      </c>
      <c r="B24" s="88" t="s">
        <v>157</v>
      </c>
      <c r="C24" s="51"/>
      <c r="D24" s="51"/>
      <c r="E24" s="51"/>
      <c r="F24" s="51"/>
      <c r="G24" s="97" t="s">
        <v>17</v>
      </c>
      <c r="H24" s="502">
        <v>99.25</v>
      </c>
      <c r="I24" s="72">
        <f>VLOOKUP(A24,'[1]TAB OGU JUN18'!$A:$G,6,"falso")</f>
        <v>51.34</v>
      </c>
      <c r="J24" s="72">
        <f>VLOOKUP(A24,'[1]TAB OGU JUN18'!$A:$G,4,"falso")</f>
        <v>27.83</v>
      </c>
      <c r="K24" s="15">
        <f>H24*J24</f>
        <v>2762.1275000000001</v>
      </c>
      <c r="L24" s="72">
        <f>VLOOKUP(A24,'[1]TAB OGU JUN18'!$A:$G,5,"falso")</f>
        <v>23.51</v>
      </c>
      <c r="M24" s="15">
        <f t="shared" si="2"/>
        <v>2333.3675000000003</v>
      </c>
      <c r="N24" s="15">
        <f t="shared" si="0"/>
        <v>5095.4949999999999</v>
      </c>
      <c r="O24" s="25">
        <f t="shared" si="1"/>
        <v>0.30068252492230108</v>
      </c>
    </row>
    <row r="25" spans="1:15" ht="12" customHeight="1" x14ac:dyDescent="0.2">
      <c r="A25" s="98"/>
      <c r="B25" s="88"/>
      <c r="G25" s="97"/>
      <c r="H25" s="502"/>
      <c r="I25" s="15"/>
      <c r="J25" s="15"/>
      <c r="K25" s="15"/>
      <c r="L25" s="15"/>
      <c r="M25" s="15"/>
      <c r="N25" s="15"/>
      <c r="O25" s="25"/>
    </row>
    <row r="26" spans="1:15" ht="12" customHeight="1" x14ac:dyDescent="0.2">
      <c r="A26" s="98"/>
      <c r="B26" s="130" t="s">
        <v>18</v>
      </c>
      <c r="C26" s="131"/>
      <c r="D26" s="131"/>
      <c r="E26" s="131"/>
      <c r="F26" s="131"/>
      <c r="G26" s="53"/>
      <c r="H26" s="503"/>
      <c r="I26" s="20"/>
      <c r="J26" s="53"/>
      <c r="K26" s="53"/>
      <c r="L26" s="53"/>
      <c r="M26" s="53"/>
      <c r="N26" s="15">
        <f>SUM(N22:N24)</f>
        <v>16946.428799999998</v>
      </c>
      <c r="O26" s="25">
        <f>N26/N28</f>
        <v>1</v>
      </c>
    </row>
    <row r="27" spans="1:15" ht="12" customHeight="1" x14ac:dyDescent="0.2">
      <c r="A27" s="98"/>
      <c r="B27" s="88"/>
      <c r="G27" s="97"/>
      <c r="H27" s="502"/>
      <c r="I27" s="15"/>
      <c r="J27" s="15"/>
      <c r="K27" s="15"/>
      <c r="L27" s="15"/>
      <c r="M27" s="15"/>
      <c r="N27" s="15"/>
      <c r="O27" s="25"/>
    </row>
    <row r="28" spans="1:15" s="132" customFormat="1" ht="12" customHeight="1" x14ac:dyDescent="0.2">
      <c r="A28" s="145"/>
      <c r="B28" s="133" t="s">
        <v>20</v>
      </c>
      <c r="C28" s="134"/>
      <c r="D28" s="134"/>
      <c r="E28" s="134"/>
      <c r="F28" s="134"/>
      <c r="G28" s="78"/>
      <c r="H28" s="504"/>
      <c r="I28" s="455"/>
      <c r="J28" s="78"/>
      <c r="K28" s="78"/>
      <c r="L28" s="78"/>
      <c r="M28" s="78"/>
      <c r="N28" s="83">
        <f>N26</f>
        <v>16946.428799999998</v>
      </c>
      <c r="O28" s="77">
        <f>N28/N55</f>
        <v>0.38552188515804758</v>
      </c>
    </row>
    <row r="29" spans="1:15" ht="12" customHeight="1" x14ac:dyDescent="0.2">
      <c r="A29" s="98"/>
      <c r="B29" s="88"/>
      <c r="G29" s="97"/>
      <c r="H29" s="502"/>
      <c r="I29" s="15"/>
      <c r="J29" s="15"/>
      <c r="K29" s="15"/>
      <c r="L29" s="15"/>
      <c r="M29" s="15"/>
      <c r="N29" s="15"/>
      <c r="O29" s="25"/>
    </row>
    <row r="30" spans="1:15" ht="12" customHeight="1" x14ac:dyDescent="0.2">
      <c r="A30" s="98">
        <v>15</v>
      </c>
      <c r="B30" s="88" t="s">
        <v>449</v>
      </c>
      <c r="G30" s="97"/>
      <c r="H30" s="502"/>
      <c r="I30" s="15"/>
      <c r="J30" s="15"/>
      <c r="K30" s="15"/>
      <c r="L30" s="15"/>
      <c r="M30" s="15"/>
      <c r="N30" s="15"/>
      <c r="O30" s="25"/>
    </row>
    <row r="31" spans="1:15" ht="12" customHeight="1" x14ac:dyDescent="0.2">
      <c r="A31" s="98">
        <v>1501</v>
      </c>
      <c r="B31" s="88" t="s">
        <v>607</v>
      </c>
      <c r="G31" s="97"/>
      <c r="H31" s="502"/>
      <c r="I31" s="15"/>
      <c r="J31" s="15"/>
      <c r="K31" s="15"/>
      <c r="L31" s="15"/>
      <c r="M31" s="15"/>
      <c r="N31" s="15"/>
      <c r="O31" s="25"/>
    </row>
    <row r="32" spans="1:15" ht="12" customHeight="1" x14ac:dyDescent="0.2">
      <c r="A32" s="98" t="s">
        <v>891</v>
      </c>
      <c r="B32" s="88" t="s">
        <v>892</v>
      </c>
      <c r="G32" s="97" t="s">
        <v>17</v>
      </c>
      <c r="H32" s="502">
        <v>106</v>
      </c>
      <c r="I32" s="72">
        <f>VLOOKUP(A32,'[1]TAB OGU JUN18'!$A:$G,6,"falso")</f>
        <v>125.74</v>
      </c>
      <c r="J32" s="72">
        <f>VLOOKUP(A32,'[1]TAB OGU JUN18'!$A:$G,4,"falso")</f>
        <v>59.34</v>
      </c>
      <c r="K32" s="15">
        <f>H32*J32</f>
        <v>6290.04</v>
      </c>
      <c r="L32" s="72">
        <f>VLOOKUP(A32,'[1]TAB OGU JUN18'!$A:$G,5,"falso")</f>
        <v>66.400000000000006</v>
      </c>
      <c r="M32" s="15">
        <f>H32*L32</f>
        <v>7038.4000000000005</v>
      </c>
      <c r="N32" s="15">
        <f>H32*I32</f>
        <v>13328.439999999999</v>
      </c>
      <c r="O32" s="25">
        <f>N32/N35</f>
        <v>0.72545005755838166</v>
      </c>
    </row>
    <row r="33" spans="1:18" ht="12" customHeight="1" x14ac:dyDescent="0.2">
      <c r="A33" s="98" t="s">
        <v>452</v>
      </c>
      <c r="B33" s="88" t="s">
        <v>608</v>
      </c>
      <c r="G33" s="97" t="s">
        <v>24</v>
      </c>
      <c r="H33" s="502">
        <v>1</v>
      </c>
      <c r="I33" s="72">
        <f>VLOOKUP(A33,'[1]TAB OGU JUN18'!$A:$G,6,"falso")</f>
        <v>5044.21</v>
      </c>
      <c r="J33" s="72">
        <f>VLOOKUP(A33,'[1]TAB OGU JUN18'!$A:$G,4,"falso")</f>
        <v>3216.82</v>
      </c>
      <c r="K33" s="15">
        <f>H33*J33</f>
        <v>3216.82</v>
      </c>
      <c r="L33" s="72">
        <f>VLOOKUP(A33,'[1]TAB OGU JUN18'!$A:$G,5,"falso")</f>
        <v>1827.39</v>
      </c>
      <c r="M33" s="15">
        <f>H33*L33</f>
        <v>1827.39</v>
      </c>
      <c r="N33" s="15">
        <f>H33*I33</f>
        <v>5044.21</v>
      </c>
      <c r="O33" s="25">
        <f>N33/N35</f>
        <v>0.2745499424416184</v>
      </c>
    </row>
    <row r="34" spans="1:18" ht="12" customHeight="1" x14ac:dyDescent="0.2">
      <c r="B34" s="130"/>
      <c r="G34" s="52"/>
      <c r="H34" s="501"/>
      <c r="I34" s="19"/>
      <c r="J34" s="52"/>
      <c r="K34" s="52"/>
      <c r="L34" s="52"/>
      <c r="M34" s="52"/>
      <c r="N34" s="15"/>
      <c r="O34" s="25"/>
    </row>
    <row r="35" spans="1:18" ht="12" customHeight="1" x14ac:dyDescent="0.2">
      <c r="B35" s="130" t="s">
        <v>18</v>
      </c>
      <c r="C35" s="131"/>
      <c r="D35" s="131"/>
      <c r="E35" s="131"/>
      <c r="F35" s="131"/>
      <c r="G35" s="53"/>
      <c r="H35" s="503"/>
      <c r="I35" s="20"/>
      <c r="J35" s="53"/>
      <c r="K35" s="53"/>
      <c r="L35" s="53"/>
      <c r="M35" s="53"/>
      <c r="N35" s="15">
        <f>SUM(N32:N33)</f>
        <v>18372.649999999998</v>
      </c>
      <c r="O35" s="25">
        <f>N35/N53</f>
        <v>0.68997008376482005</v>
      </c>
    </row>
    <row r="36" spans="1:18" ht="12" customHeight="1" x14ac:dyDescent="0.2">
      <c r="A36" s="98"/>
      <c r="B36" s="88"/>
      <c r="G36" s="97"/>
      <c r="H36" s="502"/>
      <c r="I36" s="15"/>
      <c r="J36" s="15"/>
      <c r="K36" s="15"/>
      <c r="L36" s="15"/>
      <c r="M36" s="15"/>
      <c r="N36" s="15"/>
      <c r="O36" s="25"/>
      <c r="R36" s="61" t="s">
        <v>1409</v>
      </c>
    </row>
    <row r="37" spans="1:18" ht="12" customHeight="1" x14ac:dyDescent="0.2">
      <c r="A37" s="98">
        <v>1502</v>
      </c>
      <c r="B37" s="88" t="s">
        <v>453</v>
      </c>
      <c r="G37" s="97"/>
      <c r="H37" s="502"/>
      <c r="I37" s="15"/>
      <c r="J37" s="15"/>
      <c r="K37" s="15"/>
      <c r="L37" s="15"/>
      <c r="M37" s="15"/>
      <c r="N37" s="15"/>
      <c r="O37" s="25"/>
    </row>
    <row r="38" spans="1:18" ht="12" customHeight="1" x14ac:dyDescent="0.2">
      <c r="A38" s="98" t="s">
        <v>454</v>
      </c>
      <c r="B38" s="88" t="s">
        <v>455</v>
      </c>
      <c r="G38" s="97" t="s">
        <v>31</v>
      </c>
      <c r="H38" s="502">
        <v>486.63</v>
      </c>
      <c r="I38" s="72">
        <f>VLOOKUP(A38,'[1]TAB OGU JUN18'!$A:$G,6,"falso")</f>
        <v>13.25</v>
      </c>
      <c r="J38" s="72">
        <f>VLOOKUP(A38,'[1]TAB OGU JUN18'!$A:$G,4,"falso")</f>
        <v>4.1100000000000003</v>
      </c>
      <c r="K38" s="15">
        <f>H38*J38</f>
        <v>2000.0493000000001</v>
      </c>
      <c r="L38" s="72">
        <f>VLOOKUP(A38,'[1]TAB OGU JUN18'!$A:$G,5,"falso")</f>
        <v>9.14</v>
      </c>
      <c r="M38" s="15">
        <f>H38*L38</f>
        <v>4447.7982000000002</v>
      </c>
      <c r="N38" s="15">
        <f>H38*I38</f>
        <v>6447.8474999999999</v>
      </c>
      <c r="O38" s="25">
        <f>N38/N41</f>
        <v>0.97460642797464725</v>
      </c>
    </row>
    <row r="39" spans="1:18" ht="12" customHeight="1" x14ac:dyDescent="0.2">
      <c r="A39" s="98" t="s">
        <v>456</v>
      </c>
      <c r="B39" s="88" t="s">
        <v>457</v>
      </c>
      <c r="G39" s="97" t="s">
        <v>24</v>
      </c>
      <c r="H39" s="502">
        <v>20</v>
      </c>
      <c r="I39" s="72">
        <f>VLOOKUP(A39,'[1]TAB OGU JUN18'!$A:$G,6,"falso")</f>
        <v>8.4</v>
      </c>
      <c r="J39" s="72">
        <f>VLOOKUP(A39,'[1]TAB OGU JUN18'!$A:$G,4,"falso")</f>
        <v>8.23</v>
      </c>
      <c r="K39" s="15">
        <f>H39*J39</f>
        <v>164.60000000000002</v>
      </c>
      <c r="L39" s="72">
        <f>VLOOKUP(A39,'[1]TAB OGU JUN18'!$A:$G,5,"falso")</f>
        <v>0.17</v>
      </c>
      <c r="M39" s="15">
        <f>H39*L39</f>
        <v>3.4000000000000004</v>
      </c>
      <c r="N39" s="15">
        <f>H39*I39</f>
        <v>168</v>
      </c>
      <c r="O39" s="25">
        <f>N39/N41</f>
        <v>2.5393572025352761E-2</v>
      </c>
    </row>
    <row r="40" spans="1:18" ht="12" customHeight="1" x14ac:dyDescent="0.2">
      <c r="B40" s="130"/>
      <c r="G40" s="52"/>
      <c r="H40" s="501"/>
      <c r="I40" s="52"/>
      <c r="J40" s="52"/>
      <c r="K40" s="52"/>
      <c r="L40" s="52"/>
      <c r="M40" s="52"/>
      <c r="N40" s="15"/>
      <c r="O40" s="25"/>
    </row>
    <row r="41" spans="1:18" ht="12" customHeight="1" x14ac:dyDescent="0.2">
      <c r="B41" s="130" t="s">
        <v>18</v>
      </c>
      <c r="C41" s="131"/>
      <c r="D41" s="131"/>
      <c r="E41" s="131"/>
      <c r="F41" s="131"/>
      <c r="G41" s="53"/>
      <c r="H41" s="503"/>
      <c r="I41" s="53"/>
      <c r="J41" s="53"/>
      <c r="K41" s="53"/>
      <c r="L41" s="53"/>
      <c r="M41" s="53"/>
      <c r="N41" s="15">
        <f>SUM(N38:N39)</f>
        <v>6615.8474999999999</v>
      </c>
      <c r="O41" s="25">
        <f>N41/N53</f>
        <v>0.24845282818484407</v>
      </c>
    </row>
    <row r="42" spans="1:18" ht="12" customHeight="1" x14ac:dyDescent="0.2">
      <c r="A42" s="98"/>
      <c r="B42" s="88"/>
      <c r="G42" s="97"/>
      <c r="H42" s="502"/>
      <c r="I42" s="15"/>
      <c r="J42" s="15"/>
      <c r="K42" s="15"/>
      <c r="L42" s="15"/>
      <c r="M42" s="15"/>
      <c r="N42" s="15"/>
      <c r="O42" s="25"/>
    </row>
    <row r="43" spans="1:18" ht="12" customHeight="1" x14ac:dyDescent="0.2">
      <c r="A43" s="98">
        <v>1503</v>
      </c>
      <c r="B43" s="88" t="s">
        <v>459</v>
      </c>
      <c r="G43" s="97"/>
      <c r="H43" s="502"/>
      <c r="I43" s="15"/>
      <c r="J43" s="15"/>
      <c r="K43" s="15"/>
      <c r="L43" s="15"/>
      <c r="M43" s="15"/>
      <c r="N43" s="15"/>
      <c r="O43" s="25"/>
    </row>
    <row r="44" spans="1:18" ht="12" customHeight="1" x14ac:dyDescent="0.2">
      <c r="A44" s="98" t="s">
        <v>1004</v>
      </c>
      <c r="B44" s="88" t="s">
        <v>1005</v>
      </c>
      <c r="G44" s="97" t="s">
        <v>17</v>
      </c>
      <c r="H44" s="502">
        <v>66.400000000000006</v>
      </c>
      <c r="I44" s="72">
        <f>VLOOKUP(A44,'[1]TAB OGU JUN18'!$A:$G,6,"falso")</f>
        <v>21.74</v>
      </c>
      <c r="J44" s="72">
        <f>VLOOKUP(A44,'[1]TAB OGU JUN18'!$A:$G,4,"falso")</f>
        <v>13.7</v>
      </c>
      <c r="K44" s="15">
        <f>H44*J44</f>
        <v>909.68000000000006</v>
      </c>
      <c r="L44" s="72">
        <f>VLOOKUP(A44,'[1]TAB OGU JUN18'!$A:$G,5,"falso")</f>
        <v>8.0399999999999991</v>
      </c>
      <c r="M44" s="15">
        <f t="shared" ref="M44:M49" si="3">H44*L44</f>
        <v>533.85599999999999</v>
      </c>
      <c r="N44" s="15">
        <f t="shared" ref="N44:N49" si="4">H44*I44</f>
        <v>1443.5360000000001</v>
      </c>
      <c r="O44" s="25">
        <f>N44/N51</f>
        <v>0.88037343735324924</v>
      </c>
    </row>
    <row r="45" spans="1:18" ht="12" hidden="1" customHeight="1" x14ac:dyDescent="0.2">
      <c r="A45" s="98" t="s">
        <v>797</v>
      </c>
      <c r="B45" s="88" t="s">
        <v>798</v>
      </c>
      <c r="G45" s="97" t="s">
        <v>17</v>
      </c>
      <c r="H45" s="502">
        <v>0</v>
      </c>
      <c r="I45" s="72">
        <f>VLOOKUP(A45,'[1]TAB OGU JUN18'!$A:$G,6,"falso")</f>
        <v>31.06</v>
      </c>
      <c r="J45" s="72">
        <f>VLOOKUP(A45,'[1]TAB OGU JUN18'!$A:$G,4,"falso")</f>
        <v>19.02</v>
      </c>
      <c r="K45" s="15">
        <f>H45*J45</f>
        <v>0</v>
      </c>
      <c r="L45" s="72">
        <f>VLOOKUP(A45,'[1]TAB OGU JUN18'!$A:$G,5,"falso")</f>
        <v>12.04</v>
      </c>
      <c r="M45" s="15">
        <f t="shared" si="3"/>
        <v>0</v>
      </c>
      <c r="N45" s="15">
        <f t="shared" si="4"/>
        <v>0</v>
      </c>
      <c r="O45" s="25">
        <f>N45/N51</f>
        <v>0</v>
      </c>
    </row>
    <row r="46" spans="1:18" ht="12" hidden="1" customHeight="1" x14ac:dyDescent="0.2">
      <c r="A46" s="98" t="s">
        <v>884</v>
      </c>
      <c r="B46" s="88" t="s">
        <v>1041</v>
      </c>
      <c r="G46" s="97" t="s">
        <v>17</v>
      </c>
      <c r="H46" s="502">
        <v>0</v>
      </c>
      <c r="I46" s="72">
        <f>VLOOKUP(A46,'[1]TAB OGU JUN18'!$A:$G,6,"falso")</f>
        <v>37.33</v>
      </c>
      <c r="J46" s="72">
        <f>VLOOKUP(A46,'[1]TAB OGU JUN18'!$A:$G,4,"falso")</f>
        <v>20.66</v>
      </c>
      <c r="K46" s="15">
        <f>H46*J46</f>
        <v>0</v>
      </c>
      <c r="L46" s="72">
        <f>VLOOKUP(A46,'[1]TAB OGU JUN18'!$A:$G,5,"falso")</f>
        <v>16.670000000000002</v>
      </c>
      <c r="M46" s="15">
        <f t="shared" si="3"/>
        <v>0</v>
      </c>
      <c r="N46" s="15">
        <f t="shared" si="4"/>
        <v>0</v>
      </c>
      <c r="O46" s="25">
        <f>N46/N51</f>
        <v>0</v>
      </c>
    </row>
    <row r="47" spans="1:18" ht="12" hidden="1" customHeight="1" x14ac:dyDescent="0.2">
      <c r="A47" s="98" t="s">
        <v>460</v>
      </c>
      <c r="B47" s="88" t="s">
        <v>1121</v>
      </c>
      <c r="G47" s="97" t="s">
        <v>17</v>
      </c>
      <c r="H47" s="502">
        <v>0</v>
      </c>
      <c r="I47" s="72">
        <f>VLOOKUP(A47,'[1]TAB OGU JUN18'!$A:$G,6,"falso")</f>
        <v>38.76</v>
      </c>
      <c r="J47" s="72">
        <f>VLOOKUP(A47,'[1]TAB OGU JUN18'!$A:$G,4,"falso")</f>
        <v>23.66</v>
      </c>
      <c r="K47" s="15">
        <f>H47*J47</f>
        <v>0</v>
      </c>
      <c r="L47" s="72">
        <f>VLOOKUP(A47,'[1]TAB OGU JUN18'!$A:$G,5,"falso")</f>
        <v>15.1</v>
      </c>
      <c r="M47" s="15">
        <f t="shared" si="3"/>
        <v>0</v>
      </c>
      <c r="N47" s="15">
        <f t="shared" si="4"/>
        <v>0</v>
      </c>
      <c r="O47" s="25">
        <f>N47/N51</f>
        <v>0</v>
      </c>
    </row>
    <row r="48" spans="1:18" ht="12" hidden="1" customHeight="1" x14ac:dyDescent="0.2">
      <c r="A48" s="98" t="s">
        <v>921</v>
      </c>
      <c r="B48" s="88" t="s">
        <v>1122</v>
      </c>
      <c r="G48" s="97" t="s">
        <v>17</v>
      </c>
      <c r="H48" s="502">
        <v>0</v>
      </c>
      <c r="I48" s="72">
        <f>VLOOKUP(A48,'[1]TAB OGU JUN18'!$A:$G,6,"falso")</f>
        <v>52.18</v>
      </c>
      <c r="J48" s="72">
        <f>VLOOKUP(A48,'[1]TAB OGU JUN18'!$A:$G,4,"falso")</f>
        <v>30.18</v>
      </c>
      <c r="K48" s="15">
        <f>H48*J48</f>
        <v>0</v>
      </c>
      <c r="L48" s="72">
        <f>VLOOKUP(A48,'[1]TAB OGU JUN18'!$A:$G,5,"falso")</f>
        <v>22</v>
      </c>
      <c r="M48" s="15">
        <f t="shared" si="3"/>
        <v>0</v>
      </c>
      <c r="N48" s="15">
        <f t="shared" si="4"/>
        <v>0</v>
      </c>
      <c r="O48" s="25">
        <f>N48/N51</f>
        <v>0</v>
      </c>
      <c r="P48" s="586"/>
    </row>
    <row r="49" spans="1:15" ht="12" customHeight="1" x14ac:dyDescent="0.2">
      <c r="A49" s="98" t="s">
        <v>1007</v>
      </c>
      <c r="B49" s="88" t="s">
        <v>1006</v>
      </c>
      <c r="G49" s="97" t="s">
        <v>24</v>
      </c>
      <c r="H49" s="502">
        <v>1</v>
      </c>
      <c r="I49" s="72">
        <v>196.15</v>
      </c>
      <c r="J49" s="72">
        <v>43.05</v>
      </c>
      <c r="K49" s="15">
        <f>J49*H49</f>
        <v>43.05</v>
      </c>
      <c r="L49" s="72">
        <v>153.1</v>
      </c>
      <c r="M49" s="15">
        <f t="shared" si="3"/>
        <v>153.1</v>
      </c>
      <c r="N49" s="15">
        <f t="shared" si="4"/>
        <v>196.15</v>
      </c>
      <c r="O49" s="25">
        <f>N49/N51</f>
        <v>0.11962656264675064</v>
      </c>
    </row>
    <row r="50" spans="1:15" ht="12" customHeight="1" x14ac:dyDescent="0.2">
      <c r="A50" s="98"/>
      <c r="B50" s="130"/>
      <c r="G50" s="52"/>
      <c r="H50" s="501"/>
      <c r="I50" s="52"/>
      <c r="J50" s="52"/>
      <c r="K50" s="52"/>
      <c r="L50" s="52"/>
      <c r="M50" s="52"/>
      <c r="N50" s="15"/>
      <c r="O50" s="25"/>
    </row>
    <row r="51" spans="1:15" ht="12" customHeight="1" x14ac:dyDescent="0.2">
      <c r="B51" s="130" t="s">
        <v>18</v>
      </c>
      <c r="C51" s="131"/>
      <c r="D51" s="131"/>
      <c r="E51" s="131"/>
      <c r="F51" s="131"/>
      <c r="G51" s="53"/>
      <c r="H51" s="503"/>
      <c r="I51" s="53"/>
      <c r="J51" s="53"/>
      <c r="K51" s="53"/>
      <c r="L51" s="53"/>
      <c r="M51" s="53"/>
      <c r="N51" s="15">
        <f>SUM(N44:N49)</f>
        <v>1639.6860000000001</v>
      </c>
      <c r="O51" s="25">
        <f>N51/N53</f>
        <v>6.1577088050335849E-2</v>
      </c>
    </row>
    <row r="52" spans="1:15" ht="12" customHeight="1" x14ac:dyDescent="0.2">
      <c r="A52" s="98"/>
      <c r="B52" s="88"/>
      <c r="G52" s="97"/>
      <c r="H52" s="502"/>
      <c r="I52" s="15"/>
      <c r="J52" s="15"/>
      <c r="K52" s="15"/>
      <c r="L52" s="15"/>
      <c r="M52" s="15"/>
      <c r="N52" s="15"/>
      <c r="O52" s="25"/>
    </row>
    <row r="53" spans="1:15" s="132" customFormat="1" ht="12" customHeight="1" x14ac:dyDescent="0.2">
      <c r="A53" s="145"/>
      <c r="B53" s="133" t="s">
        <v>20</v>
      </c>
      <c r="C53" s="134"/>
      <c r="D53" s="134"/>
      <c r="E53" s="134"/>
      <c r="F53" s="134"/>
      <c r="G53" s="78"/>
      <c r="H53" s="504"/>
      <c r="I53" s="78"/>
      <c r="J53" s="78"/>
      <c r="K53" s="78"/>
      <c r="L53" s="78"/>
      <c r="M53" s="78"/>
      <c r="N53" s="83">
        <f>N41+N35+N51</f>
        <v>26628.183499999999</v>
      </c>
      <c r="O53" s="77">
        <f>N53/N55</f>
        <v>0.60577645133436131</v>
      </c>
    </row>
    <row r="54" spans="1:15" ht="7.5" customHeight="1" x14ac:dyDescent="0.2">
      <c r="A54" s="98"/>
      <c r="B54" s="88"/>
      <c r="G54" s="97"/>
      <c r="H54" s="15"/>
      <c r="I54" s="15"/>
      <c r="J54" s="15"/>
      <c r="K54" s="15"/>
      <c r="L54" s="15"/>
      <c r="M54" s="15"/>
      <c r="N54" s="15"/>
      <c r="O54" s="25"/>
    </row>
    <row r="55" spans="1:15" ht="12" customHeight="1" x14ac:dyDescent="0.2">
      <c r="A55" s="146"/>
      <c r="B55" s="147" t="s">
        <v>30</v>
      </c>
      <c r="C55" s="146"/>
      <c r="D55" s="146"/>
      <c r="E55" s="146"/>
      <c r="F55" s="146"/>
      <c r="G55" s="146"/>
      <c r="H55" s="148"/>
      <c r="I55" s="148"/>
      <c r="J55" s="148"/>
      <c r="K55" s="274">
        <f>SUM(K12:K54)</f>
        <v>24466.434599999997</v>
      </c>
      <c r="L55" s="274"/>
      <c r="M55" s="275">
        <f>SUM(M12:M54)</f>
        <v>19490.6777</v>
      </c>
      <c r="N55" s="276">
        <f>N53+N28+N18</f>
        <v>43957.112299999993</v>
      </c>
      <c r="O55" s="146"/>
    </row>
    <row r="56" spans="1:15" ht="7.5" customHeight="1" x14ac:dyDescent="0.2">
      <c r="A56" s="98"/>
      <c r="B56" s="88"/>
      <c r="G56" s="97"/>
      <c r="H56" s="15"/>
      <c r="I56" s="15"/>
      <c r="J56" s="15"/>
      <c r="K56" s="15"/>
      <c r="L56" s="15"/>
      <c r="M56" s="15"/>
      <c r="N56" s="15"/>
      <c r="O56" s="25"/>
    </row>
    <row r="57" spans="1:15" ht="12" customHeight="1" x14ac:dyDescent="0.2">
      <c r="A57" s="146"/>
      <c r="B57" s="147" t="s">
        <v>265</v>
      </c>
      <c r="C57" s="146"/>
      <c r="D57" s="146"/>
      <c r="E57" s="146"/>
      <c r="F57" s="146"/>
      <c r="G57" s="146"/>
      <c r="H57" s="148"/>
      <c r="I57" s="148"/>
      <c r="J57" s="148"/>
      <c r="K57" s="274">
        <f>K55+(K55*O5)</f>
        <v>31214.277262679996</v>
      </c>
      <c r="L57" s="274"/>
      <c r="M57" s="275">
        <f>M55+(M55*O7)</f>
        <v>22944.425788439999</v>
      </c>
      <c r="N57" s="276">
        <f>K57+M57</f>
        <v>54158.703051119999</v>
      </c>
      <c r="O57" s="29">
        <f>N57/RESUMO!H95</f>
        <v>7.4789505245079777E-3</v>
      </c>
    </row>
    <row r="61" spans="1:15" ht="12" customHeight="1" x14ac:dyDescent="0.2">
      <c r="M61" s="311">
        <f>K55+M55</f>
        <v>43957.112299999993</v>
      </c>
    </row>
    <row r="62" spans="1:15" s="150" customFormat="1" ht="12" customHeight="1" x14ac:dyDescent="0.2">
      <c r="A62" s="51"/>
      <c r="B62" s="51"/>
      <c r="C62" s="51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311"/>
      <c r="O62" s="51"/>
    </row>
    <row r="63" spans="1:15" s="150" customFormat="1" ht="12" customHeight="1" x14ac:dyDescent="0.2">
      <c r="A63" s="51"/>
      <c r="B63" s="51"/>
      <c r="C63" s="51"/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</row>
  </sheetData>
  <mergeCells count="3">
    <mergeCell ref="A2:O2"/>
    <mergeCell ref="N4:O4"/>
    <mergeCell ref="A5:B6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legacyDrawingHF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>
    <tabColor theme="6" tint="0.39997558519241921"/>
    <pageSetUpPr fitToPage="1"/>
  </sheetPr>
  <dimension ref="A1:S171"/>
  <sheetViews>
    <sheetView view="pageBreakPreview" zoomScale="85" zoomScaleNormal="85" zoomScaleSheetLayoutView="85" workbookViewId="0">
      <selection activeCell="H129" sqref="H129"/>
    </sheetView>
  </sheetViews>
  <sheetFormatPr defaultColWidth="11.42578125" defaultRowHeight="12.75" customHeight="1" x14ac:dyDescent="0.2"/>
  <cols>
    <col min="1" max="5" width="11.42578125" style="51" customWidth="1"/>
    <col min="6" max="6" width="28.7109375" style="51" customWidth="1"/>
    <col min="7" max="9" width="11.42578125" style="51" customWidth="1"/>
    <col min="10" max="10" width="8" style="51" hidden="1" customWidth="1"/>
    <col min="11" max="11" width="14.28515625" style="51" customWidth="1"/>
    <col min="12" max="12" width="7.42578125" style="51" hidden="1" customWidth="1"/>
    <col min="13" max="13" width="14.28515625" style="51" customWidth="1"/>
    <col min="14" max="14" width="17.140625" style="51" customWidth="1"/>
    <col min="15" max="15" width="11.42578125" style="51" customWidth="1"/>
    <col min="16" max="16" width="6.140625" style="51" bestFit="1" customWidth="1"/>
    <col min="17" max="16384" width="11.42578125" style="51"/>
  </cols>
  <sheetData>
    <row r="1" spans="1:15" ht="8.25" customHeight="1" x14ac:dyDescent="0.2"/>
    <row r="2" spans="1:15" ht="12.75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5" ht="8.2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</row>
    <row r="4" spans="1:15" ht="12.75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5" ht="12.75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5" ht="12.75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5" ht="12.75" customHeight="1" x14ac:dyDescent="0.2">
      <c r="A7" s="253"/>
      <c r="B7" s="253"/>
      <c r="C7" s="260" t="s">
        <v>6</v>
      </c>
      <c r="D7" s="263" t="str">
        <f>RESUMO!A74</f>
        <v>U.C. : 14</v>
      </c>
      <c r="E7" s="258"/>
      <c r="F7" s="258"/>
      <c r="G7" s="260" t="s">
        <v>9</v>
      </c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5" ht="12.75" customHeight="1" thickBot="1" x14ac:dyDescent="0.25">
      <c r="A8" s="124"/>
      <c r="B8" s="125"/>
      <c r="C8" s="266" t="s">
        <v>8</v>
      </c>
      <c r="D8" s="267" t="str">
        <f>RESUMO!B74</f>
        <v>ESTAÇÃO ELEVATÓRIA DE ESGOTO - EEE01</v>
      </c>
      <c r="E8" s="268"/>
      <c r="F8" s="268"/>
      <c r="G8" s="266"/>
      <c r="H8" s="123"/>
      <c r="I8" s="278"/>
      <c r="J8" s="278"/>
      <c r="K8" s="278"/>
      <c r="L8" s="278"/>
      <c r="M8" s="278" t="s">
        <v>774</v>
      </c>
      <c r="N8" s="271"/>
      <c r="O8" s="268"/>
    </row>
    <row r="9" spans="1:15" ht="12.75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5" ht="8.25" customHeight="1" x14ac:dyDescent="0.2"/>
    <row r="11" spans="1:15" ht="12.75" customHeight="1" x14ac:dyDescent="0.2">
      <c r="A11" s="93">
        <f>RESUMO!A76</f>
        <v>2</v>
      </c>
      <c r="B11" s="93" t="str">
        <f>RESUMO!B76</f>
        <v>ESTRUTURA</v>
      </c>
    </row>
    <row r="12" spans="1:15" ht="12.75" customHeight="1" x14ac:dyDescent="0.2">
      <c r="A12" s="129" t="s">
        <v>48</v>
      </c>
      <c r="B12" s="88" t="s">
        <v>16</v>
      </c>
      <c r="H12" s="505"/>
      <c r="O12" s="61"/>
    </row>
    <row r="13" spans="1:15" ht="12.75" customHeight="1" x14ac:dyDescent="0.2">
      <c r="A13" s="98" t="s">
        <v>79</v>
      </c>
      <c r="B13" s="88" t="s">
        <v>80</v>
      </c>
      <c r="G13" s="52"/>
      <c r="H13" s="501"/>
      <c r="I13" s="52"/>
      <c r="J13" s="52"/>
      <c r="K13" s="52"/>
      <c r="L13" s="52"/>
      <c r="M13" s="52"/>
      <c r="N13" s="52"/>
      <c r="O13" s="19"/>
    </row>
    <row r="14" spans="1:15" ht="12.75" customHeight="1" x14ac:dyDescent="0.2">
      <c r="A14" s="98" t="s">
        <v>286</v>
      </c>
      <c r="B14" s="88" t="s">
        <v>636</v>
      </c>
      <c r="G14" s="97" t="s">
        <v>31</v>
      </c>
      <c r="H14" s="502">
        <v>128.74</v>
      </c>
      <c r="I14" s="72">
        <f>VLOOKUP(A14,'[1]TAB OGU JUN18'!$A:$G,6,"falso")</f>
        <v>16.329999999999998</v>
      </c>
      <c r="J14" s="72">
        <f>VLOOKUP(A14,'[1]TAB OGU JUN18'!$A:$G,4,"falso")</f>
        <v>9.6300000000000008</v>
      </c>
      <c r="K14" s="15">
        <f>H14*J14</f>
        <v>1239.7662000000003</v>
      </c>
      <c r="L14" s="72">
        <f>VLOOKUP(A14,'[1]TAB OGU JUN18'!$A:$G,5,"falso")</f>
        <v>6.7</v>
      </c>
      <c r="M14" s="15">
        <f>H14*L14</f>
        <v>862.55800000000011</v>
      </c>
      <c r="N14" s="15">
        <f>H14*I14</f>
        <v>2102.3242</v>
      </c>
      <c r="O14" s="25">
        <f>N14/N16</f>
        <v>1</v>
      </c>
    </row>
    <row r="15" spans="1:15" ht="12.75" customHeight="1" x14ac:dyDescent="0.2">
      <c r="G15" s="52"/>
      <c r="H15" s="501"/>
      <c r="I15" s="52"/>
      <c r="J15" s="52"/>
      <c r="K15" s="52"/>
      <c r="L15" s="52"/>
      <c r="M15" s="52"/>
      <c r="N15" s="52"/>
      <c r="O15" s="19"/>
    </row>
    <row r="16" spans="1:15" ht="12.75" customHeight="1" x14ac:dyDescent="0.2">
      <c r="B16" s="130" t="s">
        <v>18</v>
      </c>
      <c r="C16" s="131"/>
      <c r="D16" s="131"/>
      <c r="E16" s="131"/>
      <c r="F16" s="131"/>
      <c r="G16" s="53"/>
      <c r="H16" s="503"/>
      <c r="I16" s="53"/>
      <c r="J16" s="53"/>
      <c r="K16" s="53"/>
      <c r="L16" s="53"/>
      <c r="M16" s="53"/>
      <c r="N16" s="15">
        <f>N14</f>
        <v>2102.3242</v>
      </c>
      <c r="O16" s="25">
        <f>N16/N28</f>
        <v>0.88948412799149756</v>
      </c>
    </row>
    <row r="17" spans="1:17" ht="12.75" customHeight="1" x14ac:dyDescent="0.2">
      <c r="B17" s="130"/>
      <c r="G17" s="52"/>
      <c r="H17" s="501"/>
      <c r="I17" s="52"/>
      <c r="J17" s="52"/>
      <c r="K17" s="52"/>
      <c r="L17" s="52"/>
      <c r="M17" s="52"/>
      <c r="N17" s="15"/>
      <c r="O17" s="25"/>
    </row>
    <row r="18" spans="1:17" ht="12" customHeight="1" x14ac:dyDescent="0.2">
      <c r="A18" s="129" t="s">
        <v>779</v>
      </c>
      <c r="B18" s="88" t="s">
        <v>780</v>
      </c>
      <c r="H18" s="501"/>
      <c r="N18" s="303"/>
      <c r="O18" s="187"/>
    </row>
    <row r="19" spans="1:17" ht="12" customHeight="1" x14ac:dyDescent="0.2">
      <c r="A19" s="140" t="s">
        <v>789</v>
      </c>
      <c r="B19" s="142" t="s">
        <v>636</v>
      </c>
      <c r="C19" s="153"/>
      <c r="D19" s="153"/>
      <c r="E19" s="153"/>
      <c r="F19" s="153"/>
      <c r="G19" s="97" t="s">
        <v>31</v>
      </c>
      <c r="H19" s="495">
        <f>H14</f>
        <v>128.74</v>
      </c>
      <c r="I19" s="323">
        <f>VLOOKUP(A19,'[1]TAB OGU JUN18'!$A:$G,6,"falso")</f>
        <v>0.47</v>
      </c>
      <c r="J19" s="323">
        <f>VLOOKUP(A19,'[1]TAB OGU JUN18'!$A:$G,4,"falso")</f>
        <v>0.47</v>
      </c>
      <c r="K19" s="308">
        <f>H19*J19</f>
        <v>60.507800000000003</v>
      </c>
      <c r="L19" s="323">
        <f>VLOOKUP(A19,'[1]TAB OGU JUN18'!$A:$G,5,"falso")</f>
        <v>0</v>
      </c>
      <c r="M19" s="308"/>
      <c r="N19" s="308">
        <f>H19*I19</f>
        <v>60.507800000000003</v>
      </c>
      <c r="O19" s="185">
        <f>N19/N21</f>
        <v>1</v>
      </c>
    </row>
    <row r="20" spans="1:17" ht="12" customHeight="1" x14ac:dyDescent="0.2">
      <c r="A20" s="156"/>
      <c r="G20" s="52"/>
      <c r="H20" s="506"/>
      <c r="I20" s="313"/>
      <c r="J20" s="313"/>
      <c r="K20" s="313"/>
      <c r="L20" s="313"/>
      <c r="M20" s="313"/>
      <c r="N20" s="309"/>
      <c r="O20" s="185"/>
    </row>
    <row r="21" spans="1:17" ht="12" customHeight="1" x14ac:dyDescent="0.2">
      <c r="A21" s="156"/>
      <c r="B21" s="130" t="s">
        <v>18</v>
      </c>
      <c r="C21" s="131"/>
      <c r="D21" s="131"/>
      <c r="E21" s="131"/>
      <c r="F21" s="131"/>
      <c r="G21" s="53"/>
      <c r="H21" s="507"/>
      <c r="I21" s="326"/>
      <c r="J21" s="326"/>
      <c r="K21" s="326"/>
      <c r="L21" s="326"/>
      <c r="M21" s="326"/>
      <c r="N21" s="308">
        <f>SUM(N19:N19)</f>
        <v>60.507800000000003</v>
      </c>
      <c r="O21" s="185">
        <f>N21/N28</f>
        <v>2.5600584210410525E-2</v>
      </c>
    </row>
    <row r="22" spans="1:17" ht="12" customHeight="1" x14ac:dyDescent="0.2">
      <c r="A22" s="156"/>
      <c r="B22" s="130"/>
      <c r="G22" s="52"/>
      <c r="H22" s="506"/>
      <c r="I22" s="313"/>
      <c r="J22" s="313"/>
      <c r="K22" s="313"/>
      <c r="L22" s="313"/>
      <c r="M22" s="313"/>
      <c r="N22" s="308"/>
      <c r="O22" s="185"/>
    </row>
    <row r="23" spans="1:17" ht="12" customHeight="1" x14ac:dyDescent="0.2">
      <c r="A23" s="98" t="s">
        <v>783</v>
      </c>
      <c r="B23" s="88" t="s">
        <v>785</v>
      </c>
      <c r="G23" s="52"/>
      <c r="H23" s="506"/>
      <c r="I23" s="324"/>
      <c r="J23" s="313"/>
      <c r="K23" s="313"/>
      <c r="L23" s="313"/>
      <c r="M23" s="313"/>
      <c r="N23" s="313"/>
      <c r="O23" s="19"/>
      <c r="Q23" s="311"/>
    </row>
    <row r="24" spans="1:17" ht="12" customHeight="1" x14ac:dyDescent="0.2">
      <c r="A24" s="98" t="s">
        <v>784</v>
      </c>
      <c r="B24" s="88" t="s">
        <v>786</v>
      </c>
      <c r="G24" s="97" t="s">
        <v>753</v>
      </c>
      <c r="H24" s="495">
        <v>90</v>
      </c>
      <c r="I24" s="323">
        <f>VLOOKUP(A24,'[1]TAB OGU JUN18'!$A:$G,6,"falso")</f>
        <v>2.23</v>
      </c>
      <c r="J24" s="323">
        <f>VLOOKUP(A24,'[1]TAB OGU JUN18'!$A:$G,4,"falso")</f>
        <v>2.23</v>
      </c>
      <c r="K24" s="308">
        <f>H24*J24</f>
        <v>200.7</v>
      </c>
      <c r="L24" s="323">
        <f>VLOOKUP(A24,'[1]TAB OGU JUN18'!$A:$G,5,"falso")</f>
        <v>0</v>
      </c>
      <c r="M24" s="308"/>
      <c r="N24" s="308">
        <f>H24*I24</f>
        <v>200.7</v>
      </c>
      <c r="O24" s="25">
        <f>N24/N26</f>
        <v>1</v>
      </c>
      <c r="Q24" s="311"/>
    </row>
    <row r="25" spans="1:17" ht="12" customHeight="1" x14ac:dyDescent="0.2">
      <c r="G25" s="52"/>
      <c r="H25" s="506"/>
      <c r="I25" s="324"/>
      <c r="J25" s="313"/>
      <c r="K25" s="313"/>
      <c r="L25" s="313"/>
      <c r="M25" s="313"/>
      <c r="N25" s="313"/>
      <c r="O25" s="19"/>
      <c r="Q25" s="311"/>
    </row>
    <row r="26" spans="1:17" ht="12" customHeight="1" x14ac:dyDescent="0.2">
      <c r="B26" s="130" t="s">
        <v>18</v>
      </c>
      <c r="C26" s="131"/>
      <c r="D26" s="131"/>
      <c r="E26" s="131"/>
      <c r="F26" s="131"/>
      <c r="G26" s="53"/>
      <c r="H26" s="507"/>
      <c r="I26" s="325"/>
      <c r="J26" s="326"/>
      <c r="K26" s="326"/>
      <c r="L26" s="326"/>
      <c r="M26" s="326"/>
      <c r="N26" s="308">
        <f>N24</f>
        <v>200.7</v>
      </c>
      <c r="O26" s="25">
        <f>N26/N28</f>
        <v>8.4915287798092015E-2</v>
      </c>
      <c r="Q26" s="311"/>
    </row>
    <row r="27" spans="1:17" ht="12" customHeight="1" x14ac:dyDescent="0.2">
      <c r="B27" s="130"/>
      <c r="G27" s="52"/>
      <c r="H27" s="506"/>
      <c r="I27" s="324"/>
      <c r="J27" s="313"/>
      <c r="K27" s="313"/>
      <c r="L27" s="313"/>
      <c r="M27" s="313"/>
      <c r="N27" s="308"/>
      <c r="O27" s="25"/>
      <c r="Q27" s="311"/>
    </row>
    <row r="28" spans="1:17" s="132" customFormat="1" ht="12.75" customHeight="1" x14ac:dyDescent="0.2">
      <c r="B28" s="133" t="s">
        <v>20</v>
      </c>
      <c r="C28" s="134"/>
      <c r="D28" s="134"/>
      <c r="E28" s="134"/>
      <c r="F28" s="134"/>
      <c r="G28" s="78"/>
      <c r="H28" s="504"/>
      <c r="I28" s="78"/>
      <c r="J28" s="78"/>
      <c r="K28" s="78"/>
      <c r="L28" s="78"/>
      <c r="M28" s="78"/>
      <c r="N28" s="83">
        <f>N16+N21+N26</f>
        <v>2363.5319999999997</v>
      </c>
      <c r="O28" s="77">
        <f>N28/$N$157</f>
        <v>2.0992134176629394E-2</v>
      </c>
    </row>
    <row r="29" spans="1:17" ht="12.75" customHeight="1" x14ac:dyDescent="0.2">
      <c r="G29" s="52"/>
      <c r="H29" s="501"/>
      <c r="I29" s="52"/>
      <c r="J29" s="52"/>
      <c r="K29" s="52"/>
      <c r="L29" s="52"/>
      <c r="M29" s="52"/>
      <c r="N29" s="52"/>
      <c r="O29" s="19"/>
    </row>
    <row r="30" spans="1:17" ht="12.75" customHeight="1" x14ac:dyDescent="0.2">
      <c r="A30" s="129" t="s">
        <v>93</v>
      </c>
      <c r="B30" s="88" t="s">
        <v>96</v>
      </c>
      <c r="H30" s="505"/>
      <c r="O30" s="61"/>
    </row>
    <row r="31" spans="1:17" ht="12.75" customHeight="1" x14ac:dyDescent="0.2">
      <c r="A31" s="129" t="s">
        <v>810</v>
      </c>
      <c r="B31" s="843" t="s">
        <v>1413</v>
      </c>
      <c r="C31" s="843"/>
      <c r="D31" s="843"/>
      <c r="E31" s="843"/>
      <c r="F31" s="843"/>
      <c r="H31" s="505"/>
      <c r="O31" s="61"/>
    </row>
    <row r="32" spans="1:17" ht="12.75" customHeight="1" x14ac:dyDescent="0.2">
      <c r="A32" s="129"/>
      <c r="B32" s="130" t="s">
        <v>1414</v>
      </c>
      <c r="C32" s="699"/>
      <c r="D32" s="699"/>
      <c r="E32" s="699"/>
      <c r="F32" s="699"/>
      <c r="H32" s="505"/>
      <c r="O32" s="61"/>
    </row>
    <row r="33" spans="1:19" ht="12.75" customHeight="1" x14ac:dyDescent="0.2">
      <c r="A33" s="129" t="s">
        <v>295</v>
      </c>
      <c r="B33" s="88" t="s">
        <v>229</v>
      </c>
      <c r="G33" s="97" t="s">
        <v>32</v>
      </c>
      <c r="H33" s="502">
        <v>285.49</v>
      </c>
      <c r="I33" s="72">
        <f>VLOOKUP(A33,'[1]TAB OGU JUN18'!$A:$G,6,"falso")</f>
        <v>7.1</v>
      </c>
      <c r="J33" s="72">
        <f>VLOOKUP(A33,'[1]TAB OGU JUN18'!$A:$G,4,"falso")</f>
        <v>7.1</v>
      </c>
      <c r="K33" s="15">
        <f>H33*J33</f>
        <v>2026.979</v>
      </c>
      <c r="L33" s="72">
        <f>VLOOKUP(A33,'[1]TAB OGU JUN18'!$A:$G,5,"falso")</f>
        <v>0</v>
      </c>
      <c r="M33" s="15"/>
      <c r="N33" s="15">
        <f>H33*I33</f>
        <v>2026.979</v>
      </c>
      <c r="O33" s="25">
        <f>N33/N36</f>
        <v>0.79483194678750846</v>
      </c>
    </row>
    <row r="34" spans="1:19" ht="12.75" customHeight="1" x14ac:dyDescent="0.2">
      <c r="A34" s="129" t="s">
        <v>296</v>
      </c>
      <c r="B34" s="88" t="s">
        <v>558</v>
      </c>
      <c r="G34" s="97" t="s">
        <v>32</v>
      </c>
      <c r="H34" s="502">
        <v>233.58</v>
      </c>
      <c r="I34" s="72">
        <f>VLOOKUP(A34,'[1]TAB OGU JUN18'!$A:$G,6,"falso")</f>
        <v>2.2400000000000002</v>
      </c>
      <c r="J34" s="72">
        <f>VLOOKUP(A34,'[1]TAB OGU JUN18'!$A:$G,4,"falso")</f>
        <v>2.2400000000000002</v>
      </c>
      <c r="K34" s="15">
        <f>H34*J34</f>
        <v>523.21920000000011</v>
      </c>
      <c r="L34" s="72">
        <f>VLOOKUP(A34,'[1]TAB OGU JUN18'!$A:$G,5,"falso")</f>
        <v>0</v>
      </c>
      <c r="M34" s="15"/>
      <c r="N34" s="15">
        <f>H34*I34</f>
        <v>523.21920000000011</v>
      </c>
      <c r="O34" s="25">
        <f>N34/N36</f>
        <v>0.20516805321249151</v>
      </c>
    </row>
    <row r="35" spans="1:19" ht="12.75" customHeight="1" x14ac:dyDescent="0.2">
      <c r="G35" s="52"/>
      <c r="H35" s="501"/>
      <c r="I35" s="52"/>
      <c r="J35" s="52"/>
      <c r="K35" s="52"/>
      <c r="L35" s="52"/>
      <c r="M35" s="52"/>
      <c r="N35" s="456"/>
      <c r="O35" s="25"/>
    </row>
    <row r="36" spans="1:19" ht="12.75" customHeight="1" x14ac:dyDescent="0.2">
      <c r="B36" s="130" t="s">
        <v>18</v>
      </c>
      <c r="C36" s="131"/>
      <c r="D36" s="131"/>
      <c r="E36" s="131"/>
      <c r="F36" s="131"/>
      <c r="G36" s="53"/>
      <c r="H36" s="503"/>
      <c r="I36" s="53"/>
      <c r="J36" s="53"/>
      <c r="K36" s="53"/>
      <c r="L36" s="53"/>
      <c r="M36" s="53"/>
      <c r="N36" s="15">
        <f>SUM(N33:N34)</f>
        <v>2550.1982000000003</v>
      </c>
      <c r="O36" s="25">
        <f>N36/N60</f>
        <v>0.49437610436007384</v>
      </c>
      <c r="S36" s="61" t="s">
        <v>1409</v>
      </c>
    </row>
    <row r="37" spans="1:19" ht="12.75" customHeight="1" x14ac:dyDescent="0.2">
      <c r="B37" s="130"/>
      <c r="G37" s="52"/>
      <c r="H37" s="501"/>
      <c r="I37" s="52"/>
      <c r="J37" s="52"/>
      <c r="K37" s="52"/>
      <c r="L37" s="52"/>
      <c r="M37" s="52"/>
      <c r="N37" s="15"/>
      <c r="O37" s="25"/>
    </row>
    <row r="38" spans="1:19" ht="12.75" customHeight="1" x14ac:dyDescent="0.2">
      <c r="A38" s="98" t="s">
        <v>101</v>
      </c>
      <c r="B38" s="88" t="s">
        <v>21</v>
      </c>
      <c r="G38" s="97"/>
      <c r="H38" s="502"/>
      <c r="I38" s="15"/>
      <c r="J38" s="15"/>
      <c r="K38" s="15"/>
      <c r="L38" s="15"/>
      <c r="M38" s="15"/>
      <c r="N38" s="15"/>
      <c r="O38" s="25"/>
    </row>
    <row r="39" spans="1:19" ht="12.75" customHeight="1" x14ac:dyDescent="0.2">
      <c r="A39" s="98" t="s">
        <v>102</v>
      </c>
      <c r="B39" s="88" t="s">
        <v>104</v>
      </c>
      <c r="G39" s="97" t="s">
        <v>32</v>
      </c>
      <c r="H39" s="502">
        <v>3.73</v>
      </c>
      <c r="I39" s="72">
        <f>VLOOKUP(A39,'[1]TAB OGU JUN18'!$A:$G,6,"falso")</f>
        <v>7.4</v>
      </c>
      <c r="J39" s="72">
        <f>VLOOKUP(A39,'[1]TAB OGU JUN18'!$A:$G,4,"falso")</f>
        <v>7.4</v>
      </c>
      <c r="K39" s="15">
        <f>H39*J39</f>
        <v>27.602</v>
      </c>
      <c r="L39" s="72">
        <f>VLOOKUP(A39,'[1]TAB OGU JUN18'!$A:$G,5,"falso")</f>
        <v>0</v>
      </c>
      <c r="M39" s="15"/>
      <c r="N39" s="15">
        <f>H39*I39</f>
        <v>27.602</v>
      </c>
      <c r="O39" s="25">
        <f>N39/N42</f>
        <v>0.70594794778409786</v>
      </c>
    </row>
    <row r="40" spans="1:19" ht="12.75" customHeight="1" x14ac:dyDescent="0.2">
      <c r="A40" s="98" t="s">
        <v>103</v>
      </c>
      <c r="B40" s="88" t="s">
        <v>105</v>
      </c>
      <c r="G40" s="97" t="s">
        <v>32</v>
      </c>
      <c r="H40" s="502">
        <v>8.7100000000000009</v>
      </c>
      <c r="I40" s="72">
        <f>VLOOKUP(A40,'[1]TAB OGU JUN18'!$A:$G,6,"falso")</f>
        <v>1.32</v>
      </c>
      <c r="J40" s="72">
        <f>VLOOKUP(A40,'[1]TAB OGU JUN18'!$A:$G,4,"falso")</f>
        <v>1.32</v>
      </c>
      <c r="K40" s="15">
        <f>H40*J40</f>
        <v>11.497200000000001</v>
      </c>
      <c r="L40" s="72">
        <f>VLOOKUP(A40,'[1]TAB OGU JUN18'!$A:$G,5,"falso")</f>
        <v>0</v>
      </c>
      <c r="M40" s="15"/>
      <c r="N40" s="15">
        <f>H40*I40</f>
        <v>11.497200000000001</v>
      </c>
      <c r="O40" s="25">
        <f>N40/N42</f>
        <v>0.29405205221590214</v>
      </c>
    </row>
    <row r="41" spans="1:19" ht="12.75" customHeight="1" x14ac:dyDescent="0.2">
      <c r="B41" s="130"/>
      <c r="G41" s="52"/>
      <c r="H41" s="501"/>
      <c r="I41" s="52"/>
      <c r="J41" s="52"/>
      <c r="K41" s="52"/>
      <c r="L41" s="52"/>
      <c r="M41" s="52"/>
      <c r="N41" s="15"/>
      <c r="O41" s="25"/>
    </row>
    <row r="42" spans="1:19" ht="12.75" customHeight="1" x14ac:dyDescent="0.2">
      <c r="B42" s="130" t="s">
        <v>18</v>
      </c>
      <c r="C42" s="131"/>
      <c r="D42" s="131"/>
      <c r="E42" s="131"/>
      <c r="F42" s="131"/>
      <c r="G42" s="53"/>
      <c r="H42" s="503"/>
      <c r="I42" s="53"/>
      <c r="J42" s="53"/>
      <c r="K42" s="53"/>
      <c r="L42" s="53"/>
      <c r="M42" s="53"/>
      <c r="N42" s="15">
        <f>SUM(N39:N40)</f>
        <v>39.099200000000003</v>
      </c>
      <c r="O42" s="25">
        <f>N42/N60</f>
        <v>7.5796893667305536E-3</v>
      </c>
    </row>
    <row r="43" spans="1:19" ht="12.75" customHeight="1" x14ac:dyDescent="0.2">
      <c r="B43" s="130"/>
      <c r="G43" s="52"/>
      <c r="H43" s="501"/>
      <c r="I43" s="52"/>
      <c r="J43" s="52"/>
      <c r="K43" s="52"/>
      <c r="L43" s="52"/>
      <c r="M43" s="52"/>
      <c r="N43" s="15"/>
      <c r="O43" s="25"/>
    </row>
    <row r="44" spans="1:19" ht="12.75" customHeight="1" x14ac:dyDescent="0.2">
      <c r="A44" s="98" t="s">
        <v>106</v>
      </c>
      <c r="B44" s="88" t="s">
        <v>109</v>
      </c>
      <c r="G44" s="97"/>
      <c r="H44" s="502"/>
      <c r="I44" s="15"/>
      <c r="J44" s="15"/>
      <c r="K44" s="15"/>
      <c r="L44" s="15"/>
      <c r="M44" s="15"/>
      <c r="N44" s="15"/>
      <c r="O44" s="25"/>
    </row>
    <row r="45" spans="1:19" ht="12.75" customHeight="1" x14ac:dyDescent="0.2">
      <c r="A45" s="98" t="s">
        <v>107</v>
      </c>
      <c r="B45" s="88" t="s">
        <v>104</v>
      </c>
      <c r="G45" s="97" t="s">
        <v>32</v>
      </c>
      <c r="H45" s="502">
        <f>H39</f>
        <v>3.73</v>
      </c>
      <c r="I45" s="72">
        <f>VLOOKUP(A45,'[1]TAB OGU JUN18'!$A:$G,6,"falso")</f>
        <v>20.56</v>
      </c>
      <c r="J45" s="72">
        <f>VLOOKUP(A45,'[1]TAB OGU JUN18'!$A:$G,4,"falso")</f>
        <v>20.56</v>
      </c>
      <c r="K45" s="15">
        <f>H45*J45</f>
        <v>76.688800000000001</v>
      </c>
      <c r="L45" s="72">
        <f>VLOOKUP(A45,'[1]TAB OGU JUN18'!$A:$G,5,"falso")</f>
        <v>0</v>
      </c>
      <c r="M45" s="15"/>
      <c r="N45" s="15">
        <f>H45*I45</f>
        <v>76.688800000000001</v>
      </c>
      <c r="O45" s="25">
        <f>N45/N48</f>
        <v>0.68493975311773481</v>
      </c>
    </row>
    <row r="46" spans="1:19" ht="12.75" customHeight="1" x14ac:dyDescent="0.2">
      <c r="A46" s="98" t="s">
        <v>108</v>
      </c>
      <c r="B46" s="88" t="s">
        <v>105</v>
      </c>
      <c r="G46" s="97" t="s">
        <v>32</v>
      </c>
      <c r="H46" s="502">
        <f>H40</f>
        <v>8.7100000000000009</v>
      </c>
      <c r="I46" s="72">
        <f>VLOOKUP(A46,'[1]TAB OGU JUN18'!$A:$G,6,"falso")</f>
        <v>4.05</v>
      </c>
      <c r="J46" s="72">
        <f>VLOOKUP(A46,'[1]TAB OGU JUN18'!$A:$G,4,"falso")</f>
        <v>4.05</v>
      </c>
      <c r="K46" s="15">
        <f>H46*J46</f>
        <v>35.275500000000001</v>
      </c>
      <c r="L46" s="72">
        <f>VLOOKUP(A46,'[1]TAB OGU JUN18'!$A:$G,5,"falso")</f>
        <v>0</v>
      </c>
      <c r="M46" s="15"/>
      <c r="N46" s="15">
        <f>H46*I46</f>
        <v>35.275500000000001</v>
      </c>
      <c r="O46" s="25">
        <f>N46/N48</f>
        <v>0.31506024688226514</v>
      </c>
    </row>
    <row r="47" spans="1:19" ht="12.75" customHeight="1" x14ac:dyDescent="0.2">
      <c r="B47" s="130"/>
      <c r="G47" s="52"/>
      <c r="H47" s="501"/>
      <c r="I47" s="52"/>
      <c r="J47" s="52"/>
      <c r="K47" s="52"/>
      <c r="L47" s="52"/>
      <c r="M47" s="52"/>
      <c r="N47" s="15"/>
      <c r="O47" s="25"/>
    </row>
    <row r="48" spans="1:19" ht="12.75" customHeight="1" x14ac:dyDescent="0.2">
      <c r="B48" s="130" t="s">
        <v>18</v>
      </c>
      <c r="C48" s="131"/>
      <c r="D48" s="131"/>
      <c r="E48" s="131"/>
      <c r="F48" s="131"/>
      <c r="G48" s="53"/>
      <c r="H48" s="503"/>
      <c r="I48" s="53"/>
      <c r="J48" s="53"/>
      <c r="K48" s="53"/>
      <c r="L48" s="53"/>
      <c r="M48" s="53"/>
      <c r="N48" s="15">
        <f>SUM(N45:N46)</f>
        <v>111.96430000000001</v>
      </c>
      <c r="O48" s="25">
        <f>N48/N60</f>
        <v>2.170516568531913E-2</v>
      </c>
    </row>
    <row r="49" spans="1:15" ht="12.75" customHeight="1" x14ac:dyDescent="0.2">
      <c r="B49" s="130"/>
      <c r="G49" s="52"/>
      <c r="H49" s="501"/>
      <c r="I49" s="52"/>
      <c r="J49" s="52"/>
      <c r="K49" s="52"/>
      <c r="L49" s="52"/>
      <c r="M49" s="52"/>
      <c r="N49" s="15"/>
      <c r="O49" s="25"/>
    </row>
    <row r="50" spans="1:15" ht="12.75" customHeight="1" x14ac:dyDescent="0.2">
      <c r="A50" s="98" t="s">
        <v>110</v>
      </c>
      <c r="B50" s="88" t="s">
        <v>112</v>
      </c>
      <c r="G50" s="52"/>
      <c r="H50" s="501"/>
      <c r="I50" s="52"/>
      <c r="J50" s="52"/>
      <c r="K50" s="52"/>
      <c r="L50" s="52"/>
      <c r="M50" s="52"/>
      <c r="N50" s="52"/>
      <c r="O50" s="19"/>
    </row>
    <row r="51" spans="1:15" ht="12.75" customHeight="1" x14ac:dyDescent="0.2">
      <c r="A51" s="98" t="s">
        <v>111</v>
      </c>
      <c r="B51" s="88" t="s">
        <v>113</v>
      </c>
      <c r="G51" s="97" t="s">
        <v>32</v>
      </c>
      <c r="H51" s="502">
        <f>(H33+H34)-(H39+H40)</f>
        <v>506.63000000000005</v>
      </c>
      <c r="I51" s="72">
        <f>VLOOKUP(A51,'[1]TAB OGU JUN18'!$A:$G,6,"falso")</f>
        <v>1.85</v>
      </c>
      <c r="J51" s="72">
        <f>VLOOKUP(A51,'[1]TAB OGU JUN18'!$A:$G,4,"falso")</f>
        <v>1.85</v>
      </c>
      <c r="K51" s="15">
        <f>H51*J51</f>
        <v>937.26550000000009</v>
      </c>
      <c r="L51" s="72">
        <f>VLOOKUP(A51,'[1]TAB OGU JUN18'!$A:$G,5,"falso")</f>
        <v>0</v>
      </c>
      <c r="M51" s="15"/>
      <c r="N51" s="15">
        <f>H51*I51</f>
        <v>937.26550000000009</v>
      </c>
      <c r="O51" s="25">
        <f>N51/N53</f>
        <v>1</v>
      </c>
    </row>
    <row r="52" spans="1:15" ht="12.75" customHeight="1" x14ac:dyDescent="0.2">
      <c r="G52" s="52"/>
      <c r="H52" s="501"/>
      <c r="I52" s="52"/>
      <c r="J52" s="52"/>
      <c r="K52" s="52"/>
      <c r="L52" s="52"/>
      <c r="M52" s="52"/>
      <c r="N52" s="52"/>
      <c r="O52" s="19"/>
    </row>
    <row r="53" spans="1:15" ht="12.75" customHeight="1" x14ac:dyDescent="0.2">
      <c r="B53" s="130" t="s">
        <v>18</v>
      </c>
      <c r="C53" s="131"/>
      <c r="D53" s="131"/>
      <c r="E53" s="131"/>
      <c r="F53" s="131"/>
      <c r="G53" s="53"/>
      <c r="H53" s="503"/>
      <c r="I53" s="53"/>
      <c r="J53" s="53"/>
      <c r="K53" s="53"/>
      <c r="L53" s="53"/>
      <c r="M53" s="53"/>
      <c r="N53" s="15">
        <f>N51</f>
        <v>937.26550000000009</v>
      </c>
      <c r="O53" s="25">
        <f>N53/N60</f>
        <v>0.18169633506960234</v>
      </c>
    </row>
    <row r="54" spans="1:15" ht="12.75" customHeight="1" x14ac:dyDescent="0.2">
      <c r="B54" s="130"/>
      <c r="G54" s="52"/>
      <c r="H54" s="501"/>
      <c r="I54" s="52"/>
      <c r="J54" s="52"/>
      <c r="K54" s="52"/>
      <c r="L54" s="52"/>
      <c r="M54" s="52"/>
      <c r="N54" s="15"/>
      <c r="O54" s="25"/>
    </row>
    <row r="55" spans="1:15" ht="12.75" customHeight="1" x14ac:dyDescent="0.2">
      <c r="A55" s="98" t="s">
        <v>114</v>
      </c>
      <c r="B55" s="88" t="s">
        <v>799</v>
      </c>
      <c r="G55" s="52"/>
      <c r="H55" s="501"/>
      <c r="I55" s="52"/>
      <c r="J55" s="52"/>
      <c r="K55" s="52"/>
      <c r="L55" s="52"/>
      <c r="M55" s="52"/>
      <c r="N55" s="52"/>
      <c r="O55" s="19"/>
    </row>
    <row r="56" spans="1:15" ht="12.75" customHeight="1" x14ac:dyDescent="0.2">
      <c r="A56" s="98" t="s">
        <v>115</v>
      </c>
      <c r="B56" s="88" t="s">
        <v>116</v>
      </c>
      <c r="G56" s="97" t="s">
        <v>180</v>
      </c>
      <c r="H56" s="502">
        <f>H51*3</f>
        <v>1519.89</v>
      </c>
      <c r="I56" s="72">
        <f>VLOOKUP(A56,'[1]TAB OGU JUN18'!$A:$G,6,"falso")</f>
        <v>1</v>
      </c>
      <c r="J56" s="72">
        <f>VLOOKUP(A56,'[1]TAB OGU JUN18'!$A:$G,4,"falso")</f>
        <v>1</v>
      </c>
      <c r="K56" s="15">
        <f>H56*J56</f>
        <v>1519.89</v>
      </c>
      <c r="L56" s="72">
        <f>VLOOKUP(A56,'[1]TAB OGU JUN18'!$A:$G,5,"falso")</f>
        <v>0</v>
      </c>
      <c r="M56" s="15"/>
      <c r="N56" s="15">
        <f>H56*I56</f>
        <v>1519.89</v>
      </c>
      <c r="O56" s="25">
        <f>N56/N58</f>
        <v>1</v>
      </c>
    </row>
    <row r="57" spans="1:15" ht="12.75" customHeight="1" x14ac:dyDescent="0.2">
      <c r="G57" s="52"/>
      <c r="H57" s="501"/>
      <c r="I57" s="52"/>
      <c r="J57" s="52"/>
      <c r="K57" s="52"/>
      <c r="L57" s="52"/>
      <c r="M57" s="52"/>
      <c r="N57" s="52"/>
      <c r="O57" s="19"/>
    </row>
    <row r="58" spans="1:15" ht="12.75" customHeight="1" x14ac:dyDescent="0.2">
      <c r="B58" s="130" t="s">
        <v>18</v>
      </c>
      <c r="C58" s="131"/>
      <c r="D58" s="131"/>
      <c r="E58" s="131"/>
      <c r="F58" s="131"/>
      <c r="G58" s="53"/>
      <c r="H58" s="503"/>
      <c r="I58" s="53"/>
      <c r="J58" s="53"/>
      <c r="K58" s="53"/>
      <c r="L58" s="53"/>
      <c r="M58" s="53"/>
      <c r="N58" s="15">
        <f>N56</f>
        <v>1519.89</v>
      </c>
      <c r="O58" s="25">
        <f>N58/N60</f>
        <v>0.2946427055182741</v>
      </c>
    </row>
    <row r="59" spans="1:15" ht="12.75" customHeight="1" x14ac:dyDescent="0.2">
      <c r="B59" s="130"/>
      <c r="G59" s="52"/>
      <c r="H59" s="501"/>
      <c r="I59" s="52"/>
      <c r="J59" s="52"/>
      <c r="K59" s="52"/>
      <c r="L59" s="52"/>
      <c r="M59" s="52"/>
      <c r="N59" s="15"/>
      <c r="O59" s="25"/>
    </row>
    <row r="60" spans="1:15" s="132" customFormat="1" ht="12.75" customHeight="1" x14ac:dyDescent="0.2">
      <c r="B60" s="133" t="s">
        <v>20</v>
      </c>
      <c r="C60" s="134"/>
      <c r="D60" s="134"/>
      <c r="E60" s="134"/>
      <c r="F60" s="134"/>
      <c r="G60" s="78"/>
      <c r="H60" s="504"/>
      <c r="I60" s="78"/>
      <c r="J60" s="78"/>
      <c r="K60" s="78"/>
      <c r="L60" s="78"/>
      <c r="M60" s="78"/>
      <c r="N60" s="83">
        <f>N58+N53+N48+N42+N36</f>
        <v>5158.4172000000008</v>
      </c>
      <c r="O60" s="77">
        <f>N60/$N$157</f>
        <v>4.5815409311755859E-2</v>
      </c>
    </row>
    <row r="61" spans="1:15" ht="12.75" customHeight="1" x14ac:dyDescent="0.2">
      <c r="B61" s="130"/>
      <c r="G61" s="52"/>
      <c r="H61" s="501"/>
      <c r="I61" s="52"/>
      <c r="J61" s="52"/>
      <c r="K61" s="52"/>
      <c r="L61" s="52"/>
      <c r="M61" s="52"/>
      <c r="N61" s="15"/>
      <c r="O61" s="25"/>
    </row>
    <row r="62" spans="1:15" ht="12.75" customHeight="1" x14ac:dyDescent="0.2">
      <c r="A62" s="129" t="s">
        <v>117</v>
      </c>
      <c r="B62" s="88" t="s">
        <v>22</v>
      </c>
      <c r="H62" s="505"/>
      <c r="O62" s="61"/>
    </row>
    <row r="63" spans="1:15" ht="12.75" customHeight="1" x14ac:dyDescent="0.2">
      <c r="A63" s="129" t="s">
        <v>118</v>
      </c>
      <c r="B63" s="88" t="s">
        <v>23</v>
      </c>
      <c r="H63" s="505"/>
      <c r="O63" s="61"/>
    </row>
    <row r="64" spans="1:15" ht="12.75" customHeight="1" x14ac:dyDescent="0.2">
      <c r="A64" s="129" t="s">
        <v>119</v>
      </c>
      <c r="B64" s="88" t="s">
        <v>120</v>
      </c>
      <c r="G64" s="97" t="s">
        <v>31</v>
      </c>
      <c r="H64" s="502">
        <v>122.55</v>
      </c>
      <c r="I64" s="72">
        <f>VLOOKUP(A64,'[1]TAB OGU JUN18'!$A:$G,6,"falso")</f>
        <v>14.81</v>
      </c>
      <c r="J64" s="72">
        <f>VLOOKUP(A64,'[1]TAB OGU JUN18'!$A:$G,4,"falso")</f>
        <v>13.63</v>
      </c>
      <c r="K64" s="15">
        <f>H64*J64</f>
        <v>1670.3565000000001</v>
      </c>
      <c r="L64" s="72">
        <f>VLOOKUP(A64,'[1]TAB OGU JUN18'!$A:$G,5,"falso")</f>
        <v>1.18</v>
      </c>
      <c r="M64" s="15">
        <f>H64*L64</f>
        <v>144.60899999999998</v>
      </c>
      <c r="N64" s="15">
        <f>H64*I64</f>
        <v>1814.9655</v>
      </c>
      <c r="O64" s="25">
        <f>N64/N67</f>
        <v>0.92425685662670387</v>
      </c>
    </row>
    <row r="65" spans="1:16" ht="12.75" customHeight="1" x14ac:dyDescent="0.2">
      <c r="A65" s="129" t="s">
        <v>224</v>
      </c>
      <c r="B65" s="88" t="s">
        <v>225</v>
      </c>
      <c r="G65" s="97" t="s">
        <v>31</v>
      </c>
      <c r="H65" s="502">
        <v>6.45</v>
      </c>
      <c r="I65" s="72">
        <f>VLOOKUP(A65,'[1]TAB OGU JUN18'!$A:$G,6,"falso")</f>
        <v>23.06</v>
      </c>
      <c r="J65" s="72">
        <f>VLOOKUP(A65,'[1]TAB OGU JUN18'!$A:$G,4,"falso")</f>
        <v>22.37</v>
      </c>
      <c r="K65" s="15">
        <f>H65*J65</f>
        <v>144.28650000000002</v>
      </c>
      <c r="L65" s="72">
        <f>VLOOKUP(A65,'[1]TAB OGU JUN18'!$A:$G,5,"falso")</f>
        <v>0.69</v>
      </c>
      <c r="M65" s="15">
        <f>H65*L65</f>
        <v>4.4504999999999999</v>
      </c>
      <c r="N65" s="15">
        <f>H65*I65</f>
        <v>148.73699999999999</v>
      </c>
      <c r="O65" s="25">
        <f>N65/N67</f>
        <v>7.5743143373296101E-2</v>
      </c>
    </row>
    <row r="66" spans="1:16" ht="12.75" customHeight="1" x14ac:dyDescent="0.2">
      <c r="B66" s="130"/>
      <c r="G66" s="52"/>
      <c r="H66" s="501"/>
      <c r="I66" s="52"/>
      <c r="J66" s="52"/>
      <c r="K66" s="52"/>
      <c r="L66" s="52"/>
      <c r="M66" s="52"/>
      <c r="N66" s="15"/>
      <c r="O66" s="25"/>
    </row>
    <row r="67" spans="1:16" ht="12.75" customHeight="1" x14ac:dyDescent="0.2">
      <c r="B67" s="130" t="s">
        <v>18</v>
      </c>
      <c r="C67" s="131"/>
      <c r="D67" s="131"/>
      <c r="E67" s="131"/>
      <c r="F67" s="131"/>
      <c r="G67" s="53"/>
      <c r="H67" s="503"/>
      <c r="I67" s="53"/>
      <c r="J67" s="53"/>
      <c r="K67" s="53"/>
      <c r="L67" s="53"/>
      <c r="M67" s="53"/>
      <c r="N67" s="15">
        <f>SUM(N64:N65)</f>
        <v>1963.7025000000001</v>
      </c>
      <c r="O67" s="25">
        <f>N67/N69</f>
        <v>1</v>
      </c>
    </row>
    <row r="68" spans="1:16" ht="12.75" customHeight="1" x14ac:dyDescent="0.2">
      <c r="B68" s="130"/>
      <c r="G68" s="52"/>
      <c r="H68" s="501"/>
      <c r="I68" s="52"/>
      <c r="J68" s="52"/>
      <c r="K68" s="52"/>
      <c r="L68" s="52"/>
      <c r="M68" s="52"/>
      <c r="N68" s="15"/>
      <c r="O68" s="25"/>
    </row>
    <row r="69" spans="1:16" s="132" customFormat="1" ht="12.75" customHeight="1" x14ac:dyDescent="0.2">
      <c r="B69" s="133" t="s">
        <v>20</v>
      </c>
      <c r="C69" s="134"/>
      <c r="D69" s="134"/>
      <c r="E69" s="134"/>
      <c r="F69" s="134"/>
      <c r="G69" s="78"/>
      <c r="H69" s="504"/>
      <c r="I69" s="78"/>
      <c r="J69" s="78"/>
      <c r="K69" s="78"/>
      <c r="L69" s="78"/>
      <c r="M69" s="78"/>
      <c r="N69" s="83">
        <f>N67</f>
        <v>1963.7025000000001</v>
      </c>
      <c r="O69" s="77">
        <f>N69/$N$157</f>
        <v>1.744097662438359E-2</v>
      </c>
    </row>
    <row r="70" spans="1:16" ht="12.75" customHeight="1" x14ac:dyDescent="0.2">
      <c r="B70" s="130"/>
      <c r="G70" s="52"/>
      <c r="H70" s="501"/>
      <c r="I70" s="52"/>
      <c r="J70" s="52"/>
      <c r="K70" s="52"/>
      <c r="L70" s="52"/>
      <c r="M70" s="52"/>
      <c r="N70" s="15"/>
      <c r="O70" s="25"/>
    </row>
    <row r="71" spans="1:16" ht="12.75" customHeight="1" x14ac:dyDescent="0.2">
      <c r="A71" s="129" t="s">
        <v>124</v>
      </c>
      <c r="B71" s="88" t="s">
        <v>121</v>
      </c>
      <c r="H71" s="505"/>
      <c r="O71" s="61"/>
    </row>
    <row r="72" spans="1:16" ht="12.75" customHeight="1" x14ac:dyDescent="0.2">
      <c r="A72" s="129" t="s">
        <v>125</v>
      </c>
      <c r="B72" s="88" t="s">
        <v>122</v>
      </c>
      <c r="H72" s="505"/>
      <c r="O72" s="61"/>
    </row>
    <row r="73" spans="1:16" ht="12.75" customHeight="1" x14ac:dyDescent="0.2">
      <c r="A73" s="129" t="s">
        <v>126</v>
      </c>
      <c r="B73" s="88" t="s">
        <v>189</v>
      </c>
      <c r="G73" s="97" t="s">
        <v>123</v>
      </c>
      <c r="H73" s="502">
        <v>4.3600000000000003</v>
      </c>
      <c r="I73" s="72">
        <f>VLOOKUP(A73,'[1]TAB OGU JUN18'!$A:$G,6,"falso")</f>
        <v>5.52</v>
      </c>
      <c r="J73" s="72">
        <f>VLOOKUP(A73,'[1]TAB OGU JUN18'!$A:$G,4,"falso")</f>
        <v>5.52</v>
      </c>
      <c r="K73" s="15">
        <f>H73*J73</f>
        <v>24.0672</v>
      </c>
      <c r="L73" s="72">
        <f>VLOOKUP(A73,'[1]TAB OGU JUN18'!$A:$G,5,"falso")</f>
        <v>0</v>
      </c>
      <c r="M73" s="15"/>
      <c r="N73" s="15">
        <f>H73*I73</f>
        <v>24.0672</v>
      </c>
      <c r="O73" s="25">
        <f>N73/N75</f>
        <v>1</v>
      </c>
    </row>
    <row r="74" spans="1:16" ht="12.75" customHeight="1" x14ac:dyDescent="0.2">
      <c r="B74" s="130"/>
      <c r="G74" s="52"/>
      <c r="H74" s="501"/>
      <c r="I74" s="52"/>
      <c r="J74" s="52"/>
      <c r="K74" s="52"/>
      <c r="L74" s="52"/>
      <c r="M74" s="52"/>
      <c r="N74" s="15"/>
      <c r="O74" s="25"/>
    </row>
    <row r="75" spans="1:16" ht="12.75" customHeight="1" x14ac:dyDescent="0.2">
      <c r="B75" s="130" t="s">
        <v>18</v>
      </c>
      <c r="C75" s="131"/>
      <c r="D75" s="131"/>
      <c r="E75" s="131"/>
      <c r="F75" s="131"/>
      <c r="G75" s="53"/>
      <c r="H75" s="503"/>
      <c r="I75" s="53"/>
      <c r="J75" s="53"/>
      <c r="K75" s="53"/>
      <c r="L75" s="53"/>
      <c r="M75" s="53"/>
      <c r="N75" s="15">
        <f>N73</f>
        <v>24.0672</v>
      </c>
      <c r="O75" s="25">
        <f>N75/N77</f>
        <v>1</v>
      </c>
    </row>
    <row r="76" spans="1:16" ht="12.75" customHeight="1" x14ac:dyDescent="0.2">
      <c r="B76" s="130"/>
      <c r="G76" s="52"/>
      <c r="H76" s="501"/>
      <c r="I76" s="52"/>
      <c r="J76" s="52"/>
      <c r="K76" s="52"/>
      <c r="L76" s="52"/>
      <c r="M76" s="52"/>
      <c r="N76" s="15"/>
      <c r="O76" s="25"/>
    </row>
    <row r="77" spans="1:16" s="132" customFormat="1" ht="12.75" customHeight="1" x14ac:dyDescent="0.2">
      <c r="B77" s="133" t="s">
        <v>20</v>
      </c>
      <c r="C77" s="134"/>
      <c r="D77" s="134"/>
      <c r="E77" s="134"/>
      <c r="F77" s="134"/>
      <c r="G77" s="78"/>
      <c r="H77" s="504"/>
      <c r="I77" s="78"/>
      <c r="J77" s="78"/>
      <c r="K77" s="78"/>
      <c r="L77" s="78"/>
      <c r="M77" s="78"/>
      <c r="N77" s="83">
        <f>N75</f>
        <v>24.0672</v>
      </c>
      <c r="O77" s="77">
        <f>N77/$N$157</f>
        <v>2.137571615936552E-4</v>
      </c>
      <c r="P77" s="51"/>
    </row>
    <row r="78" spans="1:16" ht="12.75" customHeight="1" x14ac:dyDescent="0.2">
      <c r="B78" s="130"/>
      <c r="G78" s="52"/>
      <c r="H78" s="501"/>
      <c r="I78" s="52"/>
      <c r="J78" s="52"/>
      <c r="K78" s="52"/>
      <c r="L78" s="52"/>
      <c r="M78" s="52"/>
      <c r="N78" s="15"/>
      <c r="O78" s="25"/>
    </row>
    <row r="79" spans="1:16" ht="12.75" customHeight="1" x14ac:dyDescent="0.2">
      <c r="A79" s="129" t="s">
        <v>308</v>
      </c>
      <c r="B79" s="88" t="s">
        <v>309</v>
      </c>
      <c r="H79" s="505"/>
      <c r="O79" s="61"/>
    </row>
    <row r="80" spans="1:16" ht="12.75" hidden="1" customHeight="1" x14ac:dyDescent="0.2">
      <c r="A80" s="129" t="s">
        <v>310</v>
      </c>
      <c r="B80" s="88" t="s">
        <v>311</v>
      </c>
      <c r="H80" s="505"/>
      <c r="O80" s="61"/>
    </row>
    <row r="81" spans="1:16" ht="12.75" hidden="1" customHeight="1" x14ac:dyDescent="0.2">
      <c r="A81" s="129" t="s">
        <v>812</v>
      </c>
      <c r="B81" s="88" t="s">
        <v>990</v>
      </c>
      <c r="G81" s="97" t="s">
        <v>17</v>
      </c>
      <c r="H81" s="502">
        <v>0</v>
      </c>
      <c r="I81" s="72">
        <v>55.06</v>
      </c>
      <c r="J81" s="72">
        <v>18.72</v>
      </c>
      <c r="K81" s="15">
        <f>J81*H81</f>
        <v>0</v>
      </c>
      <c r="L81" s="72">
        <v>36.340000000000003</v>
      </c>
      <c r="M81" s="15">
        <f>H81*L81</f>
        <v>0</v>
      </c>
      <c r="N81" s="15">
        <f>H81*I81</f>
        <v>0</v>
      </c>
      <c r="O81" s="25" t="e">
        <f>N81/$N$83</f>
        <v>#DIV/0!</v>
      </c>
      <c r="P81" s="129" t="s">
        <v>813</v>
      </c>
    </row>
    <row r="82" spans="1:16" ht="12.75" hidden="1" customHeight="1" x14ac:dyDescent="0.2">
      <c r="B82" s="130"/>
      <c r="G82" s="52"/>
      <c r="H82" s="501"/>
      <c r="I82" s="52"/>
      <c r="J82" s="52"/>
      <c r="K82" s="52"/>
      <c r="L82" s="52"/>
      <c r="M82" s="52"/>
      <c r="N82" s="15"/>
      <c r="O82" s="25"/>
    </row>
    <row r="83" spans="1:16" ht="12.75" hidden="1" customHeight="1" x14ac:dyDescent="0.2">
      <c r="B83" s="130" t="s">
        <v>18</v>
      </c>
      <c r="C83" s="131"/>
      <c r="D83" s="131"/>
      <c r="E83" s="131"/>
      <c r="F83" s="131"/>
      <c r="G83" s="53"/>
      <c r="H83" s="503"/>
      <c r="I83" s="53"/>
      <c r="J83" s="53"/>
      <c r="K83" s="53"/>
      <c r="L83" s="53"/>
      <c r="M83" s="53"/>
      <c r="N83" s="15">
        <f>N81</f>
        <v>0</v>
      </c>
      <c r="O83" s="25">
        <f>N83/$N$132</f>
        <v>0</v>
      </c>
    </row>
    <row r="84" spans="1:16" ht="12.75" hidden="1" customHeight="1" x14ac:dyDescent="0.2">
      <c r="B84" s="130"/>
      <c r="G84" s="52"/>
      <c r="H84" s="501"/>
      <c r="I84" s="52"/>
      <c r="J84" s="52"/>
      <c r="K84" s="52"/>
      <c r="L84" s="52"/>
      <c r="M84" s="52"/>
      <c r="N84" s="15"/>
      <c r="O84" s="25"/>
    </row>
    <row r="85" spans="1:16" ht="12.75" hidden="1" customHeight="1" x14ac:dyDescent="0.2">
      <c r="A85" s="129" t="s">
        <v>626</v>
      </c>
      <c r="B85" s="88" t="s">
        <v>627</v>
      </c>
      <c r="H85" s="505"/>
      <c r="O85" s="61"/>
    </row>
    <row r="86" spans="1:16" ht="12.75" hidden="1" customHeight="1" x14ac:dyDescent="0.2">
      <c r="A86" s="129" t="s">
        <v>628</v>
      </c>
      <c r="B86" s="88" t="s">
        <v>629</v>
      </c>
      <c r="G86" s="97" t="s">
        <v>24</v>
      </c>
      <c r="H86" s="502">
        <v>0</v>
      </c>
      <c r="I86" s="72">
        <f>VLOOKUP(A86,'[1]TAB OGU JUN18'!$A:$G,6,"falso")</f>
        <v>59.33</v>
      </c>
      <c r="J86" s="72">
        <f>VLOOKUP(A86,'[1]TAB OGU JUN18'!$A:$G,4,"falso")</f>
        <v>59.33</v>
      </c>
      <c r="K86" s="15">
        <f>H86*J86</f>
        <v>0</v>
      </c>
      <c r="L86" s="72">
        <f>VLOOKUP(A86,'[1]TAB OGU JUN18'!$A:$G,5,"falso")</f>
        <v>0</v>
      </c>
      <c r="M86" s="15"/>
      <c r="N86" s="15">
        <f>H86*I86</f>
        <v>0</v>
      </c>
      <c r="O86" s="25" t="e">
        <f>N86/N88</f>
        <v>#DIV/0!</v>
      </c>
      <c r="P86" s="51">
        <v>90808</v>
      </c>
    </row>
    <row r="87" spans="1:16" ht="12.75" hidden="1" customHeight="1" x14ac:dyDescent="0.2">
      <c r="B87" s="130"/>
      <c r="G87" s="52"/>
      <c r="H87" s="501"/>
      <c r="I87" s="52"/>
      <c r="J87" s="52"/>
      <c r="K87" s="52"/>
      <c r="L87" s="52"/>
      <c r="M87" s="52"/>
      <c r="N87" s="15"/>
      <c r="O87" s="25"/>
    </row>
    <row r="88" spans="1:16" ht="12.75" hidden="1" customHeight="1" x14ac:dyDescent="0.2">
      <c r="B88" s="130" t="s">
        <v>18</v>
      </c>
      <c r="C88" s="131"/>
      <c r="D88" s="131"/>
      <c r="E88" s="131"/>
      <c r="F88" s="131"/>
      <c r="G88" s="53"/>
      <c r="H88" s="503"/>
      <c r="I88" s="53"/>
      <c r="J88" s="53"/>
      <c r="K88" s="53"/>
      <c r="L88" s="53"/>
      <c r="M88" s="53"/>
      <c r="N88" s="15">
        <f>N86</f>
        <v>0</v>
      </c>
      <c r="O88" s="25">
        <f>N88/$N$132</f>
        <v>0</v>
      </c>
    </row>
    <row r="89" spans="1:16" ht="12.75" hidden="1" customHeight="1" x14ac:dyDescent="0.2">
      <c r="B89" s="130"/>
      <c r="G89" s="52"/>
      <c r="H89" s="501"/>
      <c r="I89" s="52"/>
      <c r="J89" s="52"/>
      <c r="K89" s="52"/>
      <c r="L89" s="52"/>
      <c r="M89" s="52"/>
      <c r="N89" s="15"/>
      <c r="O89" s="25"/>
    </row>
    <row r="90" spans="1:16" ht="12.75" customHeight="1" x14ac:dyDescent="0.2">
      <c r="A90" s="98" t="s">
        <v>679</v>
      </c>
      <c r="B90" s="88" t="s">
        <v>681</v>
      </c>
      <c r="G90" s="97"/>
      <c r="H90" s="502"/>
      <c r="I90" s="15"/>
      <c r="J90" s="15"/>
      <c r="K90" s="15"/>
      <c r="L90" s="15"/>
      <c r="M90" s="15"/>
      <c r="N90" s="15"/>
      <c r="O90" s="25"/>
    </row>
    <row r="91" spans="1:16" ht="12.75" customHeight="1" x14ac:dyDescent="0.2">
      <c r="A91" s="98" t="s">
        <v>814</v>
      </c>
      <c r="B91" s="88" t="s">
        <v>815</v>
      </c>
      <c r="G91" s="97" t="s">
        <v>31</v>
      </c>
      <c r="H91" s="502">
        <v>46.36</v>
      </c>
      <c r="I91" s="72">
        <f>VLOOKUP(A91,'[1]TAB OGU JUN18'!$A:$G,6,"falso")</f>
        <v>53.59</v>
      </c>
      <c r="J91" s="72">
        <f>VLOOKUP(A91,'[1]TAB OGU JUN18'!$A:$G,4,"falso")</f>
        <v>41.18</v>
      </c>
      <c r="K91" s="15">
        <f>H91*J91</f>
        <v>1909.1048000000001</v>
      </c>
      <c r="L91" s="72">
        <f>VLOOKUP(A91,'[1]TAB OGU JUN18'!$A:$G,5,"falso")</f>
        <v>12.41</v>
      </c>
      <c r="M91" s="15">
        <f>H91*L91</f>
        <v>575.32759999999996</v>
      </c>
      <c r="N91" s="15">
        <f>H91*I91</f>
        <v>2484.4324000000001</v>
      </c>
      <c r="O91" s="25">
        <f>N91/N93</f>
        <v>1</v>
      </c>
    </row>
    <row r="92" spans="1:16" ht="12.75" customHeight="1" x14ac:dyDescent="0.2">
      <c r="B92" s="130"/>
      <c r="G92" s="52"/>
      <c r="H92" s="501"/>
      <c r="I92" s="52"/>
      <c r="J92" s="52"/>
      <c r="K92" s="52"/>
      <c r="L92" s="52"/>
      <c r="M92" s="52"/>
      <c r="N92" s="15"/>
      <c r="O92" s="25"/>
    </row>
    <row r="93" spans="1:16" ht="12.75" customHeight="1" x14ac:dyDescent="0.2">
      <c r="B93" s="130" t="s">
        <v>18</v>
      </c>
      <c r="C93" s="131"/>
      <c r="D93" s="131"/>
      <c r="E93" s="131"/>
      <c r="F93" s="131"/>
      <c r="G93" s="53"/>
      <c r="H93" s="503"/>
      <c r="I93" s="53"/>
      <c r="J93" s="53"/>
      <c r="K93" s="53"/>
      <c r="L93" s="53"/>
      <c r="M93" s="53"/>
      <c r="N93" s="15">
        <f>N91</f>
        <v>2484.4324000000001</v>
      </c>
      <c r="O93" s="25">
        <f>N93/$N$132</f>
        <v>2.4199335222228963E-2</v>
      </c>
    </row>
    <row r="94" spans="1:16" ht="12.75" customHeight="1" x14ac:dyDescent="0.2">
      <c r="B94" s="130"/>
      <c r="G94" s="52"/>
      <c r="H94" s="501"/>
      <c r="I94" s="52"/>
      <c r="J94" s="52"/>
      <c r="K94" s="52"/>
      <c r="L94" s="52"/>
      <c r="M94" s="52"/>
      <c r="N94" s="15"/>
      <c r="O94" s="25"/>
    </row>
    <row r="95" spans="1:16" ht="12.75" customHeight="1" x14ac:dyDescent="0.2">
      <c r="A95" s="129" t="s">
        <v>314</v>
      </c>
      <c r="B95" s="88" t="s">
        <v>315</v>
      </c>
      <c r="H95" s="505"/>
      <c r="O95" s="61"/>
    </row>
    <row r="96" spans="1:16" ht="12.75" customHeight="1" x14ac:dyDescent="0.2">
      <c r="A96" s="129" t="s">
        <v>316</v>
      </c>
      <c r="B96" s="88" t="s">
        <v>317</v>
      </c>
      <c r="G96" s="97" t="s">
        <v>31</v>
      </c>
      <c r="H96" s="502">
        <v>315.64</v>
      </c>
      <c r="I96" s="72">
        <f>VLOOKUP(A96,'[1]TAB OGU JUN18'!$A:$G,6,"falso")</f>
        <v>69.709999999999994</v>
      </c>
      <c r="J96" s="72">
        <f>VLOOKUP(A96,'[1]TAB OGU JUN18'!$A:$G,4,"falso")</f>
        <v>41.18</v>
      </c>
      <c r="K96" s="15">
        <f>H96*J96</f>
        <v>12998.055199999999</v>
      </c>
      <c r="L96" s="72">
        <f>VLOOKUP(A96,'[1]TAB OGU JUN18'!$A:$G,5,"falso")</f>
        <v>28.53</v>
      </c>
      <c r="M96" s="15">
        <f>H96*L96</f>
        <v>9005.2091999999993</v>
      </c>
      <c r="N96" s="15">
        <f>H96*I96</f>
        <v>22003.264399999996</v>
      </c>
      <c r="O96" s="25">
        <f>N96/N98</f>
        <v>1</v>
      </c>
    </row>
    <row r="97" spans="1:15" ht="12.75" customHeight="1" x14ac:dyDescent="0.2">
      <c r="B97" s="130"/>
      <c r="G97" s="52"/>
      <c r="H97" s="501"/>
      <c r="I97" s="52"/>
      <c r="J97" s="52"/>
      <c r="K97" s="52"/>
      <c r="L97" s="52"/>
      <c r="M97" s="52"/>
      <c r="N97" s="15"/>
      <c r="O97" s="25"/>
    </row>
    <row r="98" spans="1:15" ht="12.75" customHeight="1" x14ac:dyDescent="0.2">
      <c r="B98" s="130" t="s">
        <v>18</v>
      </c>
      <c r="C98" s="131"/>
      <c r="D98" s="131"/>
      <c r="E98" s="131"/>
      <c r="F98" s="131"/>
      <c r="G98" s="53"/>
      <c r="H98" s="503"/>
      <c r="I98" s="53"/>
      <c r="J98" s="53"/>
      <c r="K98" s="53"/>
      <c r="L98" s="53"/>
      <c r="M98" s="53"/>
      <c r="N98" s="15">
        <f>N96</f>
        <v>22003.264399999996</v>
      </c>
      <c r="O98" s="25">
        <f>N98/$N$132</f>
        <v>0.21432032974571436</v>
      </c>
    </row>
    <row r="99" spans="1:15" ht="12.75" customHeight="1" x14ac:dyDescent="0.2">
      <c r="B99" s="130"/>
      <c r="G99" s="52"/>
      <c r="H99" s="501"/>
      <c r="I99" s="52"/>
      <c r="J99" s="52"/>
      <c r="K99" s="52"/>
      <c r="L99" s="52"/>
      <c r="M99" s="52"/>
      <c r="N99" s="15"/>
      <c r="O99" s="25"/>
    </row>
    <row r="100" spans="1:15" ht="12.75" customHeight="1" x14ac:dyDescent="0.2">
      <c r="A100" s="98" t="s">
        <v>321</v>
      </c>
      <c r="B100" s="88" t="s">
        <v>322</v>
      </c>
      <c r="G100" s="97"/>
      <c r="H100" s="502"/>
      <c r="I100" s="15"/>
      <c r="J100" s="15"/>
      <c r="K100" s="15"/>
      <c r="L100" s="15"/>
      <c r="M100" s="15"/>
      <c r="N100" s="15"/>
      <c r="O100" s="25"/>
    </row>
    <row r="101" spans="1:15" ht="12.75" customHeight="1" x14ac:dyDescent="0.2">
      <c r="A101" s="98" t="s">
        <v>323</v>
      </c>
      <c r="B101" s="88" t="s">
        <v>324</v>
      </c>
      <c r="G101" s="97" t="s">
        <v>325</v>
      </c>
      <c r="H101" s="502">
        <v>7118</v>
      </c>
      <c r="I101" s="72">
        <f>VLOOKUP(A101,'[1]TAB OGU JUN18'!$A:$G,6,"falso")</f>
        <v>5.01</v>
      </c>
      <c r="J101" s="72">
        <f>VLOOKUP(A101,'[1]TAB OGU JUN18'!$A:$G,4,"falso")</f>
        <v>2.4500000000000002</v>
      </c>
      <c r="K101" s="15">
        <f>H101*J101</f>
        <v>17439.100000000002</v>
      </c>
      <c r="L101" s="72">
        <f>VLOOKUP(A101,'[1]TAB OGU JUN18'!$A:$G,5,"falso")</f>
        <v>2.56</v>
      </c>
      <c r="M101" s="15">
        <f>H101*L101</f>
        <v>18222.080000000002</v>
      </c>
      <c r="N101" s="15">
        <f>H101*I101</f>
        <v>35661.18</v>
      </c>
      <c r="O101" s="25">
        <f>N101/N104</f>
        <v>0.99977543644809419</v>
      </c>
    </row>
    <row r="102" spans="1:15" ht="12.75" customHeight="1" x14ac:dyDescent="0.2">
      <c r="A102" s="98" t="s">
        <v>326</v>
      </c>
      <c r="B102" s="88" t="s">
        <v>327</v>
      </c>
      <c r="G102" s="97" t="s">
        <v>325</v>
      </c>
      <c r="H102" s="502">
        <v>1</v>
      </c>
      <c r="I102" s="72">
        <f>VLOOKUP(A102,'[1]TAB OGU JUN18'!$A:$G,6,"falso")</f>
        <v>8.01</v>
      </c>
      <c r="J102" s="72">
        <f>VLOOKUP(A102,'[1]TAB OGU JUN18'!$A:$G,4,"falso")</f>
        <v>3.68</v>
      </c>
      <c r="K102" s="15">
        <f>H102*J102</f>
        <v>3.68</v>
      </c>
      <c r="L102" s="72">
        <f>VLOOKUP(A102,'[1]TAB OGU JUN18'!$A:$G,5,"falso")</f>
        <v>4.33</v>
      </c>
      <c r="M102" s="15">
        <f>H102*L102</f>
        <v>4.33</v>
      </c>
      <c r="N102" s="15">
        <f>H102*I102</f>
        <v>8.01</v>
      </c>
      <c r="O102" s="25">
        <f>N102/N104</f>
        <v>2.2456355190572029E-4</v>
      </c>
    </row>
    <row r="103" spans="1:15" ht="12.75" customHeight="1" x14ac:dyDescent="0.2">
      <c r="B103" s="130"/>
      <c r="G103" s="52"/>
      <c r="H103" s="501"/>
      <c r="I103" s="52"/>
      <c r="J103" s="52"/>
      <c r="K103" s="52"/>
      <c r="L103" s="52"/>
      <c r="M103" s="52"/>
      <c r="N103" s="15"/>
      <c r="O103" s="25"/>
    </row>
    <row r="104" spans="1:15" ht="12.75" customHeight="1" x14ac:dyDescent="0.2">
      <c r="B104" s="130" t="s">
        <v>18</v>
      </c>
      <c r="C104" s="131"/>
      <c r="D104" s="131"/>
      <c r="E104" s="131"/>
      <c r="F104" s="131"/>
      <c r="G104" s="53"/>
      <c r="H104" s="503"/>
      <c r="I104" s="53"/>
      <c r="J104" s="53"/>
      <c r="K104" s="53"/>
      <c r="L104" s="53"/>
      <c r="M104" s="53"/>
      <c r="N104" s="15">
        <f>SUM(N101:N102)</f>
        <v>35669.19</v>
      </c>
      <c r="O104" s="25">
        <f>N104/$N$132</f>
        <v>0.34743174574416963</v>
      </c>
    </row>
    <row r="105" spans="1:15" ht="12.75" customHeight="1" x14ac:dyDescent="0.2">
      <c r="B105" s="130"/>
      <c r="C105" s="492"/>
      <c r="D105" s="492"/>
      <c r="E105" s="492"/>
      <c r="F105" s="492"/>
      <c r="G105" s="493"/>
      <c r="H105" s="509"/>
      <c r="I105" s="493"/>
      <c r="J105" s="493"/>
      <c r="K105" s="493"/>
      <c r="L105" s="493"/>
      <c r="M105" s="493"/>
      <c r="N105" s="15"/>
      <c r="O105" s="25"/>
    </row>
    <row r="106" spans="1:15" ht="12.75" hidden="1" customHeight="1" x14ac:dyDescent="0.2">
      <c r="A106" s="129" t="s">
        <v>328</v>
      </c>
      <c r="B106" s="88" t="s">
        <v>329</v>
      </c>
      <c r="H106" s="505"/>
      <c r="O106" s="61"/>
    </row>
    <row r="107" spans="1:15" ht="12.75" hidden="1" customHeight="1" x14ac:dyDescent="0.2">
      <c r="A107" s="129" t="s">
        <v>330</v>
      </c>
      <c r="B107" s="88" t="s">
        <v>331</v>
      </c>
      <c r="G107" s="97" t="s">
        <v>32</v>
      </c>
      <c r="H107" s="502">
        <v>0</v>
      </c>
      <c r="I107" s="72">
        <f>VLOOKUP(A107,'[1]TAB OGU JUN18'!$A:$G,6,"falso")</f>
        <v>354.81</v>
      </c>
      <c r="J107" s="72">
        <f>VLOOKUP(A107,'[1]TAB OGU JUN18'!$A:$G,4,"falso")</f>
        <v>214.2</v>
      </c>
      <c r="K107" s="15">
        <f>H107*J107</f>
        <v>0</v>
      </c>
      <c r="L107" s="72">
        <f>VLOOKUP(A107,'[1]TAB OGU JUN18'!$A:$G,5,"falso")</f>
        <v>140.61000000000001</v>
      </c>
      <c r="M107" s="15">
        <f>H107*L107</f>
        <v>0</v>
      </c>
      <c r="N107" s="15">
        <f>H107*I107</f>
        <v>0</v>
      </c>
      <c r="O107" s="25" t="e">
        <f>N107/N109</f>
        <v>#DIV/0!</v>
      </c>
    </row>
    <row r="108" spans="1:15" ht="12.75" hidden="1" customHeight="1" x14ac:dyDescent="0.2">
      <c r="A108" s="129"/>
      <c r="B108" s="88"/>
      <c r="G108" s="97"/>
      <c r="H108" s="502"/>
      <c r="I108" s="72"/>
      <c r="J108" s="72"/>
      <c r="K108" s="15"/>
      <c r="L108" s="72"/>
      <c r="M108" s="15"/>
      <c r="N108" s="15"/>
      <c r="O108" s="25"/>
    </row>
    <row r="109" spans="1:15" ht="12.75" hidden="1" customHeight="1" x14ac:dyDescent="0.2">
      <c r="B109" s="130" t="s">
        <v>18</v>
      </c>
      <c r="C109" s="131"/>
      <c r="D109" s="131"/>
      <c r="E109" s="131"/>
      <c r="F109" s="131"/>
      <c r="G109" s="53"/>
      <c r="H109" s="503"/>
      <c r="I109" s="53"/>
      <c r="J109" s="53"/>
      <c r="K109" s="53"/>
      <c r="L109" s="53"/>
      <c r="M109" s="53"/>
      <c r="N109" s="15">
        <f>N107</f>
        <v>0</v>
      </c>
      <c r="O109" s="25">
        <f>N109/$N$132</f>
        <v>0</v>
      </c>
    </row>
    <row r="110" spans="1:15" ht="12.75" hidden="1" customHeight="1" x14ac:dyDescent="0.2">
      <c r="B110" s="130"/>
      <c r="G110" s="52"/>
      <c r="H110" s="501"/>
      <c r="I110" s="52"/>
      <c r="J110" s="52"/>
      <c r="K110" s="52"/>
      <c r="L110" s="52"/>
      <c r="M110" s="52"/>
      <c r="N110" s="15"/>
      <c r="O110" s="25"/>
    </row>
    <row r="111" spans="1:15" ht="12.75" customHeight="1" x14ac:dyDescent="0.2">
      <c r="A111" s="129" t="s">
        <v>332</v>
      </c>
      <c r="B111" s="88" t="s">
        <v>333</v>
      </c>
      <c r="H111" s="505"/>
      <c r="O111" s="61"/>
    </row>
    <row r="112" spans="1:15" ht="12.75" customHeight="1" x14ac:dyDescent="0.2">
      <c r="A112" s="129" t="s">
        <v>631</v>
      </c>
      <c r="B112" s="88" t="s">
        <v>630</v>
      </c>
      <c r="G112" s="97" t="s">
        <v>32</v>
      </c>
      <c r="H112" s="502">
        <v>73.25</v>
      </c>
      <c r="I112" s="72">
        <f>VLOOKUP(A112,'[1]TAB OGU JUN18'!$A:$G,6,"falso")</f>
        <v>352.04</v>
      </c>
      <c r="J112" s="72">
        <f>VLOOKUP(A112,'[1]TAB OGU JUN18'!$A:$G,4,"falso")</f>
        <v>40.92</v>
      </c>
      <c r="K112" s="15">
        <f>H112*J112</f>
        <v>2997.3900000000003</v>
      </c>
      <c r="L112" s="72">
        <f>VLOOKUP(A112,'[1]TAB OGU JUN18'!$A:$G,5,"falso")</f>
        <v>311.12</v>
      </c>
      <c r="M112" s="15">
        <f>H112*L112</f>
        <v>22789.54</v>
      </c>
      <c r="N112" s="15">
        <f>H112*I112</f>
        <v>25786.93</v>
      </c>
      <c r="O112" s="25">
        <f>N112/N114</f>
        <v>1</v>
      </c>
    </row>
    <row r="113" spans="1:15" ht="12.75" customHeight="1" x14ac:dyDescent="0.2">
      <c r="B113" s="130"/>
      <c r="G113" s="52"/>
      <c r="H113" s="501"/>
      <c r="I113" s="52"/>
      <c r="J113" s="52"/>
      <c r="K113" s="52"/>
      <c r="L113" s="52"/>
      <c r="M113" s="52"/>
      <c r="N113" s="15"/>
      <c r="O113" s="25"/>
    </row>
    <row r="114" spans="1:15" ht="12.75" customHeight="1" x14ac:dyDescent="0.2">
      <c r="B114" s="130" t="s">
        <v>18</v>
      </c>
      <c r="C114" s="131"/>
      <c r="D114" s="131"/>
      <c r="E114" s="131"/>
      <c r="F114" s="131"/>
      <c r="G114" s="53"/>
      <c r="H114" s="503"/>
      <c r="I114" s="53"/>
      <c r="J114" s="53"/>
      <c r="K114" s="53"/>
      <c r="L114" s="53"/>
      <c r="M114" s="53"/>
      <c r="N114" s="15">
        <f>N112</f>
        <v>25786.93</v>
      </c>
      <c r="O114" s="25">
        <f>N114/$N$132</f>
        <v>0.25117470027445815</v>
      </c>
    </row>
    <row r="115" spans="1:15" ht="12.75" customHeight="1" x14ac:dyDescent="0.2">
      <c r="B115" s="130"/>
      <c r="G115" s="52"/>
      <c r="H115" s="501"/>
      <c r="I115" s="52"/>
      <c r="J115" s="52"/>
      <c r="K115" s="52"/>
      <c r="L115" s="52"/>
      <c r="M115" s="52"/>
      <c r="N115" s="15"/>
      <c r="O115" s="25"/>
    </row>
    <row r="116" spans="1:15" ht="12.75" customHeight="1" x14ac:dyDescent="0.2">
      <c r="A116" s="129" t="s">
        <v>335</v>
      </c>
      <c r="B116" s="88" t="s">
        <v>336</v>
      </c>
      <c r="H116" s="505"/>
      <c r="O116" s="61"/>
    </row>
    <row r="117" spans="1:15" ht="12.75" customHeight="1" x14ac:dyDescent="0.2">
      <c r="A117" s="129" t="s">
        <v>337</v>
      </c>
      <c r="B117" s="88" t="s">
        <v>338</v>
      </c>
      <c r="G117" s="97" t="s">
        <v>32</v>
      </c>
      <c r="H117" s="502">
        <f>H112</f>
        <v>73.25</v>
      </c>
      <c r="I117" s="72">
        <f>VLOOKUP(A117,'[1]TAB OGU JUN18'!$A:$G,6,"falso")</f>
        <v>28.95</v>
      </c>
      <c r="J117" s="72">
        <f>VLOOKUP(A117,'[1]TAB OGU JUN18'!$A:$G,4,"falso")</f>
        <v>4.22</v>
      </c>
      <c r="K117" s="15">
        <f>H117*J117</f>
        <v>309.11500000000001</v>
      </c>
      <c r="L117" s="72">
        <f>VLOOKUP(A117,'[1]TAB OGU JUN18'!$A:$G,5,"falso")</f>
        <v>24.73</v>
      </c>
      <c r="M117" s="15">
        <f>H117*L117</f>
        <v>1811.4725000000001</v>
      </c>
      <c r="N117" s="15">
        <f>H117*I117</f>
        <v>2120.5875000000001</v>
      </c>
      <c r="O117" s="25">
        <f>N117/N119</f>
        <v>1</v>
      </c>
    </row>
    <row r="118" spans="1:15" ht="12.75" customHeight="1" x14ac:dyDescent="0.2">
      <c r="B118" s="130"/>
      <c r="G118" s="52"/>
      <c r="H118" s="501"/>
      <c r="I118" s="52"/>
      <c r="J118" s="52"/>
      <c r="K118" s="52"/>
      <c r="L118" s="52"/>
      <c r="M118" s="52"/>
      <c r="N118" s="15"/>
      <c r="O118" s="25"/>
    </row>
    <row r="119" spans="1:15" ht="12.75" customHeight="1" x14ac:dyDescent="0.2">
      <c r="B119" s="130" t="s">
        <v>18</v>
      </c>
      <c r="C119" s="131"/>
      <c r="D119" s="131"/>
      <c r="E119" s="131"/>
      <c r="F119" s="131"/>
      <c r="G119" s="53"/>
      <c r="H119" s="503"/>
      <c r="I119" s="53"/>
      <c r="J119" s="53"/>
      <c r="K119" s="53"/>
      <c r="L119" s="53"/>
      <c r="M119" s="53"/>
      <c r="N119" s="15">
        <f>N117</f>
        <v>2120.5875000000001</v>
      </c>
      <c r="O119" s="25">
        <f>N119/$N$132</f>
        <v>2.0655344770325997E-2</v>
      </c>
    </row>
    <row r="120" spans="1:15" ht="12.75" customHeight="1" x14ac:dyDescent="0.2">
      <c r="B120" s="130"/>
      <c r="G120" s="52"/>
      <c r="H120" s="501"/>
      <c r="I120" s="52"/>
      <c r="J120" s="52"/>
      <c r="K120" s="52"/>
      <c r="L120" s="52"/>
      <c r="M120" s="52"/>
      <c r="N120" s="15"/>
      <c r="O120" s="25"/>
    </row>
    <row r="121" spans="1:15" ht="12.75" customHeight="1" x14ac:dyDescent="0.2">
      <c r="A121" s="98" t="s">
        <v>339</v>
      </c>
      <c r="B121" s="88" t="s">
        <v>340</v>
      </c>
      <c r="G121" s="97"/>
      <c r="H121" s="502"/>
      <c r="I121" s="15"/>
      <c r="J121" s="15"/>
      <c r="K121" s="15"/>
      <c r="L121" s="15"/>
      <c r="M121" s="15"/>
      <c r="N121" s="15"/>
      <c r="O121" s="25"/>
    </row>
    <row r="122" spans="1:15" ht="12.75" customHeight="1" x14ac:dyDescent="0.2">
      <c r="A122" s="98" t="s">
        <v>341</v>
      </c>
      <c r="B122" s="88" t="s">
        <v>342</v>
      </c>
      <c r="G122" s="97" t="s">
        <v>31</v>
      </c>
      <c r="H122" s="502">
        <v>204.18</v>
      </c>
      <c r="I122" s="72">
        <f>VLOOKUP(A122,'[1]TAB OGU JUN18'!$A:$G,6,"falso")</f>
        <v>0.82</v>
      </c>
      <c r="J122" s="72">
        <f>VLOOKUP(A122,'[1]TAB OGU JUN18'!$A:$G,4,"falso")</f>
        <v>0.82</v>
      </c>
      <c r="K122" s="15">
        <f>H122*J122</f>
        <v>167.42759999999998</v>
      </c>
      <c r="L122" s="72">
        <f>VLOOKUP(A122,'[1]TAB OGU JUN18'!$A:$G,5,"falso")</f>
        <v>0</v>
      </c>
      <c r="M122" s="15"/>
      <c r="N122" s="15">
        <f>H122*I122</f>
        <v>167.42759999999998</v>
      </c>
      <c r="O122" s="25">
        <f>N122/N125</f>
        <v>1</v>
      </c>
    </row>
    <row r="123" spans="1:15" ht="12.75" hidden="1" customHeight="1" x14ac:dyDescent="0.2">
      <c r="A123" s="98" t="s">
        <v>816</v>
      </c>
      <c r="B123" s="88" t="s">
        <v>817</v>
      </c>
      <c r="G123" s="97" t="s">
        <v>31</v>
      </c>
      <c r="H123" s="502">
        <v>0</v>
      </c>
      <c r="I123" s="72">
        <f>VLOOKUP(A123,'[1]TAB OGU JUN18'!$A:$G,6,"falso")</f>
        <v>9.3800000000000008</v>
      </c>
      <c r="J123" s="72">
        <f>VLOOKUP(A123,'[1]TAB OGU JUN18'!$A:$G,4,"falso")</f>
        <v>7.49</v>
      </c>
      <c r="K123" s="15">
        <f>H123*J123</f>
        <v>0</v>
      </c>
      <c r="L123" s="72">
        <f>VLOOKUP(A123,'[1]TAB OGU JUN18'!$A:$G,5,"falso")</f>
        <v>1.89</v>
      </c>
      <c r="M123" s="15">
        <f>H123*L123</f>
        <v>0</v>
      </c>
      <c r="N123" s="15">
        <f>H123*I123</f>
        <v>0</v>
      </c>
      <c r="O123" s="25">
        <f>N123/N125</f>
        <v>0</v>
      </c>
    </row>
    <row r="124" spans="1:15" ht="12.75" customHeight="1" x14ac:dyDescent="0.2">
      <c r="B124" s="130"/>
      <c r="G124" s="52"/>
      <c r="H124" s="501"/>
      <c r="I124" s="52"/>
      <c r="J124" s="52"/>
      <c r="K124" s="52"/>
      <c r="L124" s="52"/>
      <c r="M124" s="52"/>
      <c r="N124" s="15"/>
      <c r="O124" s="25"/>
    </row>
    <row r="125" spans="1:15" ht="12.75" customHeight="1" x14ac:dyDescent="0.2">
      <c r="B125" s="130" t="s">
        <v>18</v>
      </c>
      <c r="C125" s="131"/>
      <c r="D125" s="131"/>
      <c r="E125" s="131"/>
      <c r="F125" s="131"/>
      <c r="G125" s="53"/>
      <c r="H125" s="503"/>
      <c r="I125" s="53"/>
      <c r="J125" s="53"/>
      <c r="K125" s="53"/>
      <c r="L125" s="53"/>
      <c r="M125" s="53"/>
      <c r="N125" s="15">
        <f>SUM(N122:N123)</f>
        <v>167.42759999999998</v>
      </c>
      <c r="O125" s="25">
        <f>N125/$N$132</f>
        <v>1.6308097647789739E-3</v>
      </c>
    </row>
    <row r="126" spans="1:15" ht="12.75" customHeight="1" x14ac:dyDescent="0.2">
      <c r="B126" s="130"/>
      <c r="G126" s="52"/>
      <c r="H126" s="501"/>
      <c r="I126" s="52"/>
      <c r="J126" s="52"/>
      <c r="K126" s="52"/>
      <c r="L126" s="52"/>
      <c r="M126" s="52"/>
      <c r="N126" s="15"/>
      <c r="O126" s="25"/>
    </row>
    <row r="127" spans="1:15" ht="12.75" customHeight="1" x14ac:dyDescent="0.2">
      <c r="A127" s="129" t="s">
        <v>344</v>
      </c>
      <c r="B127" s="88" t="s">
        <v>345</v>
      </c>
      <c r="H127" s="505"/>
      <c r="O127" s="61"/>
    </row>
    <row r="128" spans="1:15" ht="12.75" customHeight="1" x14ac:dyDescent="0.2">
      <c r="A128" s="129" t="s">
        <v>346</v>
      </c>
      <c r="B128" s="88" t="s">
        <v>347</v>
      </c>
      <c r="G128" s="97" t="s">
        <v>31</v>
      </c>
      <c r="H128" s="502">
        <v>204.18</v>
      </c>
      <c r="I128" s="72">
        <f>VLOOKUP(A128,'[1]TAB OGU JUN18'!$A:$G,6,"falso")</f>
        <v>70.69</v>
      </c>
      <c r="J128" s="72">
        <f>VLOOKUP(A128,'[1]TAB OGU JUN18'!$A:$G,4,"falso")</f>
        <v>12.86</v>
      </c>
      <c r="K128" s="15">
        <f>H128*J128</f>
        <v>2625.7548000000002</v>
      </c>
      <c r="L128" s="72">
        <f>VLOOKUP(A128,'[1]TAB OGU JUN18'!$A:$G,5,"falso")</f>
        <v>57.83</v>
      </c>
      <c r="M128" s="15">
        <f>H128*L128</f>
        <v>11807.7294</v>
      </c>
      <c r="N128" s="15">
        <f>H128*I128</f>
        <v>14433.484200000001</v>
      </c>
      <c r="O128" s="25">
        <f>N128/N130</f>
        <v>1</v>
      </c>
    </row>
    <row r="129" spans="1:15" ht="12.75" customHeight="1" x14ac:dyDescent="0.2">
      <c r="B129" s="130"/>
      <c r="G129" s="52"/>
      <c r="H129" s="501"/>
      <c r="I129" s="52"/>
      <c r="J129" s="52"/>
      <c r="K129" s="52"/>
      <c r="L129" s="52"/>
      <c r="M129" s="52"/>
      <c r="N129" s="15"/>
      <c r="O129" s="25"/>
    </row>
    <row r="130" spans="1:15" ht="12.75" customHeight="1" x14ac:dyDescent="0.2">
      <c r="B130" s="130" t="s">
        <v>18</v>
      </c>
      <c r="C130" s="131"/>
      <c r="D130" s="131"/>
      <c r="E130" s="131"/>
      <c r="F130" s="131"/>
      <c r="G130" s="53"/>
      <c r="H130" s="503"/>
      <c r="I130" s="53"/>
      <c r="J130" s="53"/>
      <c r="K130" s="53"/>
      <c r="L130" s="53"/>
      <c r="M130" s="53"/>
      <c r="N130" s="15">
        <f>N128</f>
        <v>14433.484200000001</v>
      </c>
      <c r="O130" s="25">
        <f>N130/$N$132</f>
        <v>0.14058773447832398</v>
      </c>
    </row>
    <row r="131" spans="1:15" ht="12.75" customHeight="1" x14ac:dyDescent="0.2">
      <c r="B131" s="130"/>
      <c r="G131" s="52"/>
      <c r="H131" s="501"/>
      <c r="I131" s="52"/>
      <c r="J131" s="52"/>
      <c r="K131" s="52"/>
      <c r="L131" s="52"/>
      <c r="M131" s="52"/>
      <c r="N131" s="15"/>
      <c r="O131" s="25"/>
    </row>
    <row r="132" spans="1:15" s="132" customFormat="1" ht="12.75" customHeight="1" x14ac:dyDescent="0.2">
      <c r="B132" s="133" t="s">
        <v>20</v>
      </c>
      <c r="C132" s="134"/>
      <c r="D132" s="134"/>
      <c r="E132" s="134"/>
      <c r="F132" s="134"/>
      <c r="G132" s="78"/>
      <c r="H132" s="504"/>
      <c r="I132" s="78"/>
      <c r="J132" s="78"/>
      <c r="K132" s="78"/>
      <c r="L132" s="78"/>
      <c r="M132" s="78"/>
      <c r="N132" s="83">
        <f>N83+N93+N98+N104+N109+N114+N119+N125+N130+N88</f>
        <v>102665.3161</v>
      </c>
      <c r="O132" s="77">
        <f>N132/$N$157</f>
        <v>0.911840453548871</v>
      </c>
    </row>
    <row r="133" spans="1:15" ht="12.75" customHeight="1" x14ac:dyDescent="0.2">
      <c r="B133" s="130"/>
      <c r="G133" s="52"/>
      <c r="H133" s="501"/>
      <c r="I133" s="52"/>
      <c r="J133" s="52"/>
      <c r="K133" s="52"/>
      <c r="L133" s="52"/>
      <c r="M133" s="52"/>
      <c r="N133" s="15"/>
      <c r="O133" s="25"/>
    </row>
    <row r="134" spans="1:15" ht="12.75" customHeight="1" x14ac:dyDescent="0.2">
      <c r="A134" s="129" t="s">
        <v>169</v>
      </c>
      <c r="B134" s="88" t="s">
        <v>172</v>
      </c>
      <c r="H134" s="505"/>
      <c r="O134" s="61"/>
    </row>
    <row r="135" spans="1:15" ht="12.75" customHeight="1" x14ac:dyDescent="0.2">
      <c r="A135" s="98" t="s">
        <v>170</v>
      </c>
      <c r="B135" s="88" t="s">
        <v>173</v>
      </c>
      <c r="G135" s="52"/>
      <c r="H135" s="501"/>
      <c r="I135" s="52"/>
      <c r="J135" s="52"/>
      <c r="K135" s="52"/>
      <c r="L135" s="52"/>
      <c r="M135" s="52"/>
      <c r="N135" s="52"/>
      <c r="O135" s="19"/>
    </row>
    <row r="136" spans="1:15" ht="12.75" customHeight="1" x14ac:dyDescent="0.2">
      <c r="A136" s="98" t="s">
        <v>480</v>
      </c>
      <c r="B136" s="88" t="s">
        <v>481</v>
      </c>
      <c r="G136" s="97" t="s">
        <v>31</v>
      </c>
      <c r="H136" s="502">
        <f>H14</f>
        <v>128.74</v>
      </c>
      <c r="I136" s="72">
        <f>VLOOKUP(A136,'[1]TAB OGU JUN18'!$A:$G,6,"falso")</f>
        <v>2.46</v>
      </c>
      <c r="J136" s="72">
        <f>VLOOKUP(A136,'[1]TAB OGU JUN18'!$A:$G,4,"falso")</f>
        <v>2.34</v>
      </c>
      <c r="K136" s="15">
        <f>H136*J136</f>
        <v>301.2516</v>
      </c>
      <c r="L136" s="72">
        <f>VLOOKUP(A136,'[1]TAB OGU JUN18'!$A:$G,5,"falso")</f>
        <v>0.12</v>
      </c>
      <c r="M136" s="15">
        <f>H136*L136</f>
        <v>15.4488</v>
      </c>
      <c r="N136" s="15">
        <f>H136*I136</f>
        <v>316.7004</v>
      </c>
      <c r="O136" s="25">
        <f>N136/N138</f>
        <v>1</v>
      </c>
    </row>
    <row r="137" spans="1:15" ht="12.75" customHeight="1" x14ac:dyDescent="0.2">
      <c r="G137" s="52"/>
      <c r="H137" s="501"/>
      <c r="I137" s="52"/>
      <c r="J137" s="52"/>
      <c r="K137" s="52"/>
      <c r="L137" s="52"/>
      <c r="M137" s="52"/>
      <c r="N137" s="52"/>
      <c r="O137" s="19"/>
    </row>
    <row r="138" spans="1:15" ht="12.75" customHeight="1" x14ac:dyDescent="0.2">
      <c r="B138" s="130" t="s">
        <v>18</v>
      </c>
      <c r="C138" s="131"/>
      <c r="D138" s="131"/>
      <c r="E138" s="131"/>
      <c r="F138" s="131"/>
      <c r="G138" s="53"/>
      <c r="H138" s="503"/>
      <c r="I138" s="53"/>
      <c r="J138" s="53"/>
      <c r="K138" s="53"/>
      <c r="L138" s="53"/>
      <c r="M138" s="53"/>
      <c r="N138" s="15">
        <f>N136</f>
        <v>316.7004</v>
      </c>
      <c r="O138" s="25">
        <f>N138/N140</f>
        <v>1</v>
      </c>
    </row>
    <row r="139" spans="1:15" ht="12.75" customHeight="1" x14ac:dyDescent="0.2">
      <c r="B139" s="130"/>
      <c r="G139" s="52"/>
      <c r="H139" s="501"/>
      <c r="I139" s="52"/>
      <c r="J139" s="52"/>
      <c r="K139" s="52"/>
      <c r="L139" s="52"/>
      <c r="M139" s="52"/>
      <c r="N139" s="15"/>
      <c r="O139" s="25"/>
    </row>
    <row r="140" spans="1:15" s="132" customFormat="1" ht="12.75" customHeight="1" x14ac:dyDescent="0.2">
      <c r="B140" s="133" t="s">
        <v>20</v>
      </c>
      <c r="C140" s="134"/>
      <c r="D140" s="134"/>
      <c r="E140" s="134"/>
      <c r="F140" s="134"/>
      <c r="G140" s="78"/>
      <c r="H140" s="504"/>
      <c r="I140" s="78"/>
      <c r="J140" s="78"/>
      <c r="K140" s="78"/>
      <c r="L140" s="78"/>
      <c r="M140" s="78"/>
      <c r="N140" s="83">
        <f>N138</f>
        <v>316.7004</v>
      </c>
      <c r="O140" s="77">
        <f>N140/N157</f>
        <v>2.8128315125804096E-3</v>
      </c>
    </row>
    <row r="141" spans="1:15" s="132" customFormat="1" ht="12.75" customHeight="1" x14ac:dyDescent="0.2">
      <c r="B141" s="133"/>
      <c r="C141" s="487"/>
      <c r="D141" s="487"/>
      <c r="E141" s="487"/>
      <c r="F141" s="487"/>
      <c r="G141" s="488"/>
      <c r="H141" s="508"/>
      <c r="I141" s="488"/>
      <c r="J141" s="488"/>
      <c r="K141" s="488"/>
      <c r="L141" s="488"/>
      <c r="M141" s="488"/>
      <c r="N141" s="83"/>
      <c r="O141" s="77"/>
    </row>
    <row r="142" spans="1:15" ht="12.75" customHeight="1" x14ac:dyDescent="0.2">
      <c r="A142" s="98" t="s">
        <v>1008</v>
      </c>
      <c r="B142" s="88" t="s">
        <v>649</v>
      </c>
      <c r="G142" s="97"/>
      <c r="H142" s="502"/>
      <c r="I142" s="15"/>
      <c r="J142" s="15"/>
      <c r="K142" s="15"/>
      <c r="L142" s="15"/>
      <c r="M142" s="15"/>
      <c r="N142" s="15"/>
      <c r="O142" s="25"/>
    </row>
    <row r="143" spans="1:15" ht="12.75" customHeight="1" x14ac:dyDescent="0.2">
      <c r="A143" s="98" t="s">
        <v>1009</v>
      </c>
      <c r="B143" s="88" t="s">
        <v>650</v>
      </c>
      <c r="G143" s="97"/>
      <c r="H143" s="502"/>
      <c r="I143" s="15"/>
      <c r="J143" s="15"/>
      <c r="K143" s="15"/>
      <c r="L143" s="15"/>
      <c r="M143" s="15"/>
      <c r="N143" s="15"/>
      <c r="O143" s="25"/>
    </row>
    <row r="144" spans="1:15" ht="12.75" customHeight="1" x14ac:dyDescent="0.2">
      <c r="A144" s="98" t="s">
        <v>358</v>
      </c>
      <c r="B144" s="88" t="s">
        <v>651</v>
      </c>
      <c r="G144" s="97" t="s">
        <v>31</v>
      </c>
      <c r="H144" s="502">
        <v>0.9</v>
      </c>
      <c r="I144" s="72">
        <f>VLOOKUP(A144,'[1]TAB OGU JUN18'!$A:$G,6,"falso")</f>
        <v>59.55</v>
      </c>
      <c r="J144" s="72">
        <f>VLOOKUP(A144,'[1]TAB OGU JUN18'!$A:$G,4,"falso")</f>
        <v>47.04</v>
      </c>
      <c r="K144" s="15">
        <f>H144*J144</f>
        <v>42.335999999999999</v>
      </c>
      <c r="L144" s="72">
        <f>VLOOKUP(A144,'[1]TAB OGU JUN18'!$A:$G,5,"falso")</f>
        <v>12.51</v>
      </c>
      <c r="M144" s="15">
        <f>H144*L144</f>
        <v>11.259</v>
      </c>
      <c r="N144" s="15">
        <f>H144*I144</f>
        <v>53.594999999999999</v>
      </c>
      <c r="O144" s="25">
        <f>N144/N146</f>
        <v>1</v>
      </c>
    </row>
    <row r="145" spans="1:16" s="132" customFormat="1" ht="12.75" customHeight="1" x14ac:dyDescent="0.2">
      <c r="B145" s="133"/>
      <c r="C145" s="487"/>
      <c r="D145" s="487"/>
      <c r="E145" s="487"/>
      <c r="F145" s="487"/>
      <c r="G145" s="488"/>
      <c r="H145" s="508"/>
      <c r="I145" s="488"/>
      <c r="J145" s="488"/>
      <c r="K145" s="488"/>
      <c r="L145" s="488"/>
      <c r="M145" s="488"/>
      <c r="N145" s="83"/>
      <c r="O145" s="77"/>
    </row>
    <row r="146" spans="1:16" ht="12.75" customHeight="1" x14ac:dyDescent="0.2">
      <c r="B146" s="130" t="s">
        <v>18</v>
      </c>
      <c r="C146" s="131"/>
      <c r="D146" s="131"/>
      <c r="E146" s="131"/>
      <c r="F146" s="131"/>
      <c r="G146" s="53"/>
      <c r="H146" s="503"/>
      <c r="I146" s="53"/>
      <c r="J146" s="53"/>
      <c r="K146" s="53"/>
      <c r="L146" s="53"/>
      <c r="M146" s="53"/>
      <c r="N146" s="15">
        <f>N144</f>
        <v>53.594999999999999</v>
      </c>
      <c r="O146" s="25">
        <f>N146/N148</f>
        <v>1</v>
      </c>
    </row>
    <row r="147" spans="1:16" s="132" customFormat="1" ht="12.75" customHeight="1" x14ac:dyDescent="0.2">
      <c r="B147" s="133"/>
      <c r="C147" s="487"/>
      <c r="D147" s="487"/>
      <c r="E147" s="487"/>
      <c r="F147" s="487"/>
      <c r="G147" s="488"/>
      <c r="H147" s="508"/>
      <c r="I147" s="488"/>
      <c r="J147" s="488"/>
      <c r="K147" s="488"/>
      <c r="L147" s="488"/>
      <c r="M147" s="488"/>
      <c r="N147" s="83"/>
      <c r="O147" s="77"/>
    </row>
    <row r="148" spans="1:16" s="132" customFormat="1" ht="12.75" customHeight="1" x14ac:dyDescent="0.2">
      <c r="B148" s="133" t="s">
        <v>20</v>
      </c>
      <c r="C148" s="134"/>
      <c r="D148" s="134"/>
      <c r="E148" s="134"/>
      <c r="F148" s="134"/>
      <c r="G148" s="78"/>
      <c r="H148" s="504"/>
      <c r="I148" s="78"/>
      <c r="J148" s="78"/>
      <c r="K148" s="78"/>
      <c r="L148" s="78"/>
      <c r="M148" s="78"/>
      <c r="N148" s="83">
        <f>N146</f>
        <v>53.594999999999999</v>
      </c>
      <c r="O148" s="77">
        <f>N148/N157</f>
        <v>4.7601362333848349E-4</v>
      </c>
    </row>
    <row r="149" spans="1:16" ht="12.75" customHeight="1" x14ac:dyDescent="0.2">
      <c r="B149" s="130"/>
      <c r="G149" s="52"/>
      <c r="H149" s="501"/>
      <c r="I149" s="52"/>
      <c r="J149" s="52"/>
      <c r="K149" s="52"/>
      <c r="L149" s="52"/>
      <c r="M149" s="52"/>
      <c r="N149" s="15"/>
      <c r="O149" s="25"/>
    </row>
    <row r="150" spans="1:16" ht="12.75" customHeight="1" x14ac:dyDescent="0.2">
      <c r="A150" s="98" t="s">
        <v>546</v>
      </c>
      <c r="B150" s="88" t="s">
        <v>547</v>
      </c>
      <c r="G150" s="97"/>
      <c r="H150" s="502"/>
      <c r="I150" s="15"/>
      <c r="J150" s="15"/>
      <c r="K150" s="15"/>
      <c r="L150" s="15"/>
      <c r="M150" s="15"/>
      <c r="N150" s="15"/>
      <c r="O150" s="25"/>
    </row>
    <row r="151" spans="1:16" ht="12.75" customHeight="1" x14ac:dyDescent="0.2">
      <c r="A151" s="98" t="s">
        <v>548</v>
      </c>
      <c r="B151" s="88" t="s">
        <v>549</v>
      </c>
      <c r="G151" s="97" t="s">
        <v>32</v>
      </c>
      <c r="H151" s="502">
        <v>0.1</v>
      </c>
      <c r="I151" s="72">
        <v>459.85</v>
      </c>
      <c r="J151" s="72">
        <v>131.6</v>
      </c>
      <c r="K151" s="15">
        <f>J151*H151</f>
        <v>13.16</v>
      </c>
      <c r="L151" s="72">
        <v>328.25</v>
      </c>
      <c r="M151" s="15">
        <f>L151*H151</f>
        <v>32.825000000000003</v>
      </c>
      <c r="N151" s="15">
        <f>H151*I151</f>
        <v>45.985000000000007</v>
      </c>
      <c r="O151" s="25">
        <f>N151/N153</f>
        <v>1</v>
      </c>
    </row>
    <row r="152" spans="1:16" ht="12.75" customHeight="1" x14ac:dyDescent="0.2">
      <c r="B152" s="130"/>
      <c r="G152" s="52"/>
      <c r="H152" s="501"/>
      <c r="I152" s="52"/>
      <c r="J152" s="52"/>
      <c r="K152" s="52"/>
      <c r="L152" s="52"/>
      <c r="M152" s="52"/>
      <c r="N152" s="15"/>
      <c r="O152" s="25"/>
    </row>
    <row r="153" spans="1:16" ht="12.75" customHeight="1" x14ac:dyDescent="0.2">
      <c r="B153" s="130" t="s">
        <v>18</v>
      </c>
      <c r="C153" s="131"/>
      <c r="D153" s="131"/>
      <c r="E153" s="131"/>
      <c r="F153" s="131"/>
      <c r="G153" s="53"/>
      <c r="H153" s="503"/>
      <c r="I153" s="53"/>
      <c r="J153" s="53"/>
      <c r="K153" s="53"/>
      <c r="L153" s="53"/>
      <c r="M153" s="53"/>
      <c r="N153" s="15">
        <f>N151</f>
        <v>45.985000000000007</v>
      </c>
      <c r="O153" s="25">
        <f>N153/N155</f>
        <v>1</v>
      </c>
    </row>
    <row r="154" spans="1:16" ht="12.75" customHeight="1" x14ac:dyDescent="0.2">
      <c r="A154" s="98"/>
      <c r="B154" s="88"/>
      <c r="G154" s="97"/>
      <c r="H154" s="502"/>
      <c r="I154" s="15"/>
      <c r="J154" s="15"/>
      <c r="K154" s="15"/>
      <c r="L154" s="15"/>
      <c r="M154" s="15"/>
      <c r="N154" s="15"/>
      <c r="O154" s="25"/>
    </row>
    <row r="155" spans="1:16" s="132" customFormat="1" ht="12.75" customHeight="1" x14ac:dyDescent="0.2">
      <c r="A155" s="145"/>
      <c r="B155" s="133" t="s">
        <v>20</v>
      </c>
      <c r="C155" s="134"/>
      <c r="D155" s="134"/>
      <c r="E155" s="134"/>
      <c r="F155" s="134"/>
      <c r="G155" s="78"/>
      <c r="H155" s="504"/>
      <c r="I155" s="78"/>
      <c r="J155" s="78"/>
      <c r="K155" s="78"/>
      <c r="L155" s="78"/>
      <c r="M155" s="78"/>
      <c r="N155" s="83">
        <f>N153</f>
        <v>45.985000000000007</v>
      </c>
      <c r="O155" s="77">
        <f>N155/$N$157</f>
        <v>4.0842404084747021E-4</v>
      </c>
    </row>
    <row r="156" spans="1:16" ht="7.5" customHeight="1" x14ac:dyDescent="0.2">
      <c r="A156" s="98"/>
      <c r="B156" s="88"/>
      <c r="G156" s="97"/>
      <c r="H156" s="15"/>
      <c r="I156" s="15"/>
      <c r="J156" s="15"/>
      <c r="K156" s="15"/>
      <c r="L156" s="15"/>
      <c r="M156" s="15"/>
      <c r="N156" s="15"/>
      <c r="O156" s="25"/>
    </row>
    <row r="157" spans="1:16" ht="12.75" customHeight="1" x14ac:dyDescent="0.2">
      <c r="A157" s="146"/>
      <c r="B157" s="147" t="s">
        <v>30</v>
      </c>
      <c r="C157" s="146"/>
      <c r="D157" s="146"/>
      <c r="E157" s="146"/>
      <c r="F157" s="146"/>
      <c r="G157" s="146"/>
      <c r="H157" s="148"/>
      <c r="I157" s="146"/>
      <c r="J157" s="146"/>
      <c r="K157" s="207">
        <f>SUM(K14:K156)</f>
        <v>47304.476400000014</v>
      </c>
      <c r="L157" s="460"/>
      <c r="M157" s="207">
        <f>SUM(M14:M156)</f>
        <v>65286.839</v>
      </c>
      <c r="N157" s="276">
        <f>N28+N60+N69+N77+N132+N155+N148+N140</f>
        <v>112591.31540000001</v>
      </c>
      <c r="O157" s="460"/>
      <c r="P157" s="149"/>
    </row>
    <row r="158" spans="1:16" ht="7.5" customHeight="1" x14ac:dyDescent="0.2">
      <c r="A158" s="98"/>
      <c r="B158" s="88"/>
      <c r="G158" s="97"/>
      <c r="H158" s="15"/>
      <c r="I158" s="15"/>
      <c r="J158" s="15"/>
      <c r="K158" s="15"/>
      <c r="L158" s="15"/>
      <c r="M158" s="15"/>
      <c r="N158" s="15"/>
      <c r="O158" s="25"/>
    </row>
    <row r="159" spans="1:16" ht="12.75" customHeight="1" x14ac:dyDescent="0.2">
      <c r="A159" s="146"/>
      <c r="B159" s="147" t="s">
        <v>265</v>
      </c>
      <c r="C159" s="146"/>
      <c r="D159" s="146"/>
      <c r="E159" s="146"/>
      <c r="F159" s="146"/>
      <c r="G159" s="146"/>
      <c r="H159" s="148"/>
      <c r="I159" s="146"/>
      <c r="J159" s="146"/>
      <c r="K159" s="207">
        <f>K157+(K157*O5)</f>
        <v>60351.050991120021</v>
      </c>
      <c r="L159" s="460"/>
      <c r="M159" s="207">
        <f>M157+(M157*O7)</f>
        <v>76855.666870799992</v>
      </c>
      <c r="N159" s="276">
        <f>K159+M159</f>
        <v>137206.71786192001</v>
      </c>
      <c r="O159" s="29">
        <f>N159/RESUMO!H95</f>
        <v>1.8947319575781527E-2</v>
      </c>
      <c r="P159" s="149"/>
    </row>
    <row r="163" spans="1:15" s="150" customFormat="1" ht="12.75" customHeight="1" x14ac:dyDescent="0.2">
      <c r="A163" s="51"/>
      <c r="B163" s="51"/>
      <c r="C163" s="51"/>
      <c r="D163" s="51"/>
      <c r="E163" s="51"/>
      <c r="F163" s="51"/>
      <c r="G163" s="51"/>
      <c r="H163" s="51"/>
      <c r="I163" s="51"/>
      <c r="J163" s="51"/>
      <c r="K163" s="51"/>
      <c r="L163" s="51"/>
      <c r="M163" s="51"/>
      <c r="N163" s="51"/>
      <c r="O163" s="51"/>
    </row>
    <row r="164" spans="1:15" s="150" customFormat="1" ht="12.75" customHeight="1" x14ac:dyDescent="0.2">
      <c r="A164" s="51"/>
      <c r="B164" s="51"/>
      <c r="C164" s="51"/>
      <c r="D164" s="51"/>
      <c r="E164" s="51"/>
      <c r="F164" s="51"/>
      <c r="G164" s="51"/>
      <c r="H164" s="51"/>
      <c r="I164" s="51"/>
      <c r="J164" s="51"/>
      <c r="K164" s="51"/>
      <c r="L164" s="51"/>
      <c r="M164" s="589">
        <f>K157+M157</f>
        <v>112591.31540000002</v>
      </c>
      <c r="N164" s="51"/>
      <c r="O164" s="51"/>
    </row>
    <row r="167" spans="1:15" ht="12.75" customHeight="1" x14ac:dyDescent="0.2">
      <c r="M167" s="587"/>
    </row>
    <row r="171" spans="1:15" ht="12.75" customHeight="1" x14ac:dyDescent="0.2">
      <c r="A171" s="88"/>
      <c r="C171" s="184"/>
      <c r="D171" s="184"/>
      <c r="E171" s="184"/>
      <c r="F171" s="184"/>
      <c r="G171" s="184"/>
      <c r="H171" s="184"/>
      <c r="I171" s="184"/>
      <c r="J171" s="184"/>
      <c r="K171" s="184"/>
      <c r="L171" s="184"/>
      <c r="M171" s="184"/>
      <c r="N171" s="184"/>
      <c r="O171" s="459"/>
    </row>
  </sheetData>
  <mergeCells count="4">
    <mergeCell ref="A2:O2"/>
    <mergeCell ref="N4:O4"/>
    <mergeCell ref="A5:B6"/>
    <mergeCell ref="B31:F31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legacyDrawingHF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>
    <tabColor theme="6" tint="0.39997558519241921"/>
    <pageSetUpPr fitToPage="1"/>
  </sheetPr>
  <dimension ref="A1:R156"/>
  <sheetViews>
    <sheetView view="pageBreakPreview" zoomScale="85" zoomScaleNormal="90" zoomScaleSheetLayoutView="85" workbookViewId="0">
      <selection activeCell="R26" sqref="R26"/>
    </sheetView>
  </sheetViews>
  <sheetFormatPr defaultColWidth="11.42578125" defaultRowHeight="12.75" customHeight="1" x14ac:dyDescent="0.2"/>
  <cols>
    <col min="1" max="5" width="11.42578125" style="51" customWidth="1"/>
    <col min="6" max="6" width="28.5703125" style="51" customWidth="1"/>
    <col min="7" max="9" width="11.42578125" style="51" customWidth="1"/>
    <col min="10" max="10" width="7.42578125" style="51" hidden="1" customWidth="1"/>
    <col min="11" max="11" width="14.28515625" style="51" customWidth="1"/>
    <col min="12" max="12" width="8.85546875" style="51" hidden="1" customWidth="1"/>
    <col min="13" max="13" width="14.28515625" style="51" customWidth="1"/>
    <col min="14" max="14" width="17.140625" style="51" customWidth="1"/>
    <col min="15" max="15" width="11.42578125" style="51" customWidth="1"/>
    <col min="16" max="16" width="6.140625" style="51" bestFit="1" customWidth="1"/>
    <col min="17" max="16384" width="11.42578125" style="51"/>
  </cols>
  <sheetData>
    <row r="1" spans="1:15" ht="7.5" customHeight="1" x14ac:dyDescent="0.2"/>
    <row r="2" spans="1:15" ht="12.75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5" ht="7.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</row>
    <row r="4" spans="1:15" ht="12.75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5" ht="12.75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5" ht="12.75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5" ht="12.75" customHeight="1" x14ac:dyDescent="0.2">
      <c r="A7" s="253"/>
      <c r="B7" s="253"/>
      <c r="C7" s="260" t="s">
        <v>6</v>
      </c>
      <c r="D7" s="263" t="str">
        <f>RESUMO!A74</f>
        <v>U.C. : 14</v>
      </c>
      <c r="E7" s="258"/>
      <c r="F7" s="258"/>
      <c r="G7" s="260" t="s">
        <v>9</v>
      </c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5" ht="12.75" customHeight="1" thickBot="1" x14ac:dyDescent="0.25">
      <c r="A8" s="124"/>
      <c r="B8" s="125"/>
      <c r="C8" s="266" t="s">
        <v>8</v>
      </c>
      <c r="D8" s="267" t="str">
        <f>RESUMO!B74</f>
        <v>ESTAÇÃO ELEVATÓRIA DE ESGOTO - EEE01</v>
      </c>
      <c r="E8" s="268"/>
      <c r="F8" s="268"/>
      <c r="G8" s="266"/>
      <c r="H8" s="123"/>
      <c r="I8" s="278"/>
      <c r="J8" s="278"/>
      <c r="K8" s="278"/>
      <c r="L8" s="278"/>
      <c r="M8" s="278"/>
      <c r="N8" s="271"/>
      <c r="O8" s="268"/>
    </row>
    <row r="9" spans="1:15" ht="12.75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5" ht="7.5" customHeight="1" x14ac:dyDescent="0.2">
      <c r="O10" s="61"/>
    </row>
    <row r="11" spans="1:15" ht="12.75" customHeight="1" x14ac:dyDescent="0.2">
      <c r="A11" s="93">
        <f>RESUMO!A77</f>
        <v>3</v>
      </c>
      <c r="B11" s="93" t="str">
        <f>RESUMO!B77</f>
        <v>INTERLIGAÇÕES - SERVIÇOS</v>
      </c>
      <c r="H11" s="491"/>
      <c r="O11" s="61"/>
    </row>
    <row r="12" spans="1:15" ht="12.75" customHeight="1" x14ac:dyDescent="0.2">
      <c r="A12" s="129" t="s">
        <v>48</v>
      </c>
      <c r="B12" s="88" t="s">
        <v>16</v>
      </c>
      <c r="H12" s="491"/>
      <c r="O12" s="61"/>
    </row>
    <row r="13" spans="1:15" ht="12.75" customHeight="1" x14ac:dyDescent="0.2">
      <c r="A13" s="129" t="s">
        <v>79</v>
      </c>
      <c r="B13" s="88" t="s">
        <v>80</v>
      </c>
      <c r="H13" s="491"/>
      <c r="O13" s="61"/>
    </row>
    <row r="14" spans="1:15" ht="12.75" customHeight="1" x14ac:dyDescent="0.2">
      <c r="A14" s="129" t="s">
        <v>209</v>
      </c>
      <c r="B14" s="88" t="s">
        <v>210</v>
      </c>
      <c r="G14" s="97" t="s">
        <v>17</v>
      </c>
      <c r="H14" s="502">
        <v>19.3</v>
      </c>
      <c r="I14" s="72">
        <f>VLOOKUP(A14,'[1]TAB OGU JUN18'!$A:$G,6,"falso")</f>
        <v>1.2</v>
      </c>
      <c r="J14" s="72">
        <f>VLOOKUP(A14,'[1]TAB OGU JUN18'!$A:$G,4,"falso")</f>
        <v>0.82</v>
      </c>
      <c r="K14" s="15">
        <f>H14*J14</f>
        <v>15.826000000000001</v>
      </c>
      <c r="L14" s="72">
        <f>VLOOKUP(A14,'[1]TAB OGU JUN18'!$A:$G,5,"falso")</f>
        <v>0.38</v>
      </c>
      <c r="M14" s="15">
        <f>H14*L14</f>
        <v>7.3340000000000005</v>
      </c>
      <c r="N14" s="15">
        <f>H14*I14</f>
        <v>23.16</v>
      </c>
      <c r="O14" s="25">
        <f>(N14*1)/$N$17</f>
        <v>1</v>
      </c>
    </row>
    <row r="15" spans="1:15" ht="12.75" customHeight="1" x14ac:dyDescent="0.2">
      <c r="A15" s="98"/>
      <c r="B15" s="88" t="s">
        <v>211</v>
      </c>
      <c r="G15" s="97"/>
      <c r="H15" s="502"/>
      <c r="I15" s="15"/>
      <c r="J15" s="15"/>
      <c r="K15" s="15"/>
      <c r="L15" s="72"/>
      <c r="M15" s="15"/>
      <c r="N15" s="15"/>
      <c r="O15" s="25"/>
    </row>
    <row r="16" spans="1:15" ht="12.75" customHeight="1" x14ac:dyDescent="0.2">
      <c r="G16" s="52"/>
      <c r="H16" s="501"/>
      <c r="I16" s="52"/>
      <c r="J16" s="52"/>
      <c r="K16" s="52"/>
      <c r="L16" s="52"/>
      <c r="M16" s="52"/>
      <c r="N16" s="456"/>
      <c r="O16" s="25"/>
    </row>
    <row r="17" spans="1:18" ht="12.75" customHeight="1" x14ac:dyDescent="0.2">
      <c r="B17" s="130" t="s">
        <v>18</v>
      </c>
      <c r="C17" s="131"/>
      <c r="D17" s="131"/>
      <c r="E17" s="131"/>
      <c r="F17" s="131"/>
      <c r="G17" s="53"/>
      <c r="H17" s="503"/>
      <c r="I17" s="53"/>
      <c r="J17" s="53"/>
      <c r="K17" s="53"/>
      <c r="L17" s="53"/>
      <c r="M17" s="53"/>
      <c r="N17" s="15">
        <f>SUM(N14)</f>
        <v>23.16</v>
      </c>
      <c r="O17" s="25">
        <f>N17/N24</f>
        <v>0.74999999999999989</v>
      </c>
    </row>
    <row r="18" spans="1:18" ht="12.75" customHeight="1" x14ac:dyDescent="0.2">
      <c r="B18" s="130"/>
      <c r="G18" s="52"/>
      <c r="H18" s="501"/>
      <c r="I18" s="52"/>
      <c r="J18" s="52"/>
      <c r="K18" s="52"/>
      <c r="L18" s="52"/>
      <c r="M18" s="52"/>
      <c r="N18" s="15"/>
      <c r="O18" s="25"/>
    </row>
    <row r="19" spans="1:18" ht="12" customHeight="1" x14ac:dyDescent="0.2">
      <c r="A19" s="98" t="s">
        <v>779</v>
      </c>
      <c r="B19" s="88" t="s">
        <v>780</v>
      </c>
      <c r="G19" s="52"/>
      <c r="H19" s="506"/>
      <c r="I19" s="324"/>
      <c r="J19" s="313"/>
      <c r="K19" s="313"/>
      <c r="L19" s="313"/>
      <c r="M19" s="313"/>
      <c r="N19" s="313"/>
      <c r="O19" s="19"/>
      <c r="Q19" s="311"/>
    </row>
    <row r="20" spans="1:18" ht="12" customHeight="1" x14ac:dyDescent="0.2">
      <c r="A20" s="98" t="s">
        <v>782</v>
      </c>
      <c r="B20" s="88" t="s">
        <v>781</v>
      </c>
      <c r="G20" s="97" t="s">
        <v>17</v>
      </c>
      <c r="H20" s="495">
        <f>H14</f>
        <v>19.3</v>
      </c>
      <c r="I20" s="323">
        <f>VLOOKUP(A20,'[1]TAB OGU JUN18'!$A:$G,6,"falso")</f>
        <v>0.4</v>
      </c>
      <c r="J20" s="323">
        <f>VLOOKUP(A20,'[1]TAB OGU JUN18'!$A:$G,4,"falso")</f>
        <v>0.4</v>
      </c>
      <c r="K20" s="308">
        <f>H20*J20</f>
        <v>7.7200000000000006</v>
      </c>
      <c r="L20" s="323">
        <f>VLOOKUP(A20,'[1]TAB OGU JUN18'!$A:$G,5,"falso")</f>
        <v>0</v>
      </c>
      <c r="M20" s="308"/>
      <c r="N20" s="308">
        <f>H20*I20</f>
        <v>7.7200000000000006</v>
      </c>
      <c r="O20" s="25">
        <f>N20/N22</f>
        <v>1</v>
      </c>
      <c r="Q20" s="311"/>
    </row>
    <row r="21" spans="1:18" ht="12" customHeight="1" x14ac:dyDescent="0.2">
      <c r="G21" s="52"/>
      <c r="H21" s="506"/>
      <c r="I21" s="324"/>
      <c r="J21" s="313"/>
      <c r="K21" s="313"/>
      <c r="L21" s="313"/>
      <c r="M21" s="313"/>
      <c r="N21" s="313"/>
      <c r="O21" s="19"/>
      <c r="Q21" s="311"/>
    </row>
    <row r="22" spans="1:18" ht="12" customHeight="1" x14ac:dyDescent="0.2">
      <c r="B22" s="130" t="s">
        <v>18</v>
      </c>
      <c r="C22" s="131"/>
      <c r="D22" s="131"/>
      <c r="E22" s="131"/>
      <c r="F22" s="131"/>
      <c r="G22" s="53"/>
      <c r="H22" s="507"/>
      <c r="I22" s="325"/>
      <c r="J22" s="326"/>
      <c r="K22" s="326"/>
      <c r="L22" s="326"/>
      <c r="M22" s="326"/>
      <c r="N22" s="308">
        <f>N20</f>
        <v>7.7200000000000006</v>
      </c>
      <c r="O22" s="25">
        <f>N22/N24</f>
        <v>0.25</v>
      </c>
      <c r="Q22" s="311"/>
    </row>
    <row r="23" spans="1:18" ht="12" customHeight="1" x14ac:dyDescent="0.2">
      <c r="B23" s="130"/>
      <c r="G23" s="52"/>
      <c r="H23" s="506"/>
      <c r="I23" s="324"/>
      <c r="J23" s="313"/>
      <c r="K23" s="313"/>
      <c r="L23" s="313"/>
      <c r="M23" s="313"/>
      <c r="N23" s="308"/>
      <c r="O23" s="25"/>
      <c r="Q23" s="311"/>
    </row>
    <row r="24" spans="1:18" s="132" customFormat="1" ht="12.75" customHeight="1" x14ac:dyDescent="0.2">
      <c r="B24" s="133" t="s">
        <v>20</v>
      </c>
      <c r="C24" s="134"/>
      <c r="D24" s="134"/>
      <c r="E24" s="134"/>
      <c r="F24" s="134"/>
      <c r="G24" s="78"/>
      <c r="H24" s="504"/>
      <c r="I24" s="78"/>
      <c r="J24" s="78"/>
      <c r="K24" s="78"/>
      <c r="L24" s="78"/>
      <c r="M24" s="78"/>
      <c r="N24" s="83">
        <f>N17+N22</f>
        <v>30.880000000000003</v>
      </c>
      <c r="O24" s="77">
        <f>N24/N142</f>
        <v>3.3651614226328E-3</v>
      </c>
    </row>
    <row r="25" spans="1:18" ht="12.75" customHeight="1" x14ac:dyDescent="0.2">
      <c r="B25" s="130"/>
      <c r="G25" s="52"/>
      <c r="H25" s="501"/>
      <c r="I25" s="52"/>
      <c r="J25" s="52"/>
      <c r="K25" s="52"/>
      <c r="L25" s="52"/>
      <c r="M25" s="52"/>
      <c r="N25" s="15"/>
      <c r="O25" s="25"/>
    </row>
    <row r="26" spans="1:18" ht="12.75" customHeight="1" x14ac:dyDescent="0.2">
      <c r="A26" s="129" t="s">
        <v>93</v>
      </c>
      <c r="B26" s="88" t="s">
        <v>96</v>
      </c>
      <c r="H26" s="505"/>
      <c r="O26" s="61"/>
    </row>
    <row r="27" spans="1:18" ht="12.75" customHeight="1" x14ac:dyDescent="0.2">
      <c r="A27" s="129" t="s">
        <v>94</v>
      </c>
      <c r="B27" s="88" t="s">
        <v>97</v>
      </c>
      <c r="H27" s="505"/>
      <c r="O27" s="61"/>
    </row>
    <row r="28" spans="1:18" ht="12.75" customHeight="1" x14ac:dyDescent="0.2">
      <c r="A28" s="129" t="s">
        <v>95</v>
      </c>
      <c r="B28" s="88" t="s">
        <v>228</v>
      </c>
      <c r="G28" s="97" t="s">
        <v>32</v>
      </c>
      <c r="H28" s="502">
        <f>(H64*0.5)</f>
        <v>19.75</v>
      </c>
      <c r="I28" s="72">
        <f>VLOOKUP(A28,'[1]TAB OGU JUN18'!$A:$G,6,"falso")</f>
        <v>32.9</v>
      </c>
      <c r="J28" s="72">
        <f>VLOOKUP(A28,'[1]TAB OGU JUN18'!$A:$G,4,"falso")</f>
        <v>32.9</v>
      </c>
      <c r="K28" s="15">
        <f>H28*J28</f>
        <v>649.77499999999998</v>
      </c>
      <c r="L28" s="72">
        <f>VLOOKUP(A28,'[1]TAB OGU JUN18'!$A:$G,5,"falso")</f>
        <v>0</v>
      </c>
      <c r="M28" s="15"/>
      <c r="N28" s="15">
        <f>H28*I28</f>
        <v>649.77499999999998</v>
      </c>
      <c r="O28" s="25">
        <f>N28/N30</f>
        <v>1</v>
      </c>
    </row>
    <row r="29" spans="1:18" ht="12.75" customHeight="1" x14ac:dyDescent="0.2">
      <c r="G29" s="52"/>
      <c r="H29" s="501"/>
      <c r="I29" s="52"/>
      <c r="J29" s="52"/>
      <c r="K29" s="52"/>
      <c r="L29" s="52"/>
      <c r="M29" s="52"/>
      <c r="N29" s="456"/>
      <c r="O29" s="25"/>
    </row>
    <row r="30" spans="1:18" ht="12.75" customHeight="1" x14ac:dyDescent="0.2">
      <c r="B30" s="130" t="s">
        <v>18</v>
      </c>
      <c r="C30" s="131"/>
      <c r="D30" s="131"/>
      <c r="E30" s="131"/>
      <c r="F30" s="131"/>
      <c r="G30" s="53"/>
      <c r="H30" s="503"/>
      <c r="I30" s="53"/>
      <c r="J30" s="53"/>
      <c r="K30" s="53"/>
      <c r="L30" s="53"/>
      <c r="M30" s="53"/>
      <c r="N30" s="15">
        <f>SUM(N28:N28)</f>
        <v>649.77499999999998</v>
      </c>
      <c r="O30" s="25">
        <f>N30/N52</f>
        <v>0.54793858759893144</v>
      </c>
    </row>
    <row r="31" spans="1:18" ht="12.75" customHeight="1" x14ac:dyDescent="0.2">
      <c r="B31" s="130"/>
      <c r="G31" s="52"/>
      <c r="H31" s="501"/>
      <c r="I31" s="52"/>
      <c r="J31" s="52"/>
      <c r="K31" s="52"/>
      <c r="L31" s="52"/>
      <c r="M31" s="52"/>
      <c r="N31" s="15"/>
      <c r="O31" s="25"/>
    </row>
    <row r="32" spans="1:18" ht="12.75" customHeight="1" x14ac:dyDescent="0.2">
      <c r="A32" s="98" t="s">
        <v>101</v>
      </c>
      <c r="B32" s="88" t="s">
        <v>21</v>
      </c>
      <c r="G32" s="97"/>
      <c r="H32" s="502"/>
      <c r="I32" s="15"/>
      <c r="J32" s="15"/>
      <c r="K32" s="15"/>
      <c r="L32" s="15"/>
      <c r="M32" s="15"/>
      <c r="N32" s="15"/>
      <c r="O32" s="25"/>
      <c r="R32" s="61" t="s">
        <v>1409</v>
      </c>
    </row>
    <row r="33" spans="1:15" ht="12.75" customHeight="1" x14ac:dyDescent="0.2">
      <c r="A33" s="98" t="s">
        <v>102</v>
      </c>
      <c r="B33" s="88" t="s">
        <v>104</v>
      </c>
      <c r="G33" s="97" t="s">
        <v>32</v>
      </c>
      <c r="H33" s="502">
        <f>H28-((PI()*0.15^2/4)*H64)</f>
        <v>19.051977382280519</v>
      </c>
      <c r="I33" s="72">
        <f>VLOOKUP(A33,'[1]TAB OGU JUN18'!$A:$G,6,"falso")</f>
        <v>7.4</v>
      </c>
      <c r="J33" s="72">
        <f>VLOOKUP(A33,'[1]TAB OGU JUN18'!$A:$G,4,"falso")</f>
        <v>7.4</v>
      </c>
      <c r="K33" s="15">
        <f>H33*J33</f>
        <v>140.98463262887586</v>
      </c>
      <c r="L33" s="72">
        <f>VLOOKUP(A33,'[1]TAB OGU JUN18'!$A:$G,5,"falso")</f>
        <v>0</v>
      </c>
      <c r="M33" s="15"/>
      <c r="N33" s="15">
        <f>H33*I33</f>
        <v>140.98463262887586</v>
      </c>
      <c r="O33" s="25">
        <f>N33/N35</f>
        <v>1</v>
      </c>
    </row>
    <row r="34" spans="1:15" ht="12.75" customHeight="1" x14ac:dyDescent="0.2">
      <c r="B34" s="130"/>
      <c r="G34" s="52"/>
      <c r="H34" s="501"/>
      <c r="I34" s="52"/>
      <c r="J34" s="52"/>
      <c r="K34" s="52"/>
      <c r="L34" s="52"/>
      <c r="M34" s="52"/>
      <c r="N34" s="15"/>
      <c r="O34" s="25"/>
    </row>
    <row r="35" spans="1:15" ht="12.75" customHeight="1" x14ac:dyDescent="0.2">
      <c r="B35" s="130" t="s">
        <v>18</v>
      </c>
      <c r="C35" s="131"/>
      <c r="D35" s="131"/>
      <c r="E35" s="131"/>
      <c r="F35" s="131"/>
      <c r="G35" s="53"/>
      <c r="H35" s="503"/>
      <c r="I35" s="53"/>
      <c r="J35" s="53"/>
      <c r="K35" s="53"/>
      <c r="L35" s="53"/>
      <c r="M35" s="53"/>
      <c r="N35" s="15">
        <f>N33</f>
        <v>140.98463262887586</v>
      </c>
      <c r="O35" s="25">
        <f>N35/N52</f>
        <v>0.11888872375179171</v>
      </c>
    </row>
    <row r="36" spans="1:15" ht="12.75" customHeight="1" x14ac:dyDescent="0.2">
      <c r="B36" s="130"/>
      <c r="G36" s="52"/>
      <c r="H36" s="501"/>
      <c r="I36" s="52"/>
      <c r="J36" s="52"/>
      <c r="K36" s="52"/>
      <c r="L36" s="52"/>
      <c r="M36" s="52"/>
      <c r="N36" s="15"/>
      <c r="O36" s="25"/>
    </row>
    <row r="37" spans="1:15" ht="12.75" customHeight="1" x14ac:dyDescent="0.2">
      <c r="A37" s="98" t="s">
        <v>106</v>
      </c>
      <c r="B37" s="88" t="s">
        <v>109</v>
      </c>
      <c r="G37" s="97"/>
      <c r="H37" s="502"/>
      <c r="I37" s="15"/>
      <c r="J37" s="15"/>
      <c r="K37" s="15"/>
      <c r="L37" s="15"/>
      <c r="M37" s="15"/>
      <c r="N37" s="15"/>
      <c r="O37" s="25"/>
    </row>
    <row r="38" spans="1:15" ht="12.75" customHeight="1" x14ac:dyDescent="0.2">
      <c r="A38" s="98" t="s">
        <v>107</v>
      </c>
      <c r="B38" s="88" t="s">
        <v>104</v>
      </c>
      <c r="G38" s="97" t="s">
        <v>32</v>
      </c>
      <c r="H38" s="502">
        <f>H33</f>
        <v>19.051977382280519</v>
      </c>
      <c r="I38" s="72">
        <f>VLOOKUP(A38,'[1]TAB OGU JUN18'!$A:$G,6,"falso")</f>
        <v>20.56</v>
      </c>
      <c r="J38" s="72">
        <f>VLOOKUP(A38,'[1]TAB OGU JUN18'!$A:$G,4,"falso")</f>
        <v>20.56</v>
      </c>
      <c r="K38" s="15">
        <f>H38*J38</f>
        <v>391.70865497968742</v>
      </c>
      <c r="L38" s="72">
        <f>VLOOKUP(A38,'[1]TAB OGU JUN18'!$A:$G,5,"falso")</f>
        <v>0</v>
      </c>
      <c r="M38" s="15"/>
      <c r="N38" s="15">
        <f>H38*I38</f>
        <v>391.70865497968742</v>
      </c>
      <c r="O38" s="25">
        <f>N38/N40</f>
        <v>1</v>
      </c>
    </row>
    <row r="39" spans="1:15" ht="12.75" customHeight="1" x14ac:dyDescent="0.2">
      <c r="B39" s="130"/>
      <c r="G39" s="52"/>
      <c r="H39" s="501"/>
      <c r="I39" s="52"/>
      <c r="J39" s="52"/>
      <c r="K39" s="52"/>
      <c r="L39" s="52"/>
      <c r="M39" s="52"/>
      <c r="N39" s="15"/>
      <c r="O39" s="25"/>
    </row>
    <row r="40" spans="1:15" ht="12.75" customHeight="1" x14ac:dyDescent="0.2">
      <c r="B40" s="130" t="s">
        <v>18</v>
      </c>
      <c r="C40" s="131"/>
      <c r="D40" s="131"/>
      <c r="E40" s="131"/>
      <c r="F40" s="131"/>
      <c r="G40" s="53"/>
      <c r="H40" s="503"/>
      <c r="I40" s="53"/>
      <c r="J40" s="53"/>
      <c r="K40" s="53"/>
      <c r="L40" s="53"/>
      <c r="M40" s="53"/>
      <c r="N40" s="15">
        <f>N38</f>
        <v>391.70865497968742</v>
      </c>
      <c r="O40" s="25">
        <f>N40/N52</f>
        <v>0.330317859504978</v>
      </c>
    </row>
    <row r="41" spans="1:15" ht="12.75" customHeight="1" x14ac:dyDescent="0.2">
      <c r="B41" s="130"/>
      <c r="G41" s="52"/>
      <c r="H41" s="501"/>
      <c r="I41" s="52"/>
      <c r="J41" s="52"/>
      <c r="K41" s="52"/>
      <c r="L41" s="52"/>
      <c r="M41" s="52"/>
      <c r="N41" s="15"/>
      <c r="O41" s="25"/>
    </row>
    <row r="42" spans="1:15" ht="12.75" customHeight="1" x14ac:dyDescent="0.2">
      <c r="A42" s="98" t="s">
        <v>110</v>
      </c>
      <c r="B42" s="88" t="s">
        <v>112</v>
      </c>
      <c r="G42" s="52"/>
      <c r="H42" s="501"/>
      <c r="I42" s="52"/>
      <c r="J42" s="52"/>
      <c r="K42" s="52"/>
      <c r="L42" s="52"/>
      <c r="M42" s="52"/>
      <c r="N42" s="52"/>
      <c r="O42" s="19"/>
    </row>
    <row r="43" spans="1:15" ht="12.75" customHeight="1" x14ac:dyDescent="0.2">
      <c r="A43" s="98" t="s">
        <v>111</v>
      </c>
      <c r="B43" s="88" t="s">
        <v>113</v>
      </c>
      <c r="G43" s="97" t="s">
        <v>32</v>
      </c>
      <c r="H43" s="502">
        <f>H28-H33</f>
        <v>0.69802261771948082</v>
      </c>
      <c r="I43" s="72">
        <f>VLOOKUP(A43,'[1]TAB OGU JUN18'!$A:$G,6,"falso")</f>
        <v>1.85</v>
      </c>
      <c r="J43" s="72">
        <f>VLOOKUP(A43,'[1]TAB OGU JUN18'!$A:$G,4,"falso")</f>
        <v>1.85</v>
      </c>
      <c r="K43" s="15">
        <f>H43*J43</f>
        <v>1.2913418427810395</v>
      </c>
      <c r="L43" s="72">
        <f>VLOOKUP(A43,'[1]TAB OGU JUN18'!$A:$G,5,"falso")</f>
        <v>0</v>
      </c>
      <c r="M43" s="15"/>
      <c r="N43" s="15">
        <f>H43*I43</f>
        <v>1.2913418427810395</v>
      </c>
      <c r="O43" s="25">
        <f>N43/N45</f>
        <v>1</v>
      </c>
    </row>
    <row r="44" spans="1:15" ht="12.75" customHeight="1" x14ac:dyDescent="0.2">
      <c r="G44" s="52"/>
      <c r="H44" s="501"/>
      <c r="I44" s="52"/>
      <c r="J44" s="52"/>
      <c r="K44" s="52"/>
      <c r="L44" s="52"/>
      <c r="M44" s="52"/>
      <c r="N44" s="52"/>
      <c r="O44" s="19"/>
    </row>
    <row r="45" spans="1:15" ht="12.75" customHeight="1" x14ac:dyDescent="0.2">
      <c r="B45" s="130" t="s">
        <v>18</v>
      </c>
      <c r="C45" s="131"/>
      <c r="D45" s="131"/>
      <c r="E45" s="131"/>
      <c r="F45" s="131"/>
      <c r="G45" s="53"/>
      <c r="H45" s="503"/>
      <c r="I45" s="53"/>
      <c r="J45" s="53"/>
      <c r="K45" s="53"/>
      <c r="L45" s="53"/>
      <c r="M45" s="53"/>
      <c r="N45" s="15">
        <f>N43</f>
        <v>1.2913418427810395</v>
      </c>
      <c r="O45" s="25">
        <f>N45/N52</f>
        <v>1.0889554467944198E-3</v>
      </c>
    </row>
    <row r="46" spans="1:15" ht="12.75" customHeight="1" x14ac:dyDescent="0.2">
      <c r="B46" s="130"/>
      <c r="G46" s="52"/>
      <c r="H46" s="501"/>
      <c r="I46" s="52"/>
      <c r="J46" s="52"/>
      <c r="K46" s="52"/>
      <c r="L46" s="52"/>
      <c r="M46" s="52"/>
      <c r="N46" s="15"/>
      <c r="O46" s="25"/>
    </row>
    <row r="47" spans="1:15" ht="12.75" customHeight="1" x14ac:dyDescent="0.2">
      <c r="A47" s="98" t="s">
        <v>114</v>
      </c>
      <c r="B47" s="88" t="s">
        <v>799</v>
      </c>
      <c r="G47" s="52"/>
      <c r="H47" s="501"/>
      <c r="I47" s="52"/>
      <c r="J47" s="52"/>
      <c r="K47" s="52"/>
      <c r="L47" s="52"/>
      <c r="M47" s="52"/>
      <c r="N47" s="52"/>
      <c r="O47" s="19"/>
    </row>
    <row r="48" spans="1:15" ht="12.75" customHeight="1" x14ac:dyDescent="0.2">
      <c r="A48" s="98" t="s">
        <v>115</v>
      </c>
      <c r="B48" s="88" t="s">
        <v>116</v>
      </c>
      <c r="G48" s="97" t="s">
        <v>180</v>
      </c>
      <c r="H48" s="502">
        <f>H43*3</f>
        <v>2.0940678531584425</v>
      </c>
      <c r="I48" s="72">
        <f>VLOOKUP(A48,'[1]TAB OGU JUN18'!$A:$G,6,"falso")</f>
        <v>1</v>
      </c>
      <c r="J48" s="72">
        <f>VLOOKUP(A48,'[1]TAB OGU JUN18'!$A:$G,4,"falso")</f>
        <v>1</v>
      </c>
      <c r="K48" s="15">
        <f>H48*J48</f>
        <v>2.0940678531584425</v>
      </c>
      <c r="L48" s="72">
        <f>VLOOKUP(A48,'[1]TAB OGU JUN18'!$A:$G,5,"falso")</f>
        <v>0</v>
      </c>
      <c r="M48" s="15"/>
      <c r="N48" s="15">
        <f>H48*I48</f>
        <v>2.0940678531584425</v>
      </c>
      <c r="O48" s="25">
        <f>N48/N50</f>
        <v>1</v>
      </c>
    </row>
    <row r="49" spans="1:15" ht="12.75" customHeight="1" x14ac:dyDescent="0.2">
      <c r="G49" s="52"/>
      <c r="H49" s="501"/>
      <c r="I49" s="52"/>
      <c r="J49" s="52"/>
      <c r="K49" s="52"/>
      <c r="L49" s="52"/>
      <c r="M49" s="52"/>
      <c r="N49" s="52"/>
      <c r="O49" s="19"/>
    </row>
    <row r="50" spans="1:15" ht="12.75" customHeight="1" x14ac:dyDescent="0.2">
      <c r="B50" s="130" t="s">
        <v>18</v>
      </c>
      <c r="C50" s="131"/>
      <c r="D50" s="131"/>
      <c r="E50" s="131"/>
      <c r="F50" s="131"/>
      <c r="G50" s="53"/>
      <c r="H50" s="503"/>
      <c r="I50" s="53"/>
      <c r="J50" s="53"/>
      <c r="K50" s="53"/>
      <c r="L50" s="53"/>
      <c r="M50" s="53"/>
      <c r="N50" s="15">
        <f>N48</f>
        <v>2.0940678531584425</v>
      </c>
      <c r="O50" s="25">
        <f>N50/N52</f>
        <v>1.7658736975044646E-3</v>
      </c>
    </row>
    <row r="51" spans="1:15" ht="12.75" customHeight="1" x14ac:dyDescent="0.2">
      <c r="B51" s="130"/>
      <c r="G51" s="52"/>
      <c r="H51" s="501"/>
      <c r="I51" s="52"/>
      <c r="J51" s="52"/>
      <c r="K51" s="52"/>
      <c r="L51" s="52"/>
      <c r="M51" s="52"/>
      <c r="N51" s="15"/>
      <c r="O51" s="25"/>
    </row>
    <row r="52" spans="1:15" s="132" customFormat="1" ht="12.75" customHeight="1" x14ac:dyDescent="0.2">
      <c r="B52" s="133" t="s">
        <v>20</v>
      </c>
      <c r="C52" s="134"/>
      <c r="D52" s="134"/>
      <c r="E52" s="134"/>
      <c r="F52" s="134"/>
      <c r="G52" s="78"/>
      <c r="H52" s="504"/>
      <c r="I52" s="78"/>
      <c r="J52" s="78"/>
      <c r="K52" s="78"/>
      <c r="L52" s="78"/>
      <c r="M52" s="78"/>
      <c r="N52" s="83">
        <f>N50+N45+N40+N35+N30</f>
        <v>1185.8536973045027</v>
      </c>
      <c r="O52" s="77">
        <f>N52/N142</f>
        <v>0.12922892211967571</v>
      </c>
    </row>
    <row r="53" spans="1:15" ht="12.75" customHeight="1" x14ac:dyDescent="0.2">
      <c r="B53" s="130"/>
      <c r="G53" s="52"/>
      <c r="H53" s="501"/>
      <c r="I53" s="52"/>
      <c r="J53" s="52"/>
      <c r="K53" s="52"/>
      <c r="L53" s="52"/>
      <c r="M53" s="52"/>
      <c r="N53" s="15"/>
      <c r="O53" s="25"/>
    </row>
    <row r="54" spans="1:15" ht="12.75" customHeight="1" x14ac:dyDescent="0.2">
      <c r="A54" s="129" t="s">
        <v>124</v>
      </c>
      <c r="B54" s="88" t="s">
        <v>121</v>
      </c>
      <c r="H54" s="505"/>
      <c r="O54" s="61"/>
    </row>
    <row r="55" spans="1:15" ht="12.75" customHeight="1" x14ac:dyDescent="0.2">
      <c r="A55" s="129" t="s">
        <v>125</v>
      </c>
      <c r="B55" s="88" t="s">
        <v>122</v>
      </c>
      <c r="H55" s="505"/>
      <c r="O55" s="61"/>
    </row>
    <row r="56" spans="1:15" ht="12.75" customHeight="1" x14ac:dyDescent="0.2">
      <c r="A56" s="129" t="s">
        <v>126</v>
      </c>
      <c r="B56" s="88" t="s">
        <v>189</v>
      </c>
      <c r="G56" s="97" t="s">
        <v>123</v>
      </c>
      <c r="H56" s="502">
        <f>(H28*0.06*1000)/20000</f>
        <v>5.9249999999999997E-2</v>
      </c>
      <c r="I56" s="72">
        <f>VLOOKUP(A56,'[1]TAB OGU JUN18'!$A:$G,6,"falso")</f>
        <v>5.52</v>
      </c>
      <c r="J56" s="72">
        <f>VLOOKUP(A56,'[1]TAB OGU JUN18'!$A:$G,4,"falso")</f>
        <v>5.52</v>
      </c>
      <c r="K56" s="15">
        <f>H56*J56</f>
        <v>0.32705999999999996</v>
      </c>
      <c r="L56" s="72">
        <f>VLOOKUP(A56,'[1]TAB OGU JUN18'!$A:$G,5,"falso")</f>
        <v>0</v>
      </c>
      <c r="M56" s="15"/>
      <c r="N56" s="15">
        <f>H56*I56</f>
        <v>0.32705999999999996</v>
      </c>
      <c r="O56" s="25">
        <f>N56/N58</f>
        <v>1</v>
      </c>
    </row>
    <row r="57" spans="1:15" ht="12.75" customHeight="1" x14ac:dyDescent="0.2">
      <c r="B57" s="130"/>
      <c r="G57" s="52"/>
      <c r="H57" s="501"/>
      <c r="I57" s="52"/>
      <c r="J57" s="52"/>
      <c r="K57" s="52"/>
      <c r="L57" s="52"/>
      <c r="M57" s="52"/>
      <c r="N57" s="15"/>
      <c r="O57" s="25"/>
    </row>
    <row r="58" spans="1:15" ht="12.75" customHeight="1" x14ac:dyDescent="0.2">
      <c r="B58" s="130" t="s">
        <v>18</v>
      </c>
      <c r="C58" s="131"/>
      <c r="D58" s="131"/>
      <c r="E58" s="131"/>
      <c r="F58" s="131"/>
      <c r="G58" s="53"/>
      <c r="H58" s="503"/>
      <c r="I58" s="53"/>
      <c r="J58" s="53"/>
      <c r="K58" s="53"/>
      <c r="L58" s="53"/>
      <c r="M58" s="53"/>
      <c r="N58" s="15">
        <f>N56</f>
        <v>0.32705999999999996</v>
      </c>
      <c r="O58" s="25">
        <f>N58/N60</f>
        <v>1</v>
      </c>
    </row>
    <row r="59" spans="1:15" ht="12.75" customHeight="1" x14ac:dyDescent="0.2">
      <c r="B59" s="130"/>
      <c r="G59" s="52"/>
      <c r="H59" s="501"/>
      <c r="I59" s="52"/>
      <c r="J59" s="52"/>
      <c r="K59" s="52"/>
      <c r="L59" s="52"/>
      <c r="M59" s="52"/>
      <c r="N59" s="15"/>
      <c r="O59" s="25"/>
    </row>
    <row r="60" spans="1:15" s="132" customFormat="1" ht="12.75" customHeight="1" x14ac:dyDescent="0.2">
      <c r="B60" s="133" t="s">
        <v>20</v>
      </c>
      <c r="C60" s="134"/>
      <c r="D60" s="134"/>
      <c r="E60" s="134"/>
      <c r="F60" s="134"/>
      <c r="G60" s="78"/>
      <c r="H60" s="504"/>
      <c r="I60" s="78"/>
      <c r="J60" s="78"/>
      <c r="K60" s="78"/>
      <c r="L60" s="78"/>
      <c r="M60" s="78"/>
      <c r="N60" s="83">
        <f>N58</f>
        <v>0.32705999999999996</v>
      </c>
      <c r="O60" s="77">
        <f>N60/N142</f>
        <v>3.5641505663415911E-5</v>
      </c>
    </row>
    <row r="61" spans="1:15" ht="12.75" customHeight="1" x14ac:dyDescent="0.2">
      <c r="B61" s="130"/>
      <c r="G61" s="52"/>
      <c r="H61" s="501"/>
      <c r="I61" s="52"/>
      <c r="J61" s="52"/>
      <c r="K61" s="52"/>
      <c r="L61" s="52"/>
      <c r="M61" s="52"/>
      <c r="N61" s="15"/>
      <c r="O61" s="25"/>
    </row>
    <row r="62" spans="1:15" ht="12.75" customHeight="1" x14ac:dyDescent="0.2">
      <c r="A62" s="129" t="s">
        <v>127</v>
      </c>
      <c r="B62" s="88" t="s">
        <v>130</v>
      </c>
      <c r="H62" s="505"/>
      <c r="O62" s="61"/>
    </row>
    <row r="63" spans="1:15" ht="12.75" customHeight="1" x14ac:dyDescent="0.2">
      <c r="A63" s="129" t="s">
        <v>128</v>
      </c>
      <c r="B63" s="88" t="s">
        <v>131</v>
      </c>
      <c r="H63" s="505"/>
      <c r="O63" s="61"/>
    </row>
    <row r="64" spans="1:15" ht="12.75" customHeight="1" x14ac:dyDescent="0.2">
      <c r="A64" s="129" t="s">
        <v>129</v>
      </c>
      <c r="B64" s="88" t="s">
        <v>132</v>
      </c>
      <c r="G64" s="97" t="s">
        <v>17</v>
      </c>
      <c r="H64" s="502">
        <v>39.5</v>
      </c>
      <c r="I64" s="72">
        <f>VLOOKUP(A64,'[1]TAB OGU JUN18'!$A:$G,6,"falso")</f>
        <v>2.64</v>
      </c>
      <c r="J64" s="72">
        <f>VLOOKUP(A64,'[1]TAB OGU JUN18'!$A:$G,4,"falso")</f>
        <v>2.56</v>
      </c>
      <c r="K64" s="15">
        <f>H64*J64</f>
        <v>101.12</v>
      </c>
      <c r="L64" s="72">
        <f>VLOOKUP(A64,'[1]TAB OGU JUN18'!$A:$G,5,"falso")</f>
        <v>0.08</v>
      </c>
      <c r="M64" s="15">
        <f>H64*L64</f>
        <v>3.16</v>
      </c>
      <c r="N64" s="15">
        <f>H64*I64</f>
        <v>104.28</v>
      </c>
      <c r="O64" s="25">
        <f>N64/N66</f>
        <v>1</v>
      </c>
    </row>
    <row r="65" spans="1:15" ht="12.75" customHeight="1" x14ac:dyDescent="0.2">
      <c r="B65" s="130"/>
      <c r="G65" s="52"/>
      <c r="H65" s="501"/>
      <c r="I65" s="52"/>
      <c r="J65" s="52"/>
      <c r="K65" s="52"/>
      <c r="L65" s="52"/>
      <c r="M65" s="52"/>
      <c r="N65" s="15"/>
      <c r="O65" s="25"/>
    </row>
    <row r="66" spans="1:15" ht="12.75" customHeight="1" x14ac:dyDescent="0.2">
      <c r="B66" s="130" t="s">
        <v>18</v>
      </c>
      <c r="C66" s="131"/>
      <c r="D66" s="131"/>
      <c r="E66" s="131"/>
      <c r="F66" s="131"/>
      <c r="G66" s="53"/>
      <c r="H66" s="503"/>
      <c r="I66" s="53"/>
      <c r="J66" s="53"/>
      <c r="K66" s="53"/>
      <c r="L66" s="53"/>
      <c r="M66" s="53"/>
      <c r="N66" s="15">
        <f>N64</f>
        <v>104.28</v>
      </c>
      <c r="O66" s="25">
        <f>N66/N88</f>
        <v>3.4543181088105238E-2</v>
      </c>
    </row>
    <row r="67" spans="1:15" ht="12.75" customHeight="1" x14ac:dyDescent="0.2">
      <c r="B67" s="130"/>
      <c r="G67" s="52"/>
      <c r="H67" s="501"/>
      <c r="I67" s="52"/>
      <c r="J67" s="52"/>
      <c r="K67" s="52"/>
      <c r="L67" s="52"/>
      <c r="M67" s="52"/>
      <c r="N67" s="15"/>
      <c r="O67" s="25"/>
    </row>
    <row r="68" spans="1:15" ht="12.75" hidden="1" customHeight="1" x14ac:dyDescent="0.2">
      <c r="A68" s="129" t="s">
        <v>800</v>
      </c>
      <c r="B68" s="88" t="s">
        <v>801</v>
      </c>
      <c r="H68" s="505"/>
      <c r="O68" s="61"/>
    </row>
    <row r="69" spans="1:15" ht="12.75" hidden="1" customHeight="1" x14ac:dyDescent="0.2">
      <c r="A69" s="129" t="s">
        <v>802</v>
      </c>
      <c r="B69" s="88" t="s">
        <v>182</v>
      </c>
      <c r="G69" s="97" t="s">
        <v>17</v>
      </c>
      <c r="H69" s="502">
        <v>0</v>
      </c>
      <c r="I69" s="72">
        <f>VLOOKUP(A69,'[1]TAB OGU JUN18'!$A:$G,6,"falso")</f>
        <v>4.08</v>
      </c>
      <c r="J69" s="72">
        <f>VLOOKUP(A69,'[1]TAB OGU JUN18'!$A:$G,4,"falso")</f>
        <v>4</v>
      </c>
      <c r="K69" s="15">
        <f>H69*J69</f>
        <v>0</v>
      </c>
      <c r="L69" s="72">
        <f>VLOOKUP(A69,'[1]TAB OGU JUN18'!$A:$G,5,"falso")</f>
        <v>0.08</v>
      </c>
      <c r="M69" s="15">
        <f>H69*L69</f>
        <v>0</v>
      </c>
      <c r="N69" s="15">
        <f>H69*I69</f>
        <v>0</v>
      </c>
      <c r="O69" s="25" t="e">
        <f>N69/N71</f>
        <v>#DIV/0!</v>
      </c>
    </row>
    <row r="70" spans="1:15" ht="12.75" hidden="1" customHeight="1" x14ac:dyDescent="0.2">
      <c r="B70" s="130"/>
      <c r="G70" s="52"/>
      <c r="H70" s="501"/>
      <c r="I70" s="52"/>
      <c r="J70" s="52"/>
      <c r="K70" s="52"/>
      <c r="L70" s="52"/>
      <c r="M70" s="52"/>
      <c r="N70" s="15"/>
      <c r="O70" s="25"/>
    </row>
    <row r="71" spans="1:15" ht="12.75" hidden="1" customHeight="1" x14ac:dyDescent="0.2">
      <c r="B71" s="130" t="s">
        <v>18</v>
      </c>
      <c r="C71" s="131"/>
      <c r="D71" s="131"/>
      <c r="E71" s="131"/>
      <c r="F71" s="131"/>
      <c r="G71" s="53"/>
      <c r="H71" s="503"/>
      <c r="I71" s="53"/>
      <c r="J71" s="53"/>
      <c r="K71" s="53"/>
      <c r="L71" s="53"/>
      <c r="M71" s="53"/>
      <c r="N71" s="15">
        <f>N69</f>
        <v>0</v>
      </c>
      <c r="O71" s="25">
        <f>N71/N88</f>
        <v>0</v>
      </c>
    </row>
    <row r="72" spans="1:15" ht="12.75" hidden="1" customHeight="1" x14ac:dyDescent="0.2">
      <c r="B72" s="130"/>
      <c r="G72" s="52"/>
      <c r="H72" s="501"/>
      <c r="I72" s="52"/>
      <c r="J72" s="52"/>
      <c r="K72" s="52"/>
      <c r="L72" s="52"/>
      <c r="M72" s="52"/>
      <c r="N72" s="15"/>
      <c r="O72" s="25"/>
    </row>
    <row r="73" spans="1:15" ht="12.75" customHeight="1" x14ac:dyDescent="0.2">
      <c r="A73" s="98" t="s">
        <v>139</v>
      </c>
      <c r="B73" s="88" t="s">
        <v>142</v>
      </c>
      <c r="G73" s="97"/>
      <c r="H73" s="502"/>
      <c r="I73" s="15"/>
      <c r="J73" s="15"/>
      <c r="K73" s="15"/>
      <c r="L73" s="15"/>
      <c r="M73" s="15"/>
      <c r="N73" s="15"/>
      <c r="O73" s="25"/>
    </row>
    <row r="74" spans="1:15" ht="12.75" customHeight="1" x14ac:dyDescent="0.2">
      <c r="A74" s="98" t="s">
        <v>140</v>
      </c>
      <c r="B74" s="88" t="s">
        <v>143</v>
      </c>
      <c r="G74" s="97" t="s">
        <v>24</v>
      </c>
      <c r="H74" s="502">
        <v>2</v>
      </c>
      <c r="I74" s="72">
        <f>VLOOKUP(A74,'[1]TAB OGU JUN18'!$A:$G,6,"falso")</f>
        <v>466.82</v>
      </c>
      <c r="J74" s="72">
        <f>VLOOKUP(A74,'[1]TAB OGU JUN18'!$A:$G,4,"falso")</f>
        <v>143.97</v>
      </c>
      <c r="K74" s="15">
        <f>H74*J74</f>
        <v>287.94</v>
      </c>
      <c r="L74" s="72">
        <f>VLOOKUP(A74,'[1]TAB OGU JUN18'!$A:$G,5,"falso")</f>
        <v>322.85000000000002</v>
      </c>
      <c r="M74" s="15">
        <f>H74*L74</f>
        <v>645.70000000000005</v>
      </c>
      <c r="N74" s="15">
        <f>H74*I74</f>
        <v>933.64</v>
      </c>
      <c r="O74" s="25">
        <f>N74/N76</f>
        <v>1</v>
      </c>
    </row>
    <row r="75" spans="1:15" ht="12.75" customHeight="1" x14ac:dyDescent="0.2">
      <c r="B75" s="130"/>
      <c r="G75" s="52"/>
      <c r="H75" s="501"/>
      <c r="I75" s="52"/>
      <c r="J75" s="52"/>
      <c r="K75" s="52"/>
      <c r="L75" s="52"/>
      <c r="M75" s="52"/>
      <c r="N75" s="15"/>
      <c r="O75" s="25"/>
    </row>
    <row r="76" spans="1:15" ht="12.75" customHeight="1" x14ac:dyDescent="0.2">
      <c r="B76" s="130" t="s">
        <v>18</v>
      </c>
      <c r="C76" s="131"/>
      <c r="D76" s="131"/>
      <c r="E76" s="131"/>
      <c r="F76" s="131"/>
      <c r="G76" s="53"/>
      <c r="H76" s="503"/>
      <c r="I76" s="53"/>
      <c r="J76" s="53"/>
      <c r="K76" s="53"/>
      <c r="L76" s="53"/>
      <c r="M76" s="53"/>
      <c r="N76" s="15">
        <f>N74</f>
        <v>933.64</v>
      </c>
      <c r="O76" s="25">
        <f>N76/N88</f>
        <v>0.30927210961928053</v>
      </c>
    </row>
    <row r="77" spans="1:15" ht="12.75" customHeight="1" x14ac:dyDescent="0.2">
      <c r="B77" s="130"/>
      <c r="C77" s="492"/>
      <c r="D77" s="492"/>
      <c r="E77" s="492"/>
      <c r="F77" s="492"/>
      <c r="G77" s="493"/>
      <c r="H77" s="509"/>
      <c r="I77" s="493"/>
      <c r="J77" s="493"/>
      <c r="K77" s="493"/>
      <c r="L77" s="493"/>
      <c r="M77" s="493"/>
      <c r="N77" s="15"/>
      <c r="O77" s="25"/>
    </row>
    <row r="78" spans="1:15" ht="12.75" customHeight="1" x14ac:dyDescent="0.2">
      <c r="A78" s="98" t="s">
        <v>1017</v>
      </c>
      <c r="B78" s="88" t="s">
        <v>1018</v>
      </c>
      <c r="G78" s="97"/>
      <c r="H78" s="502"/>
      <c r="I78" s="15"/>
      <c r="J78" s="15"/>
      <c r="K78" s="15"/>
      <c r="L78" s="15"/>
      <c r="M78" s="15"/>
      <c r="N78" s="15"/>
      <c r="O78" s="25"/>
    </row>
    <row r="79" spans="1:15" ht="12.75" customHeight="1" x14ac:dyDescent="0.2">
      <c r="A79" s="98" t="s">
        <v>1019</v>
      </c>
      <c r="B79" s="88" t="s">
        <v>1020</v>
      </c>
      <c r="G79" s="97" t="s">
        <v>24</v>
      </c>
      <c r="H79" s="502">
        <v>1</v>
      </c>
      <c r="I79" s="72">
        <f>VLOOKUP(A79,'[1]TAB OGU JUN18'!$A:$G,6,"falso")</f>
        <v>1668.88</v>
      </c>
      <c r="J79" s="72">
        <f>VLOOKUP(A79,'[1]TAB OGU JUN18'!$A:$G,4,"falso")</f>
        <v>583.24</v>
      </c>
      <c r="K79" s="15">
        <f>H79*J79</f>
        <v>583.24</v>
      </c>
      <c r="L79" s="72">
        <f>VLOOKUP(A79,'[1]TAB OGU JUN18'!$A:$G,5,"falso")</f>
        <v>1085.6400000000001</v>
      </c>
      <c r="M79" s="15">
        <f>H79*L79</f>
        <v>1085.6400000000001</v>
      </c>
      <c r="N79" s="15">
        <f>H79*I79</f>
        <v>1668.88</v>
      </c>
      <c r="O79" s="25">
        <f>N79/N81</f>
        <v>1</v>
      </c>
    </row>
    <row r="80" spans="1:15" ht="12.75" customHeight="1" x14ac:dyDescent="0.2">
      <c r="A80" s="98"/>
      <c r="B80" s="88"/>
      <c r="G80" s="97"/>
      <c r="H80" s="502"/>
      <c r="I80" s="15"/>
      <c r="J80" s="15"/>
      <c r="K80" s="15"/>
      <c r="L80" s="15"/>
      <c r="M80" s="15"/>
      <c r="N80" s="15"/>
      <c r="O80" s="25"/>
    </row>
    <row r="81" spans="1:17" ht="12.75" customHeight="1" x14ac:dyDescent="0.2">
      <c r="B81" s="130" t="s">
        <v>18</v>
      </c>
      <c r="C81" s="131"/>
      <c r="D81" s="131"/>
      <c r="E81" s="131"/>
      <c r="F81" s="131"/>
      <c r="G81" s="53"/>
      <c r="H81" s="503"/>
      <c r="I81" s="53"/>
      <c r="J81" s="53"/>
      <c r="K81" s="53"/>
      <c r="L81" s="53"/>
      <c r="M81" s="53"/>
      <c r="N81" s="15">
        <f>N79</f>
        <v>1668.88</v>
      </c>
      <c r="O81" s="25">
        <f>N81/N88</f>
        <v>0.55282339906326305</v>
      </c>
    </row>
    <row r="82" spans="1:17" ht="12.75" customHeight="1" x14ac:dyDescent="0.2">
      <c r="B82" s="130"/>
      <c r="G82" s="52"/>
      <c r="H82" s="501"/>
      <c r="I82" s="52"/>
      <c r="J82" s="52"/>
      <c r="K82" s="52"/>
      <c r="L82" s="52"/>
      <c r="M82" s="52"/>
      <c r="N82" s="15"/>
      <c r="O82" s="25"/>
      <c r="Q82" s="589"/>
    </row>
    <row r="83" spans="1:17" ht="12.75" customHeight="1" x14ac:dyDescent="0.2">
      <c r="A83" s="129" t="s">
        <v>145</v>
      </c>
      <c r="B83" s="88" t="s">
        <v>26</v>
      </c>
      <c r="H83" s="505"/>
      <c r="O83" s="61"/>
    </row>
    <row r="84" spans="1:17" ht="12.75" customHeight="1" x14ac:dyDescent="0.2">
      <c r="A84" s="129" t="s">
        <v>146</v>
      </c>
      <c r="B84" s="88" t="s">
        <v>147</v>
      </c>
      <c r="G84" s="97" t="s">
        <v>32</v>
      </c>
      <c r="H84" s="502">
        <f>H64*0.5*0.1</f>
        <v>1.9750000000000001</v>
      </c>
      <c r="I84" s="72">
        <f>VLOOKUP(A84,'[1]TAB OGU JUN18'!$A:$G,6,"falso")</f>
        <v>157.99</v>
      </c>
      <c r="J84" s="72">
        <f>VLOOKUP(A84,'[1]TAB OGU JUN18'!$A:$G,4,"falso")</f>
        <v>39.5</v>
      </c>
      <c r="K84" s="15">
        <f>H84*J84</f>
        <v>78.012500000000003</v>
      </c>
      <c r="L84" s="72">
        <f>VLOOKUP(A84,'[1]TAB OGU JUN18'!$A:$G,5,"falso")</f>
        <v>118.49</v>
      </c>
      <c r="M84" s="15">
        <f>H84*L84</f>
        <v>234.01775000000001</v>
      </c>
      <c r="N84" s="15">
        <f>H84*I84</f>
        <v>312.03025000000002</v>
      </c>
      <c r="O84" s="25">
        <f>N84/N86</f>
        <v>1</v>
      </c>
    </row>
    <row r="85" spans="1:17" ht="12.75" customHeight="1" x14ac:dyDescent="0.2">
      <c r="B85" s="130"/>
      <c r="G85" s="52"/>
      <c r="H85" s="501"/>
      <c r="I85" s="52"/>
      <c r="J85" s="52"/>
      <c r="K85" s="52"/>
      <c r="L85" s="52"/>
      <c r="M85" s="52"/>
      <c r="N85" s="15"/>
      <c r="O85" s="25"/>
    </row>
    <row r="86" spans="1:17" ht="12.75" customHeight="1" x14ac:dyDescent="0.2">
      <c r="B86" s="130" t="s">
        <v>18</v>
      </c>
      <c r="C86" s="131"/>
      <c r="D86" s="131"/>
      <c r="E86" s="131"/>
      <c r="F86" s="131"/>
      <c r="G86" s="53"/>
      <c r="H86" s="503"/>
      <c r="I86" s="53"/>
      <c r="J86" s="53"/>
      <c r="K86" s="53"/>
      <c r="L86" s="53"/>
      <c r="M86" s="53"/>
      <c r="N86" s="15">
        <f>N84</f>
        <v>312.03025000000002</v>
      </c>
      <c r="O86" s="25">
        <f>N86/N88</f>
        <v>0.10336131022935126</v>
      </c>
    </row>
    <row r="87" spans="1:17" ht="12.75" customHeight="1" x14ac:dyDescent="0.2">
      <c r="B87" s="130"/>
      <c r="G87" s="52"/>
      <c r="H87" s="501"/>
      <c r="I87" s="52"/>
      <c r="J87" s="52"/>
      <c r="K87" s="52"/>
      <c r="L87" s="52"/>
      <c r="M87" s="52"/>
      <c r="N87" s="15"/>
      <c r="O87" s="25"/>
    </row>
    <row r="88" spans="1:17" s="132" customFormat="1" ht="12.75" customHeight="1" x14ac:dyDescent="0.2">
      <c r="B88" s="133" t="s">
        <v>20</v>
      </c>
      <c r="C88" s="134"/>
      <c r="D88" s="134"/>
      <c r="E88" s="134"/>
      <c r="F88" s="134"/>
      <c r="G88" s="78"/>
      <c r="H88" s="504"/>
      <c r="I88" s="78"/>
      <c r="J88" s="78"/>
      <c r="K88" s="78"/>
      <c r="L88" s="78"/>
      <c r="M88" s="78"/>
      <c r="N88" s="83">
        <f>N86+N76+N66+N71+N81</f>
        <v>3018.83025</v>
      </c>
      <c r="O88" s="77">
        <f>N88/N142</f>
        <v>0.32897833869096277</v>
      </c>
    </row>
    <row r="89" spans="1:17" ht="12.75" customHeight="1" x14ac:dyDescent="0.2">
      <c r="B89" s="130"/>
      <c r="G89" s="52"/>
      <c r="H89" s="501"/>
      <c r="I89" s="52"/>
      <c r="J89" s="52"/>
      <c r="K89" s="52"/>
      <c r="L89" s="52"/>
      <c r="M89" s="52"/>
      <c r="N89" s="15"/>
      <c r="O89" s="25"/>
    </row>
    <row r="90" spans="1:17" ht="12.75" customHeight="1" x14ac:dyDescent="0.2">
      <c r="A90" s="98" t="s">
        <v>406</v>
      </c>
      <c r="B90" s="88" t="s">
        <v>407</v>
      </c>
      <c r="G90" s="52"/>
      <c r="H90" s="501"/>
      <c r="I90" s="52"/>
      <c r="J90" s="52"/>
      <c r="K90" s="52"/>
      <c r="L90" s="52"/>
      <c r="M90" s="52"/>
      <c r="N90" s="52"/>
      <c r="O90" s="19"/>
    </row>
    <row r="91" spans="1:17" ht="12.75" customHeight="1" x14ac:dyDescent="0.2">
      <c r="A91" s="98" t="s">
        <v>408</v>
      </c>
      <c r="B91" s="88" t="s">
        <v>409</v>
      </c>
      <c r="G91" s="52"/>
      <c r="H91" s="501"/>
      <c r="I91" s="52"/>
      <c r="J91" s="52"/>
      <c r="K91" s="52"/>
      <c r="L91" s="52"/>
      <c r="M91" s="52"/>
      <c r="N91" s="52"/>
      <c r="O91" s="19"/>
    </row>
    <row r="92" spans="1:17" s="279" customFormat="1" ht="12.75" customHeight="1" x14ac:dyDescent="0.2">
      <c r="A92" s="98" t="s">
        <v>803</v>
      </c>
      <c r="B92" s="88" t="s">
        <v>804</v>
      </c>
      <c r="C92" s="51"/>
      <c r="D92" s="51"/>
      <c r="E92" s="51"/>
      <c r="F92" s="51"/>
      <c r="G92" s="97" t="s">
        <v>17</v>
      </c>
      <c r="H92" s="502">
        <v>32.450000000000003</v>
      </c>
      <c r="I92" s="72">
        <f>VLOOKUP(A92,'[1]TAB OGU JUN18'!$A:$G,6,"falso")</f>
        <v>4.42</v>
      </c>
      <c r="J92" s="72">
        <f>VLOOKUP(A92,'[1]TAB OGU JUN18'!$A:$G,4,"falso")</f>
        <v>1.5</v>
      </c>
      <c r="K92" s="15">
        <f>H92*J92</f>
        <v>48.675000000000004</v>
      </c>
      <c r="L92" s="72">
        <f>VLOOKUP(A92,'[1]TAB OGU JUN18'!$A:$G,5,"falso")</f>
        <v>2.92</v>
      </c>
      <c r="M92" s="15">
        <f>H92*L92</f>
        <v>94.754000000000005</v>
      </c>
      <c r="N92" s="15">
        <f>H92*I92</f>
        <v>143.429</v>
      </c>
      <c r="O92" s="25">
        <f>(N92)/N95</f>
        <v>1</v>
      </c>
    </row>
    <row r="93" spans="1:17" s="279" customFormat="1" ht="12.75" hidden="1" customHeight="1" x14ac:dyDescent="0.2">
      <c r="A93" s="98" t="s">
        <v>1124</v>
      </c>
      <c r="B93" s="88" t="s">
        <v>1123</v>
      </c>
      <c r="C93" s="51"/>
      <c r="D93" s="51"/>
      <c r="E93" s="51"/>
      <c r="F93" s="51"/>
      <c r="G93" s="97" t="s">
        <v>17</v>
      </c>
      <c r="H93" s="502">
        <v>0</v>
      </c>
      <c r="I93" s="72">
        <f>VLOOKUP(A93,'[1]TAB OGU JUN18'!$A:$G,6,"falso")</f>
        <v>7.71</v>
      </c>
      <c r="J93" s="72">
        <f>VLOOKUP(A93,'[1]TAB OGU JUN18'!$A:$G,4,"falso")</f>
        <v>1.69</v>
      </c>
      <c r="K93" s="15">
        <f>H93*J93</f>
        <v>0</v>
      </c>
      <c r="L93" s="72">
        <f>VLOOKUP(A93,'[1]TAB OGU JUN18'!$A:$G,5,"falso")</f>
        <v>6.02</v>
      </c>
      <c r="M93" s="15">
        <f>H93*L93</f>
        <v>0</v>
      </c>
      <c r="N93" s="15">
        <f>H93*I93</f>
        <v>0</v>
      </c>
      <c r="O93" s="25">
        <f>(N93)/N95</f>
        <v>0</v>
      </c>
    </row>
    <row r="94" spans="1:17" ht="12.75" customHeight="1" x14ac:dyDescent="0.2">
      <c r="A94" s="273"/>
      <c r="B94" s="88"/>
      <c r="G94" s="97"/>
      <c r="H94" s="502"/>
      <c r="K94" s="15"/>
      <c r="L94" s="15"/>
      <c r="M94" s="15"/>
      <c r="N94" s="15"/>
      <c r="O94" s="25"/>
    </row>
    <row r="95" spans="1:17" ht="12.75" customHeight="1" x14ac:dyDescent="0.2">
      <c r="B95" s="130" t="s">
        <v>18</v>
      </c>
      <c r="C95" s="131"/>
      <c r="D95" s="131"/>
      <c r="E95" s="131"/>
      <c r="F95" s="131"/>
      <c r="G95" s="53"/>
      <c r="H95" s="503"/>
      <c r="I95" s="53"/>
      <c r="J95" s="53"/>
      <c r="K95" s="53"/>
      <c r="L95" s="53"/>
      <c r="M95" s="53"/>
      <c r="N95" s="15">
        <f>SUM(N92:N93)</f>
        <v>143.429</v>
      </c>
      <c r="O95" s="25">
        <f>N95/N102</f>
        <v>0.77391557716277537</v>
      </c>
    </row>
    <row r="96" spans="1:17" ht="12.75" customHeight="1" x14ac:dyDescent="0.2">
      <c r="A96" s="130"/>
      <c r="G96" s="52"/>
      <c r="H96" s="501"/>
      <c r="K96" s="52"/>
      <c r="L96" s="52"/>
      <c r="M96" s="52"/>
      <c r="N96" s="15"/>
      <c r="O96" s="25"/>
    </row>
    <row r="97" spans="1:15" ht="12.75" customHeight="1" x14ac:dyDescent="0.2">
      <c r="A97" s="98" t="s">
        <v>410</v>
      </c>
      <c r="B97" s="88" t="s">
        <v>411</v>
      </c>
      <c r="G97" s="97"/>
      <c r="H97" s="502"/>
      <c r="K97" s="15"/>
      <c r="L97" s="15"/>
      <c r="M97" s="15"/>
      <c r="N97" s="15"/>
      <c r="O97" s="25"/>
    </row>
    <row r="98" spans="1:15" s="279" customFormat="1" ht="12.75" customHeight="1" x14ac:dyDescent="0.2">
      <c r="A98" s="98" t="s">
        <v>418</v>
      </c>
      <c r="B98" s="88" t="s">
        <v>419</v>
      </c>
      <c r="C98" s="51"/>
      <c r="D98" s="51"/>
      <c r="E98" s="51"/>
      <c r="F98" s="51"/>
      <c r="G98" s="97" t="s">
        <v>24</v>
      </c>
      <c r="H98" s="510">
        <v>2</v>
      </c>
      <c r="I98" s="72">
        <f>VLOOKUP(A98,'[1]TAB OGU JUN18'!$A:$G,6,"falso")</f>
        <v>20.95</v>
      </c>
      <c r="J98" s="72">
        <f>VLOOKUP(A98,'[1]TAB OGU JUN18'!$A:$G,4,"falso")</f>
        <v>10.52</v>
      </c>
      <c r="K98" s="15">
        <f>H98*J98</f>
        <v>21.04</v>
      </c>
      <c r="L98" s="72">
        <f>VLOOKUP(A98,'[1]TAB OGU JUN18'!$A:$G,5,"falso")</f>
        <v>10.43</v>
      </c>
      <c r="M98" s="15">
        <f>H98*L98</f>
        <v>20.86</v>
      </c>
      <c r="N98" s="15">
        <f>H98*I98</f>
        <v>41.9</v>
      </c>
      <c r="O98" s="25">
        <f>N98/N100</f>
        <v>1</v>
      </c>
    </row>
    <row r="99" spans="1:15" ht="12.75" customHeight="1" x14ac:dyDescent="0.2">
      <c r="G99" s="52"/>
      <c r="H99" s="501"/>
      <c r="K99" s="52"/>
      <c r="L99" s="52"/>
      <c r="M99" s="52"/>
      <c r="N99" s="52"/>
      <c r="O99" s="19"/>
    </row>
    <row r="100" spans="1:15" ht="12.75" customHeight="1" x14ac:dyDescent="0.2">
      <c r="B100" s="130" t="s">
        <v>18</v>
      </c>
      <c r="C100" s="131"/>
      <c r="D100" s="131"/>
      <c r="E100" s="131"/>
      <c r="F100" s="131"/>
      <c r="G100" s="53"/>
      <c r="H100" s="503"/>
      <c r="I100" s="53"/>
      <c r="J100" s="53"/>
      <c r="K100" s="53"/>
      <c r="L100" s="53"/>
      <c r="M100" s="53"/>
      <c r="N100" s="15">
        <f>N98</f>
        <v>41.9</v>
      </c>
      <c r="O100" s="25">
        <f>N100/N102</f>
        <v>0.2260844228372246</v>
      </c>
    </row>
    <row r="101" spans="1:15" ht="12.75" customHeight="1" x14ac:dyDescent="0.2">
      <c r="G101" s="52"/>
      <c r="H101" s="501"/>
      <c r="K101" s="52"/>
      <c r="L101" s="52"/>
      <c r="M101" s="52"/>
      <c r="N101" s="52"/>
      <c r="O101" s="19"/>
    </row>
    <row r="102" spans="1:15" s="132" customFormat="1" ht="12.75" customHeight="1" x14ac:dyDescent="0.2">
      <c r="B102" s="133" t="s">
        <v>20</v>
      </c>
      <c r="C102" s="134"/>
      <c r="D102" s="134"/>
      <c r="E102" s="134"/>
      <c r="F102" s="134"/>
      <c r="G102" s="78"/>
      <c r="H102" s="511"/>
      <c r="I102" s="78"/>
      <c r="J102" s="78"/>
      <c r="K102" s="78"/>
      <c r="L102" s="78"/>
      <c r="M102" s="78"/>
      <c r="N102" s="83">
        <f>N100+N95</f>
        <v>185.32900000000001</v>
      </c>
      <c r="O102" s="77">
        <f>N102/N142</f>
        <v>2.0196308332095667E-2</v>
      </c>
    </row>
    <row r="103" spans="1:15" ht="12.75" customHeight="1" x14ac:dyDescent="0.2">
      <c r="B103" s="130"/>
      <c r="G103" s="52"/>
      <c r="H103" s="501"/>
      <c r="I103" s="52"/>
      <c r="J103" s="52"/>
      <c r="K103" s="52"/>
      <c r="L103" s="52"/>
      <c r="M103" s="52"/>
      <c r="N103" s="15"/>
      <c r="O103" s="25"/>
    </row>
    <row r="104" spans="1:15" ht="12.75" customHeight="1" x14ac:dyDescent="0.2">
      <c r="A104" s="98" t="s">
        <v>426</v>
      </c>
      <c r="B104" s="88" t="s">
        <v>427</v>
      </c>
      <c r="G104" s="97"/>
      <c r="H104" s="502"/>
      <c r="I104" s="15"/>
      <c r="J104" s="15"/>
      <c r="K104" s="15"/>
      <c r="L104" s="15"/>
      <c r="M104" s="15"/>
      <c r="N104" s="15"/>
      <c r="O104" s="25"/>
    </row>
    <row r="105" spans="1:15" ht="12.75" customHeight="1" x14ac:dyDescent="0.2">
      <c r="A105" s="98" t="s">
        <v>805</v>
      </c>
      <c r="B105" s="88" t="s">
        <v>806</v>
      </c>
      <c r="G105" s="97"/>
      <c r="H105" s="502"/>
      <c r="I105" s="15"/>
      <c r="J105" s="15"/>
      <c r="K105" s="15"/>
      <c r="L105" s="15"/>
      <c r="M105" s="15"/>
      <c r="N105" s="15"/>
      <c r="O105" s="25"/>
    </row>
    <row r="106" spans="1:15" ht="12.75" customHeight="1" x14ac:dyDescent="0.2">
      <c r="A106" s="98" t="s">
        <v>807</v>
      </c>
      <c r="B106" s="88" t="s">
        <v>808</v>
      </c>
      <c r="G106" s="97" t="s">
        <v>24</v>
      </c>
      <c r="H106" s="502">
        <v>2</v>
      </c>
      <c r="I106" s="72">
        <f>VLOOKUP(A106,'[1]TAB OGU JUN18'!$A:$G,6,"falso")</f>
        <v>113.02</v>
      </c>
      <c r="J106" s="72">
        <f>VLOOKUP(A106,'[1]TAB OGU JUN18'!$A:$G,4,"falso")</f>
        <v>113.02</v>
      </c>
      <c r="K106" s="15">
        <f>H106*J106</f>
        <v>226.04</v>
      </c>
      <c r="L106" s="72">
        <f>VLOOKUP(A106,'[1]TAB OGU JUN18'!$A:$G,5,"falso")</f>
        <v>0</v>
      </c>
      <c r="M106" s="15"/>
      <c r="N106" s="15">
        <f>H106*I106</f>
        <v>226.04</v>
      </c>
      <c r="O106" s="25">
        <f>N106/N109</f>
        <v>1</v>
      </c>
    </row>
    <row r="107" spans="1:15" ht="12.75" hidden="1" customHeight="1" x14ac:dyDescent="0.2">
      <c r="A107" s="98" t="s">
        <v>1125</v>
      </c>
      <c r="B107" s="88" t="s">
        <v>1126</v>
      </c>
      <c r="G107" s="97" t="s">
        <v>24</v>
      </c>
      <c r="H107" s="502">
        <v>0</v>
      </c>
      <c r="I107" s="72">
        <f>VLOOKUP(A107,'[1]TAB OGU JUN18'!$A:$G,6,"falso")</f>
        <v>707.14</v>
      </c>
      <c r="J107" s="72">
        <f>VLOOKUP(A107,'[1]TAB OGU JUN18'!$A:$G,4,"falso")</f>
        <v>707.14</v>
      </c>
      <c r="K107" s="15">
        <f>H107*J107</f>
        <v>0</v>
      </c>
      <c r="L107" s="72">
        <f>VLOOKUP(A107,'[1]TAB OGU JUN18'!$A:$G,5,"falso")</f>
        <v>0</v>
      </c>
      <c r="M107" s="15"/>
      <c r="N107" s="15">
        <f>H107*I107</f>
        <v>0</v>
      </c>
      <c r="O107" s="25">
        <f>N107/N109</f>
        <v>0</v>
      </c>
    </row>
    <row r="108" spans="1:15" ht="12.75" customHeight="1" x14ac:dyDescent="0.2">
      <c r="B108" s="130"/>
      <c r="G108" s="52"/>
      <c r="H108" s="501"/>
      <c r="I108" s="52"/>
      <c r="J108" s="52"/>
      <c r="K108" s="52"/>
      <c r="L108" s="52"/>
      <c r="M108" s="52"/>
      <c r="N108" s="15"/>
      <c r="O108" s="25"/>
    </row>
    <row r="109" spans="1:15" ht="12.75" customHeight="1" x14ac:dyDescent="0.2">
      <c r="B109" s="130" t="s">
        <v>18</v>
      </c>
      <c r="C109" s="131"/>
      <c r="D109" s="131"/>
      <c r="E109" s="131"/>
      <c r="F109" s="131"/>
      <c r="G109" s="53"/>
      <c r="H109" s="503"/>
      <c r="I109" s="53"/>
      <c r="J109" s="53"/>
      <c r="K109" s="53"/>
      <c r="L109" s="53"/>
      <c r="M109" s="53"/>
      <c r="N109" s="15">
        <f>SUM(N106:N108)</f>
        <v>226.04</v>
      </c>
      <c r="O109" s="25">
        <f>N109/N131</f>
        <v>4.8560312621513564E-2</v>
      </c>
    </row>
    <row r="110" spans="1:15" ht="12.75" customHeight="1" x14ac:dyDescent="0.2">
      <c r="A110" s="98"/>
      <c r="B110" s="88"/>
      <c r="G110" s="97"/>
      <c r="H110" s="502"/>
      <c r="I110" s="15"/>
      <c r="J110" s="15"/>
      <c r="K110" s="15"/>
      <c r="L110" s="15"/>
      <c r="M110" s="15"/>
      <c r="N110" s="15"/>
      <c r="O110" s="25"/>
    </row>
    <row r="111" spans="1:15" ht="12.75" customHeight="1" x14ac:dyDescent="0.2">
      <c r="A111" s="98" t="s">
        <v>809</v>
      </c>
      <c r="B111" s="88" t="s">
        <v>428</v>
      </c>
      <c r="G111" s="97"/>
      <c r="H111" s="502"/>
      <c r="I111" s="15"/>
      <c r="J111" s="15"/>
      <c r="K111" s="15"/>
      <c r="L111" s="15"/>
      <c r="M111" s="15"/>
      <c r="N111" s="15"/>
      <c r="O111" s="25"/>
    </row>
    <row r="112" spans="1:15" ht="12.75" customHeight="1" x14ac:dyDescent="0.2">
      <c r="A112" s="98" t="s">
        <v>893</v>
      </c>
      <c r="B112" s="88" t="s">
        <v>894</v>
      </c>
      <c r="G112" s="97" t="s">
        <v>24</v>
      </c>
      <c r="H112" s="502">
        <v>7</v>
      </c>
      <c r="I112" s="72">
        <f>VLOOKUP(A112,'[1]TAB OGU JUN18'!$A:$G,6,"falso")</f>
        <v>90.41</v>
      </c>
      <c r="J112" s="72">
        <f>VLOOKUP(A112,'[1]TAB OGU JUN18'!$A:$G,4,"falso")</f>
        <v>90.41</v>
      </c>
      <c r="K112" s="15">
        <f>H112*J112</f>
        <v>632.87</v>
      </c>
      <c r="L112" s="72">
        <f>VLOOKUP(A112,'[1]TAB OGU JUN18'!$A:$G,5,"falso")</f>
        <v>0</v>
      </c>
      <c r="M112" s="15"/>
      <c r="N112" s="15">
        <f>H112*I112</f>
        <v>632.87</v>
      </c>
      <c r="O112" s="25">
        <f>N112/N116</f>
        <v>0.32081411263750192</v>
      </c>
    </row>
    <row r="113" spans="1:18" ht="12.75" customHeight="1" x14ac:dyDescent="0.2">
      <c r="A113" s="98" t="s">
        <v>972</v>
      </c>
      <c r="B113" s="88" t="s">
        <v>973</v>
      </c>
      <c r="G113" s="97" t="s">
        <v>24</v>
      </c>
      <c r="H113" s="502">
        <v>3</v>
      </c>
      <c r="I113" s="72">
        <f>VLOOKUP(A113,'[1]TAB OGU JUN18'!$A:$G,6,"falso")</f>
        <v>446.61</v>
      </c>
      <c r="J113" s="72">
        <f>VLOOKUP(A113,'[1]TAB OGU JUN18'!$A:$G,4,"falso")</f>
        <v>446.61</v>
      </c>
      <c r="K113" s="15">
        <f>H113*J113</f>
        <v>1339.83</v>
      </c>
      <c r="L113" s="72">
        <f>VLOOKUP(A113,'[1]TAB OGU JUN18'!$A:$G,5,"falso")</f>
        <v>0</v>
      </c>
      <c r="M113" s="15"/>
      <c r="N113" s="15">
        <f>H113*I113</f>
        <v>1339.83</v>
      </c>
      <c r="O113" s="25">
        <f>N113/N116</f>
        <v>0.67918588736249808</v>
      </c>
      <c r="R113" s="61" t="s">
        <v>1409</v>
      </c>
    </row>
    <row r="114" spans="1:18" ht="12.75" hidden="1" customHeight="1" x14ac:dyDescent="0.2">
      <c r="A114" s="98" t="s">
        <v>1127</v>
      </c>
      <c r="B114" s="88" t="s">
        <v>1128</v>
      </c>
      <c r="G114" s="97" t="s">
        <v>24</v>
      </c>
      <c r="H114" s="502">
        <v>0</v>
      </c>
      <c r="I114" s="72">
        <f>VLOOKUP(A114,'[1]TAB OGU JUN18'!$A:$G,6,"falso")</f>
        <v>521.04999999999995</v>
      </c>
      <c r="J114" s="72">
        <f>VLOOKUP(A114,'[1]TAB OGU JUN18'!$A:$G,4,"falso")</f>
        <v>521.04999999999995</v>
      </c>
      <c r="K114" s="15">
        <f>H114*J114</f>
        <v>0</v>
      </c>
      <c r="L114" s="72">
        <f>VLOOKUP(A114,'[1]TAB OGU JUN18'!$A:$G,5,"falso")</f>
        <v>0</v>
      </c>
      <c r="M114" s="15"/>
      <c r="N114" s="15">
        <f>H114*I114</f>
        <v>0</v>
      </c>
      <c r="O114" s="25">
        <f>N114/N116</f>
        <v>0</v>
      </c>
    </row>
    <row r="115" spans="1:18" ht="12.75" customHeight="1" x14ac:dyDescent="0.2">
      <c r="B115" s="130"/>
      <c r="G115" s="52"/>
      <c r="H115" s="501"/>
      <c r="I115" s="52"/>
      <c r="J115" s="52"/>
      <c r="K115" s="52"/>
      <c r="L115" s="52"/>
      <c r="M115" s="52"/>
      <c r="N115" s="15"/>
      <c r="O115" s="25"/>
    </row>
    <row r="116" spans="1:18" ht="12.75" customHeight="1" x14ac:dyDescent="0.2">
      <c r="B116" s="130" t="s">
        <v>18</v>
      </c>
      <c r="C116" s="131"/>
      <c r="D116" s="131"/>
      <c r="E116" s="131"/>
      <c r="F116" s="131"/>
      <c r="G116" s="53"/>
      <c r="H116" s="503"/>
      <c r="I116" s="53"/>
      <c r="J116" s="53"/>
      <c r="K116" s="53"/>
      <c r="L116" s="53"/>
      <c r="M116" s="53"/>
      <c r="N116" s="15">
        <f>SUM(N112:N115)</f>
        <v>1972.6999999999998</v>
      </c>
      <c r="O116" s="25">
        <f>N116/N131</f>
        <v>0.42379635776172275</v>
      </c>
    </row>
    <row r="117" spans="1:18" ht="12.75" customHeight="1" x14ac:dyDescent="0.2">
      <c r="A117" s="98"/>
      <c r="B117" s="88"/>
      <c r="G117" s="97"/>
      <c r="H117" s="502"/>
      <c r="I117" s="15"/>
      <c r="J117" s="15"/>
      <c r="K117" s="15"/>
      <c r="L117" s="15"/>
      <c r="M117" s="15"/>
      <c r="N117" s="15"/>
      <c r="O117" s="25"/>
    </row>
    <row r="118" spans="1:18" ht="12.75" customHeight="1" x14ac:dyDescent="0.2">
      <c r="A118" s="98" t="s">
        <v>632</v>
      </c>
      <c r="B118" s="88" t="s">
        <v>447</v>
      </c>
      <c r="G118" s="97"/>
      <c r="H118" s="502"/>
      <c r="I118" s="15"/>
      <c r="J118" s="15"/>
      <c r="K118" s="15"/>
      <c r="L118" s="15"/>
      <c r="M118" s="15"/>
      <c r="N118" s="15"/>
      <c r="O118" s="25"/>
    </row>
    <row r="119" spans="1:18" ht="12.75" customHeight="1" x14ac:dyDescent="0.2">
      <c r="A119" s="98" t="s">
        <v>895</v>
      </c>
      <c r="B119" s="88" t="s">
        <v>896</v>
      </c>
      <c r="G119" s="97" t="s">
        <v>24</v>
      </c>
      <c r="H119" s="502">
        <v>27</v>
      </c>
      <c r="I119" s="72">
        <f>VLOOKUP(A119,'[1]TAB OGU JUN18'!$A:$G,6,"falso")</f>
        <v>17.57</v>
      </c>
      <c r="J119" s="72">
        <f>VLOOKUP(A119,'[1]TAB OGU JUN18'!$A:$G,4,"falso")</f>
        <v>16.989999999999998</v>
      </c>
      <c r="K119" s="15">
        <f t="shared" ref="K119:K127" si="0">H119*J119</f>
        <v>458.72999999999996</v>
      </c>
      <c r="L119" s="72">
        <f>VLOOKUP(A119,'[1]TAB OGU JUN18'!$A:$G,5,"falso")</f>
        <v>0.57999999999999996</v>
      </c>
      <c r="M119" s="15">
        <f>H119*L119</f>
        <v>15.659999999999998</v>
      </c>
      <c r="N119" s="15">
        <f t="shared" ref="N119:N127" si="1">H119*I119</f>
        <v>474.39</v>
      </c>
      <c r="O119" s="25">
        <f>N119/N129</f>
        <v>0.19314845954342066</v>
      </c>
    </row>
    <row r="120" spans="1:18" ht="12.75" hidden="1" customHeight="1" x14ac:dyDescent="0.2">
      <c r="A120" s="98" t="s">
        <v>1051</v>
      </c>
      <c r="B120" s="88" t="s">
        <v>1052</v>
      </c>
      <c r="G120" s="97" t="s">
        <v>24</v>
      </c>
      <c r="H120" s="502">
        <v>0</v>
      </c>
      <c r="I120" s="72">
        <f>VLOOKUP(A120,'[1]TAB OGU JUN18'!$A:$G,6,"falso")</f>
        <v>19.89</v>
      </c>
      <c r="J120" s="72">
        <f>VLOOKUP(A120,'[1]TAB OGU JUN18'!$A:$G,4,"falso")</f>
        <v>19.25</v>
      </c>
      <c r="K120" s="15">
        <f t="shared" si="0"/>
        <v>0</v>
      </c>
      <c r="L120" s="72">
        <f>VLOOKUP(A120,'[1]TAB OGU JUN18'!$A:$G,5,"falso")</f>
        <v>0.64</v>
      </c>
      <c r="M120" s="15">
        <f>H120*L120</f>
        <v>0</v>
      </c>
      <c r="N120" s="15">
        <f t="shared" si="1"/>
        <v>0</v>
      </c>
      <c r="O120" s="25">
        <f>N120/N129</f>
        <v>0</v>
      </c>
    </row>
    <row r="121" spans="1:18" ht="12.75" hidden="1" customHeight="1" x14ac:dyDescent="0.2">
      <c r="A121" s="98" t="s">
        <v>1133</v>
      </c>
      <c r="B121" s="88" t="s">
        <v>1134</v>
      </c>
      <c r="G121" s="97" t="s">
        <v>24</v>
      </c>
      <c r="H121" s="502">
        <v>0</v>
      </c>
      <c r="I121" s="72">
        <f>VLOOKUP(A121,'[1]TAB OGU JUN18'!$A:$G,6,"falso")</f>
        <v>25.87</v>
      </c>
      <c r="J121" s="72">
        <f>VLOOKUP(A121,'[1]TAB OGU JUN18'!$A:$G,4,"falso")</f>
        <v>24.91</v>
      </c>
      <c r="K121" s="15">
        <f t="shared" si="0"/>
        <v>0</v>
      </c>
      <c r="L121" s="72">
        <f>VLOOKUP(A121,'[1]TAB OGU JUN18'!$A:$G,5,"falso")</f>
        <v>0.96</v>
      </c>
      <c r="M121" s="15">
        <f>H121*L121</f>
        <v>0</v>
      </c>
      <c r="N121" s="15">
        <f t="shared" si="1"/>
        <v>0</v>
      </c>
      <c r="O121" s="25">
        <f>N121/N129</f>
        <v>0</v>
      </c>
    </row>
    <row r="122" spans="1:18" ht="12.75" hidden="1" customHeight="1" x14ac:dyDescent="0.2">
      <c r="A122" s="98" t="s">
        <v>1135</v>
      </c>
      <c r="B122" s="88" t="s">
        <v>1136</v>
      </c>
      <c r="G122" s="97" t="s">
        <v>24</v>
      </c>
      <c r="H122" s="502">
        <v>0</v>
      </c>
      <c r="I122" s="72">
        <f>VLOOKUP(A122,'[1]TAB OGU JUN18'!$A:$G,6,"falso")</f>
        <v>33.520000000000003</v>
      </c>
      <c r="J122" s="72">
        <f>VLOOKUP(A122,'[1]TAB OGU JUN18'!$A:$G,4,"falso")</f>
        <v>32.270000000000003</v>
      </c>
      <c r="K122" s="15">
        <f t="shared" si="0"/>
        <v>0</v>
      </c>
      <c r="L122" s="72">
        <f>VLOOKUP(A122,'[1]TAB OGU JUN18'!$A:$G,5,"falso")</f>
        <v>1.25</v>
      </c>
      <c r="M122" s="15">
        <f>H122*L122</f>
        <v>0</v>
      </c>
      <c r="N122" s="15">
        <f t="shared" si="1"/>
        <v>0</v>
      </c>
      <c r="O122" s="25">
        <f>N122/N129</f>
        <v>0</v>
      </c>
    </row>
    <row r="123" spans="1:18" s="588" customFormat="1" ht="12.75" hidden="1" customHeight="1" x14ac:dyDescent="0.2">
      <c r="A123" s="98" t="s">
        <v>1138</v>
      </c>
      <c r="B123" s="88" t="s">
        <v>1137</v>
      </c>
      <c r="C123" s="61"/>
      <c r="D123" s="61"/>
      <c r="E123" s="61"/>
      <c r="F123" s="61"/>
      <c r="G123" s="97" t="s">
        <v>24</v>
      </c>
      <c r="H123" s="502">
        <v>0</v>
      </c>
      <c r="I123" s="72">
        <f>VLOOKUP(A123,'[1]TAB OGU JUN18'!$A:$G,6,"falso")</f>
        <v>45.3</v>
      </c>
      <c r="J123" s="72">
        <f>VLOOKUP(A123,'[1]TAB OGU JUN18'!$A:$G,4,"falso")</f>
        <v>45.3</v>
      </c>
      <c r="K123" s="15">
        <f t="shared" si="0"/>
        <v>0</v>
      </c>
      <c r="L123" s="72">
        <f>VLOOKUP(A123,'[1]TAB OGU JUN18'!$A:$G,5,"falso")</f>
        <v>0</v>
      </c>
      <c r="M123" s="15"/>
      <c r="N123" s="15">
        <f t="shared" si="1"/>
        <v>0</v>
      </c>
      <c r="O123" s="25">
        <f>N123/N129</f>
        <v>0</v>
      </c>
    </row>
    <row r="124" spans="1:18" s="588" customFormat="1" ht="12.75" customHeight="1" x14ac:dyDescent="0.2">
      <c r="A124" s="98" t="s">
        <v>1130</v>
      </c>
      <c r="B124" s="88" t="s">
        <v>1129</v>
      </c>
      <c r="C124" s="61"/>
      <c r="D124" s="61"/>
      <c r="E124" s="61"/>
      <c r="F124" s="61"/>
      <c r="G124" s="97" t="s">
        <v>24</v>
      </c>
      <c r="H124" s="502">
        <v>35</v>
      </c>
      <c r="I124" s="72">
        <f>VLOOKUP(A124,'[1]TAB OGU JUN18'!$A:$G,6,"falso")</f>
        <v>56.62</v>
      </c>
      <c r="J124" s="72">
        <f>VLOOKUP(A124,'[1]TAB OGU JUN18'!$A:$G,4,"falso")</f>
        <v>56.62</v>
      </c>
      <c r="K124" s="15">
        <f t="shared" si="0"/>
        <v>1981.6999999999998</v>
      </c>
      <c r="L124" s="72">
        <f>VLOOKUP(A124,'[1]TAB OGU JUN18'!$A:$G,5,"falso")</f>
        <v>0</v>
      </c>
      <c r="M124" s="15"/>
      <c r="N124" s="15">
        <f t="shared" si="1"/>
        <v>1981.6999999999998</v>
      </c>
      <c r="O124" s="25">
        <f>N124/N129</f>
        <v>0.80685154045657936</v>
      </c>
    </row>
    <row r="125" spans="1:18" s="588" customFormat="1" ht="12.75" hidden="1" customHeight="1" x14ac:dyDescent="0.2">
      <c r="A125" s="98" t="s">
        <v>662</v>
      </c>
      <c r="B125" s="88" t="s">
        <v>663</v>
      </c>
      <c r="C125" s="61"/>
      <c r="D125" s="61"/>
      <c r="E125" s="61"/>
      <c r="F125" s="61"/>
      <c r="G125" s="97" t="s">
        <v>24</v>
      </c>
      <c r="H125" s="502">
        <v>0</v>
      </c>
      <c r="I125" s="72">
        <f>VLOOKUP(A125,'[1]TAB OGU JUN18'!$A:$G,6,"falso")</f>
        <v>56.62</v>
      </c>
      <c r="J125" s="72">
        <f>VLOOKUP(A125,'[1]TAB OGU JUN18'!$A:$G,4,"falso")</f>
        <v>56.62</v>
      </c>
      <c r="K125" s="15">
        <f t="shared" si="0"/>
        <v>0</v>
      </c>
      <c r="L125" s="72">
        <f>VLOOKUP(A125,'[1]TAB OGU JUN18'!$A:$G,5,"falso")</f>
        <v>0</v>
      </c>
      <c r="M125" s="15"/>
      <c r="N125" s="15">
        <f t="shared" si="1"/>
        <v>0</v>
      </c>
      <c r="O125" s="25">
        <f>N125/N129</f>
        <v>0</v>
      </c>
    </row>
    <row r="126" spans="1:18" s="588" customFormat="1" ht="12.75" hidden="1" customHeight="1" x14ac:dyDescent="0.2">
      <c r="A126" s="98" t="s">
        <v>1132</v>
      </c>
      <c r="B126" s="88" t="s">
        <v>1131</v>
      </c>
      <c r="C126" s="61"/>
      <c r="D126" s="61"/>
      <c r="E126" s="61"/>
      <c r="F126" s="61"/>
      <c r="G126" s="97" t="s">
        <v>24</v>
      </c>
      <c r="H126" s="502">
        <v>0</v>
      </c>
      <c r="I126" s="72">
        <f>VLOOKUP(A126,'[1]TAB OGU JUN18'!$A:$G,6,"falso")</f>
        <v>67.94</v>
      </c>
      <c r="J126" s="72">
        <f>VLOOKUP(A126,'[1]TAB OGU JUN18'!$A:$G,4,"falso")</f>
        <v>67.94</v>
      </c>
      <c r="K126" s="15">
        <f t="shared" si="0"/>
        <v>0</v>
      </c>
      <c r="L126" s="72">
        <f>VLOOKUP(A126,'[1]TAB OGU JUN18'!$A:$G,5,"falso")</f>
        <v>0</v>
      </c>
      <c r="M126" s="15"/>
      <c r="N126" s="15">
        <f t="shared" si="1"/>
        <v>0</v>
      </c>
      <c r="O126" s="25">
        <f>N126/N129</f>
        <v>0</v>
      </c>
    </row>
    <row r="127" spans="1:18" s="588" customFormat="1" ht="12.75" hidden="1" customHeight="1" x14ac:dyDescent="0.2">
      <c r="A127" s="98" t="s">
        <v>925</v>
      </c>
      <c r="B127" s="88" t="s">
        <v>926</v>
      </c>
      <c r="C127" s="61"/>
      <c r="D127" s="61"/>
      <c r="E127" s="61"/>
      <c r="F127" s="61"/>
      <c r="G127" s="97" t="s">
        <v>24</v>
      </c>
      <c r="H127" s="502">
        <v>0</v>
      </c>
      <c r="I127" s="72">
        <f>VLOOKUP(A127,'[1]TAB OGU JUN18'!$A:$G,6,"falso")</f>
        <v>79.27</v>
      </c>
      <c r="J127" s="72">
        <f>VLOOKUP(A127,'[1]TAB OGU JUN18'!$A:$G,4,"falso")</f>
        <v>79.27</v>
      </c>
      <c r="K127" s="15">
        <f t="shared" si="0"/>
        <v>0</v>
      </c>
      <c r="L127" s="72">
        <f>VLOOKUP(A127,'[1]TAB OGU JUN18'!$A:$G,5,"falso")</f>
        <v>0</v>
      </c>
      <c r="M127" s="15"/>
      <c r="N127" s="15">
        <f t="shared" si="1"/>
        <v>0</v>
      </c>
      <c r="O127" s="25">
        <f>N127/N129</f>
        <v>0</v>
      </c>
    </row>
    <row r="128" spans="1:18" ht="12.75" customHeight="1" x14ac:dyDescent="0.2">
      <c r="B128" s="130"/>
      <c r="G128" s="52"/>
      <c r="H128" s="501"/>
      <c r="I128" s="52"/>
      <c r="J128" s="52"/>
      <c r="K128" s="52"/>
      <c r="L128" s="52"/>
      <c r="M128" s="52"/>
      <c r="N128" s="15"/>
      <c r="O128" s="25"/>
    </row>
    <row r="129" spans="1:17" ht="12.75" customHeight="1" x14ac:dyDescent="0.2">
      <c r="B129" s="130" t="s">
        <v>18</v>
      </c>
      <c r="C129" s="131"/>
      <c r="D129" s="131"/>
      <c r="E129" s="131"/>
      <c r="F129" s="131"/>
      <c r="G129" s="53"/>
      <c r="H129" s="503"/>
      <c r="I129" s="53"/>
      <c r="J129" s="53"/>
      <c r="K129" s="53"/>
      <c r="L129" s="53"/>
      <c r="M129" s="53"/>
      <c r="N129" s="15">
        <f>SUM(N119:N128)</f>
        <v>2456.0899999999997</v>
      </c>
      <c r="O129" s="25">
        <f>N129/N131</f>
        <v>0.52764332961676363</v>
      </c>
      <c r="Q129" s="589"/>
    </row>
    <row r="130" spans="1:17" s="132" customFormat="1" ht="12.75" customHeight="1" x14ac:dyDescent="0.2">
      <c r="A130" s="98"/>
      <c r="B130" s="88"/>
      <c r="C130" s="51"/>
      <c r="D130" s="51"/>
      <c r="E130" s="51"/>
      <c r="F130" s="51"/>
      <c r="G130" s="97"/>
      <c r="H130" s="502"/>
      <c r="I130" s="15"/>
      <c r="J130" s="15"/>
      <c r="K130" s="15"/>
      <c r="L130" s="15"/>
      <c r="M130" s="15"/>
      <c r="N130" s="15"/>
      <c r="O130" s="25"/>
    </row>
    <row r="131" spans="1:17" ht="12.75" customHeight="1" x14ac:dyDescent="0.2">
      <c r="A131" s="145"/>
      <c r="B131" s="133" t="s">
        <v>20</v>
      </c>
      <c r="C131" s="134"/>
      <c r="D131" s="134"/>
      <c r="E131" s="134"/>
      <c r="F131" s="134"/>
      <c r="G131" s="78"/>
      <c r="H131" s="504"/>
      <c r="I131" s="78"/>
      <c r="J131" s="78"/>
      <c r="K131" s="78"/>
      <c r="L131" s="78"/>
      <c r="M131" s="78"/>
      <c r="N131" s="83">
        <f>N129+N109+N116</f>
        <v>4654.83</v>
      </c>
      <c r="O131" s="77">
        <f>N131/N142</f>
        <v>0.50726212256845316</v>
      </c>
    </row>
    <row r="132" spans="1:17" ht="12.75" customHeight="1" x14ac:dyDescent="0.2">
      <c r="B132" s="130"/>
      <c r="G132" s="52"/>
      <c r="H132" s="501"/>
      <c r="I132" s="52"/>
      <c r="J132" s="52"/>
      <c r="K132" s="52"/>
      <c r="L132" s="52"/>
      <c r="M132" s="52"/>
      <c r="N132" s="15"/>
      <c r="O132" s="25"/>
    </row>
    <row r="133" spans="1:17" ht="12.75" customHeight="1" x14ac:dyDescent="0.2">
      <c r="A133" s="98" t="s">
        <v>169</v>
      </c>
      <c r="B133" s="88" t="s">
        <v>172</v>
      </c>
      <c r="G133" s="97"/>
      <c r="H133" s="502"/>
      <c r="I133" s="15"/>
      <c r="J133" s="15"/>
      <c r="K133" s="15"/>
      <c r="L133" s="15"/>
      <c r="M133" s="15"/>
      <c r="N133" s="15"/>
      <c r="O133" s="25"/>
    </row>
    <row r="134" spans="1:17" ht="12.75" customHeight="1" x14ac:dyDescent="0.2">
      <c r="A134" s="98" t="s">
        <v>170</v>
      </c>
      <c r="B134" s="88" t="s">
        <v>173</v>
      </c>
      <c r="G134" s="97"/>
      <c r="H134" s="502"/>
      <c r="I134" s="15"/>
      <c r="J134" s="15"/>
      <c r="K134" s="15"/>
      <c r="L134" s="15"/>
      <c r="M134" s="15"/>
      <c r="N134" s="15"/>
      <c r="O134" s="25"/>
    </row>
    <row r="135" spans="1:17" ht="12.75" customHeight="1" x14ac:dyDescent="0.2">
      <c r="A135" s="98" t="s">
        <v>187</v>
      </c>
      <c r="B135" s="88" t="s">
        <v>223</v>
      </c>
      <c r="G135" s="97" t="s">
        <v>17</v>
      </c>
      <c r="H135" s="502">
        <f>H64</f>
        <v>39.5</v>
      </c>
      <c r="I135" s="72">
        <f>VLOOKUP(A135,'[1]TAB OGU JUN18'!$A:$G,6,"falso")</f>
        <v>1.23</v>
      </c>
      <c r="J135" s="72">
        <f>VLOOKUP(A135,'[1]TAB OGU JUN18'!$A:$G,4,"falso")</f>
        <v>1.23</v>
      </c>
      <c r="K135" s="15">
        <f>H135*J135</f>
        <v>48.585000000000001</v>
      </c>
      <c r="L135" s="72">
        <f>VLOOKUP(A135,'[1]TAB OGU JUN18'!$A:$G,5,"falso")</f>
        <v>0</v>
      </c>
      <c r="M135" s="15"/>
      <c r="N135" s="15">
        <f>H135*I135</f>
        <v>48.585000000000001</v>
      </c>
      <c r="O135" s="25">
        <f>N135/N138</f>
        <v>0.48425196850393698</v>
      </c>
    </row>
    <row r="136" spans="1:17" ht="12.75" customHeight="1" x14ac:dyDescent="0.2">
      <c r="A136" s="98" t="s">
        <v>171</v>
      </c>
      <c r="B136" s="88" t="s">
        <v>174</v>
      </c>
      <c r="G136" s="97" t="s">
        <v>17</v>
      </c>
      <c r="H136" s="502">
        <f>H135</f>
        <v>39.5</v>
      </c>
      <c r="I136" s="72">
        <f>VLOOKUP(A136,'[1]TAB OGU JUN18'!$A:$G,6,"falso")</f>
        <v>1.31</v>
      </c>
      <c r="J136" s="72">
        <f>VLOOKUP(A136,'[1]TAB OGU JUN18'!$A:$G,4,"falso")</f>
        <v>1.1399999999999999</v>
      </c>
      <c r="K136" s="15">
        <f>H136*J136</f>
        <v>45.029999999999994</v>
      </c>
      <c r="L136" s="72">
        <f>VLOOKUP(A136,'[1]TAB OGU JUN18'!$A:$G,5,"falso")</f>
        <v>0.17</v>
      </c>
      <c r="M136" s="15">
        <f>H136*L136</f>
        <v>6.7150000000000007</v>
      </c>
      <c r="N136" s="15">
        <f>H136*I136</f>
        <v>51.745000000000005</v>
      </c>
      <c r="O136" s="25">
        <f>N136/N138</f>
        <v>0.51574803149606296</v>
      </c>
    </row>
    <row r="137" spans="1:17" ht="12.75" customHeight="1" x14ac:dyDescent="0.2">
      <c r="B137" s="130"/>
      <c r="G137" s="52"/>
      <c r="H137" s="501"/>
      <c r="I137" s="52"/>
      <c r="J137" s="52"/>
      <c r="K137" s="52"/>
      <c r="L137" s="52"/>
      <c r="M137" s="52"/>
      <c r="N137" s="15"/>
      <c r="O137" s="25"/>
    </row>
    <row r="138" spans="1:17" ht="12.75" customHeight="1" x14ac:dyDescent="0.2">
      <c r="B138" s="130" t="s">
        <v>18</v>
      </c>
      <c r="C138" s="131"/>
      <c r="D138" s="131"/>
      <c r="E138" s="131"/>
      <c r="F138" s="131"/>
      <c r="G138" s="53"/>
      <c r="H138" s="503"/>
      <c r="I138" s="53"/>
      <c r="J138" s="53"/>
      <c r="K138" s="53"/>
      <c r="L138" s="53"/>
      <c r="M138" s="53"/>
      <c r="N138" s="15">
        <f>SUM(N135:N136)</f>
        <v>100.33000000000001</v>
      </c>
      <c r="O138" s="25">
        <f>N138/N140</f>
        <v>1</v>
      </c>
    </row>
    <row r="139" spans="1:17" s="132" customFormat="1" ht="12.75" customHeight="1" x14ac:dyDescent="0.2">
      <c r="A139" s="98"/>
      <c r="B139" s="88"/>
      <c r="C139" s="51"/>
      <c r="D139" s="51"/>
      <c r="E139" s="51"/>
      <c r="F139" s="51"/>
      <c r="G139" s="97"/>
      <c r="H139" s="502"/>
      <c r="I139" s="15"/>
      <c r="J139" s="15"/>
      <c r="K139" s="15"/>
      <c r="L139" s="15"/>
      <c r="M139" s="15"/>
      <c r="N139" s="15"/>
      <c r="O139" s="25"/>
    </row>
    <row r="140" spans="1:17" x14ac:dyDescent="0.2">
      <c r="A140" s="145"/>
      <c r="B140" s="133" t="s">
        <v>20</v>
      </c>
      <c r="C140" s="134"/>
      <c r="D140" s="134"/>
      <c r="E140" s="134"/>
      <c r="F140" s="134"/>
      <c r="G140" s="78"/>
      <c r="H140" s="504"/>
      <c r="I140" s="78"/>
      <c r="J140" s="78"/>
      <c r="K140" s="78"/>
      <c r="L140" s="78"/>
      <c r="M140" s="78"/>
      <c r="N140" s="83">
        <f>N138</f>
        <v>100.33000000000001</v>
      </c>
      <c r="O140" s="77">
        <f>N140/N142</f>
        <v>1.0933505360516477E-2</v>
      </c>
    </row>
    <row r="141" spans="1:17" s="148" customFormat="1" ht="12.75" customHeight="1" x14ac:dyDescent="0.2">
      <c r="A141" s="51"/>
      <c r="B141" s="51"/>
      <c r="C141" s="51"/>
      <c r="D141" s="51"/>
      <c r="E141" s="51"/>
      <c r="F141" s="51"/>
      <c r="G141" s="52"/>
      <c r="H141" s="52"/>
      <c r="I141" s="52"/>
      <c r="J141" s="52"/>
      <c r="K141" s="52"/>
      <c r="L141" s="52"/>
      <c r="M141" s="52"/>
      <c r="N141" s="52"/>
      <c r="O141" s="19"/>
      <c r="P141" s="281"/>
    </row>
    <row r="142" spans="1:17" ht="12.75" customHeight="1" x14ac:dyDescent="0.2">
      <c r="A142" s="148"/>
      <c r="B142" s="280" t="s">
        <v>30</v>
      </c>
      <c r="C142" s="148"/>
      <c r="D142" s="148"/>
      <c r="E142" s="148"/>
      <c r="F142" s="148"/>
      <c r="G142" s="148"/>
      <c r="H142" s="148"/>
      <c r="I142" s="148"/>
      <c r="J142" s="148"/>
      <c r="K142" s="274">
        <f>SUM(K13:K141)</f>
        <v>7062.5392573045019</v>
      </c>
      <c r="L142" s="457"/>
      <c r="M142" s="274">
        <f>SUM(M13:M141)</f>
        <v>2113.8407500000003</v>
      </c>
      <c r="N142" s="458">
        <f>N24+N52+N60+N88+N102+N140+N131</f>
        <v>9176.3800073045022</v>
      </c>
      <c r="O142" s="148"/>
    </row>
    <row r="143" spans="1:17" s="148" customFormat="1" ht="12.75" customHeight="1" x14ac:dyDescent="0.2">
      <c r="A143" s="51"/>
      <c r="B143" s="51"/>
      <c r="C143" s="51"/>
      <c r="D143" s="51"/>
      <c r="E143" s="51"/>
      <c r="F143" s="51"/>
      <c r="G143" s="52"/>
      <c r="H143" s="52"/>
      <c r="I143" s="52"/>
      <c r="J143" s="52"/>
      <c r="K143" s="52"/>
      <c r="L143" s="52"/>
      <c r="M143" s="52"/>
      <c r="N143" s="52"/>
      <c r="O143" s="19"/>
      <c r="P143" s="281"/>
    </row>
    <row r="144" spans="1:17" ht="12.75" customHeight="1" x14ac:dyDescent="0.2">
      <c r="A144" s="148"/>
      <c r="B144" s="280" t="s">
        <v>265</v>
      </c>
      <c r="C144" s="148"/>
      <c r="D144" s="148"/>
      <c r="E144" s="148"/>
      <c r="F144" s="148"/>
      <c r="G144" s="148"/>
      <c r="H144" s="148"/>
      <c r="I144" s="148"/>
      <c r="J144" s="148"/>
      <c r="K144" s="274">
        <f>K142+(K142*O5)</f>
        <v>9010.3875844690829</v>
      </c>
      <c r="L144" s="457"/>
      <c r="M144" s="274">
        <f>M142+(M142*O7)</f>
        <v>2488.4133309000003</v>
      </c>
      <c r="N144" s="458">
        <f>K144+M144</f>
        <v>11498.800915369084</v>
      </c>
      <c r="O144" s="29">
        <f>N144/RESUMO!H95</f>
        <v>1.5879066205857742E-3</v>
      </c>
    </row>
    <row r="147" spans="1:15" ht="12.75" customHeight="1" x14ac:dyDescent="0.2">
      <c r="K147" s="311"/>
    </row>
    <row r="148" spans="1:15" ht="12.75" customHeight="1" x14ac:dyDescent="0.2">
      <c r="M148" s="311">
        <f>K142+M142</f>
        <v>9176.3800073045022</v>
      </c>
      <c r="N148" s="311"/>
    </row>
    <row r="155" spans="1:15" ht="12.75" customHeight="1" x14ac:dyDescent="0.2">
      <c r="A155" s="150"/>
      <c r="B155" s="150"/>
      <c r="C155" s="150"/>
      <c r="D155" s="150"/>
      <c r="E155" s="150"/>
      <c r="F155" s="150"/>
      <c r="G155" s="150"/>
      <c r="H155" s="150"/>
      <c r="I155" s="150"/>
      <c r="J155" s="150"/>
      <c r="K155" s="150"/>
      <c r="L155" s="150"/>
      <c r="M155" s="150"/>
      <c r="N155" s="211"/>
      <c r="O155" s="211"/>
    </row>
    <row r="156" spans="1:15" ht="12.75" customHeight="1" x14ac:dyDescent="0.2">
      <c r="A156" s="88"/>
      <c r="C156" s="184"/>
      <c r="D156" s="184"/>
      <c r="E156" s="184"/>
      <c r="F156" s="184"/>
      <c r="G156" s="184"/>
      <c r="H156" s="184"/>
      <c r="I156" s="184"/>
      <c r="J156" s="184"/>
      <c r="K156" s="184"/>
      <c r="L156" s="184"/>
      <c r="M156" s="184"/>
      <c r="N156" s="184"/>
      <c r="O156" s="459"/>
    </row>
  </sheetData>
  <mergeCells count="3">
    <mergeCell ref="A2:O2"/>
    <mergeCell ref="N4:O4"/>
    <mergeCell ref="A5:B6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legacyDrawingHF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>
    <tabColor theme="9" tint="0.39997558519241921"/>
    <pageSetUpPr fitToPage="1"/>
  </sheetPr>
  <dimension ref="A1:R266"/>
  <sheetViews>
    <sheetView view="pageBreakPreview" zoomScale="90" zoomScaleNormal="90" zoomScaleSheetLayoutView="90" workbookViewId="0">
      <selection activeCell="Q88" sqref="Q88"/>
    </sheetView>
  </sheetViews>
  <sheetFormatPr defaultRowHeight="12.75" customHeight="1" x14ac:dyDescent="0.2"/>
  <cols>
    <col min="1" max="5" width="9.140625" style="51"/>
    <col min="6" max="6" width="31.7109375" style="51" customWidth="1"/>
    <col min="7" max="7" width="11.42578125" style="51"/>
    <col min="8" max="9" width="11.42578125" style="51" customWidth="1"/>
    <col min="10" max="10" width="12.7109375" style="51" hidden="1" customWidth="1"/>
    <col min="11" max="11" width="14.28515625" style="51" customWidth="1"/>
    <col min="12" max="12" width="8.42578125" style="51" hidden="1" customWidth="1"/>
    <col min="13" max="13" width="14.28515625" style="51" customWidth="1"/>
    <col min="14" max="14" width="17.140625" style="51" customWidth="1"/>
    <col min="15" max="15" width="11.42578125" style="51" customWidth="1"/>
    <col min="16" max="17" width="9.140625" style="51"/>
    <col min="18" max="18" width="10" style="51" bestFit="1" customWidth="1"/>
    <col min="19" max="16384" width="9.140625" style="51"/>
  </cols>
  <sheetData>
    <row r="1" spans="1:15" ht="7.5" customHeight="1" x14ac:dyDescent="0.2"/>
    <row r="2" spans="1:15" ht="12.75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5" ht="7.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</row>
    <row r="4" spans="1:15" ht="12.75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5" ht="12.75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5" ht="12.75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5" ht="12.75" customHeight="1" x14ac:dyDescent="0.2">
      <c r="A7" s="253"/>
      <c r="B7" s="253"/>
      <c r="C7" s="260" t="s">
        <v>6</v>
      </c>
      <c r="D7" s="263" t="str">
        <f>RESUMO!A74</f>
        <v>U.C. : 14</v>
      </c>
      <c r="E7" s="258"/>
      <c r="F7" s="258"/>
      <c r="G7" s="260" t="s">
        <v>9</v>
      </c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5" ht="12.75" customHeight="1" x14ac:dyDescent="0.2">
      <c r="A8" s="253"/>
      <c r="B8" s="253"/>
      <c r="C8" s="260"/>
      <c r="D8" s="263"/>
      <c r="E8" s="258"/>
      <c r="F8" s="258"/>
      <c r="G8" s="260"/>
      <c r="J8" s="277"/>
      <c r="K8" s="277"/>
      <c r="L8" s="277"/>
      <c r="M8" s="277" t="s">
        <v>774</v>
      </c>
      <c r="N8" s="261"/>
      <c r="O8" s="234"/>
    </row>
    <row r="9" spans="1:15" ht="12.75" customHeight="1" thickBot="1" x14ac:dyDescent="0.25">
      <c r="A9" s="124"/>
      <c r="B9" s="125"/>
      <c r="C9" s="266" t="s">
        <v>8</v>
      </c>
      <c r="D9" s="267" t="str">
        <f>RESUMO!B74</f>
        <v>ESTAÇÃO ELEVATÓRIA DE ESGOTO - EEE01</v>
      </c>
      <c r="E9" s="268"/>
      <c r="F9" s="268"/>
      <c r="G9" s="266"/>
      <c r="H9" s="123"/>
      <c r="I9" s="278"/>
      <c r="J9" s="278"/>
      <c r="K9" s="278"/>
      <c r="L9" s="278"/>
      <c r="M9" s="278" t="s">
        <v>654</v>
      </c>
      <c r="N9" s="271"/>
      <c r="O9" s="268"/>
    </row>
    <row r="10" spans="1:15" ht="12.75" customHeight="1" thickTop="1" x14ac:dyDescent="0.2">
      <c r="A10" s="126"/>
      <c r="B10" s="126" t="s">
        <v>10</v>
      </c>
      <c r="C10" s="127"/>
      <c r="D10" s="127"/>
      <c r="E10" s="127"/>
      <c r="F10" s="127"/>
      <c r="G10" s="128" t="s">
        <v>11</v>
      </c>
      <c r="H10" s="128" t="s">
        <v>12</v>
      </c>
      <c r="I10" s="128" t="s">
        <v>13</v>
      </c>
      <c r="J10" s="128"/>
      <c r="K10" s="128" t="s">
        <v>212</v>
      </c>
      <c r="L10" s="128"/>
      <c r="M10" s="128" t="s">
        <v>213</v>
      </c>
      <c r="N10" s="128" t="s">
        <v>14</v>
      </c>
      <c r="O10" s="128" t="s">
        <v>15</v>
      </c>
    </row>
    <row r="11" spans="1:15" ht="7.5" customHeight="1" x14ac:dyDescent="0.2">
      <c r="O11" s="61"/>
    </row>
    <row r="12" spans="1:15" ht="12.75" customHeight="1" x14ac:dyDescent="0.2">
      <c r="A12" s="93">
        <f>RESUMO!A78</f>
        <v>4</v>
      </c>
      <c r="B12" s="93" t="str">
        <f>RESUMO!B78</f>
        <v>INTERLIGAÇÕES - MATERIAIS</v>
      </c>
      <c r="H12" s="491"/>
      <c r="O12" s="61"/>
    </row>
    <row r="13" spans="1:15" ht="12.75" customHeight="1" x14ac:dyDescent="0.2">
      <c r="A13" s="129">
        <v>21</v>
      </c>
      <c r="B13" s="88" t="s">
        <v>818</v>
      </c>
      <c r="H13" s="505"/>
      <c r="O13" s="61"/>
    </row>
    <row r="14" spans="1:15" ht="12.75" hidden="1" customHeight="1" x14ac:dyDescent="0.2">
      <c r="A14" s="98">
        <v>2104</v>
      </c>
      <c r="B14" s="88" t="s">
        <v>819</v>
      </c>
      <c r="G14" s="52"/>
      <c r="H14" s="501"/>
      <c r="I14" s="52"/>
      <c r="J14" s="52"/>
      <c r="K14" s="52"/>
      <c r="L14" s="52"/>
      <c r="M14" s="52"/>
      <c r="N14" s="52"/>
      <c r="O14" s="19"/>
    </row>
    <row r="15" spans="1:15" ht="12.75" hidden="1" customHeight="1" x14ac:dyDescent="0.2">
      <c r="A15" s="98" t="s">
        <v>1140</v>
      </c>
      <c r="B15" s="88" t="s">
        <v>1141</v>
      </c>
      <c r="G15" s="97" t="s">
        <v>24</v>
      </c>
      <c r="H15" s="502">
        <v>0</v>
      </c>
      <c r="I15" s="72">
        <f>VLOOKUP(A15,'[1]TAB OGU JUN18'!$A:$G,6,"falso")</f>
        <v>54.11</v>
      </c>
      <c r="J15" s="72">
        <f>VLOOKUP(A15,'[1]TAB OGU JUN18'!$A:$G,4,"falso")</f>
        <v>0</v>
      </c>
      <c r="K15" s="15"/>
      <c r="L15" s="72">
        <f>VLOOKUP(A15,'[1]TAB OGU JUN18'!$A:$G,5,"falso")</f>
        <v>54.11</v>
      </c>
      <c r="M15" s="15">
        <f>H15*L15</f>
        <v>0</v>
      </c>
      <c r="N15" s="15">
        <f>H15*I15</f>
        <v>0</v>
      </c>
      <c r="O15" s="25" t="e">
        <f>N15/N18</f>
        <v>#DIV/0!</v>
      </c>
    </row>
    <row r="16" spans="1:15" ht="12.75" hidden="1" customHeight="1" x14ac:dyDescent="0.2">
      <c r="A16" s="98" t="s">
        <v>820</v>
      </c>
      <c r="B16" s="88" t="s">
        <v>1139</v>
      </c>
      <c r="G16" s="97" t="s">
        <v>24</v>
      </c>
      <c r="H16" s="502">
        <v>0</v>
      </c>
      <c r="I16" s="72">
        <f>VLOOKUP(A16,'[1]TAB OGU JUN18'!$A:$G,6,"falso")</f>
        <v>64.37</v>
      </c>
      <c r="J16" s="72">
        <f>VLOOKUP(A16,'[1]TAB OGU JUN18'!$A:$G,4,"falso")</f>
        <v>0</v>
      </c>
      <c r="K16" s="15"/>
      <c r="L16" s="72">
        <f>VLOOKUP(A16,'[1]TAB OGU JUN18'!$A:$G,5,"falso")</f>
        <v>64.37</v>
      </c>
      <c r="M16" s="15">
        <f>H16*L16</f>
        <v>0</v>
      </c>
      <c r="N16" s="15">
        <f>H16*I16</f>
        <v>0</v>
      </c>
      <c r="O16" s="25" t="e">
        <f>N16/N18</f>
        <v>#DIV/0!</v>
      </c>
    </row>
    <row r="17" spans="1:16" ht="12.75" hidden="1" customHeight="1" x14ac:dyDescent="0.2">
      <c r="G17" s="52"/>
      <c r="H17" s="501"/>
      <c r="I17" s="52"/>
      <c r="J17" s="52"/>
      <c r="K17" s="52"/>
      <c r="L17" s="52"/>
      <c r="M17" s="52"/>
      <c r="N17" s="52"/>
      <c r="O17" s="19"/>
    </row>
    <row r="18" spans="1:16" ht="12.75" hidden="1" customHeight="1" x14ac:dyDescent="0.2">
      <c r="B18" s="130" t="s">
        <v>18</v>
      </c>
      <c r="C18" s="131"/>
      <c r="D18" s="131"/>
      <c r="E18" s="131"/>
      <c r="F18" s="131"/>
      <c r="G18" s="53"/>
      <c r="H18" s="503"/>
      <c r="I18" s="53"/>
      <c r="J18" s="53"/>
      <c r="K18" s="53"/>
      <c r="L18" s="53"/>
      <c r="M18" s="53"/>
      <c r="N18" s="15">
        <f>SUM(N15:N16)</f>
        <v>0</v>
      </c>
      <c r="O18" s="25">
        <f>N18/N64</f>
        <v>0</v>
      </c>
    </row>
    <row r="19" spans="1:16" ht="12.75" hidden="1" customHeight="1" x14ac:dyDescent="0.2">
      <c r="B19" s="130"/>
      <c r="G19" s="52"/>
      <c r="H19" s="501"/>
      <c r="I19" s="52"/>
      <c r="J19" s="52"/>
      <c r="K19" s="52"/>
      <c r="L19" s="52"/>
      <c r="M19" s="52"/>
      <c r="N19" s="15"/>
      <c r="O19" s="25"/>
    </row>
    <row r="20" spans="1:16" ht="12.75" customHeight="1" x14ac:dyDescent="0.2">
      <c r="A20" s="98">
        <v>2112</v>
      </c>
      <c r="B20" s="88" t="s">
        <v>821</v>
      </c>
      <c r="G20" s="52"/>
      <c r="H20" s="501"/>
      <c r="I20" s="52"/>
      <c r="J20" s="52"/>
      <c r="K20" s="52"/>
      <c r="L20" s="52"/>
      <c r="M20" s="52"/>
      <c r="N20" s="52"/>
      <c r="O20" s="19"/>
    </row>
    <row r="21" spans="1:16" ht="12.75" customHeight="1" x14ac:dyDescent="0.2">
      <c r="A21" s="98" t="s">
        <v>1021</v>
      </c>
      <c r="B21" s="88" t="s">
        <v>897</v>
      </c>
      <c r="G21" s="97" t="s">
        <v>24</v>
      </c>
      <c r="H21" s="502">
        <v>1</v>
      </c>
      <c r="I21" s="72">
        <f>VLOOKUP(A21,'[1]TAB OGU JUN18'!$A:$G,6,"falso")</f>
        <v>235.27</v>
      </c>
      <c r="J21" s="72">
        <f>VLOOKUP(A21,'[1]TAB OGU JUN18'!$A:$G,4,"falso")</f>
        <v>0</v>
      </c>
      <c r="K21" s="15"/>
      <c r="L21" s="72">
        <f>VLOOKUP(A21,'[1]TAB OGU JUN18'!$A:$G,5,"falso")</f>
        <v>235.27</v>
      </c>
      <c r="M21" s="15">
        <f>H21*L21</f>
        <v>235.27</v>
      </c>
      <c r="N21" s="15">
        <f>H21*I21</f>
        <v>235.27</v>
      </c>
      <c r="O21" s="25">
        <f>N21/N25</f>
        <v>1</v>
      </c>
    </row>
    <row r="22" spans="1:16" ht="12.75" hidden="1" customHeight="1" x14ac:dyDescent="0.2">
      <c r="A22" s="98" t="s">
        <v>1142</v>
      </c>
      <c r="B22" s="88" t="s">
        <v>1143</v>
      </c>
      <c r="G22" s="97" t="s">
        <v>24</v>
      </c>
      <c r="H22" s="502">
        <v>0</v>
      </c>
      <c r="I22" s="72">
        <f>VLOOKUP(A22,'[1]TAB OGU JUN18'!$A:$G,6,"falso")</f>
        <v>269.87</v>
      </c>
      <c r="J22" s="72">
        <f>VLOOKUP(A22,'[1]TAB OGU JUN18'!$A:$G,4,"falso")</f>
        <v>0</v>
      </c>
      <c r="K22" s="15"/>
      <c r="L22" s="72">
        <f>VLOOKUP(A22,'[1]TAB OGU JUN18'!$A:$G,5,"falso")</f>
        <v>269.87</v>
      </c>
      <c r="M22" s="15">
        <f>H22*L22</f>
        <v>0</v>
      </c>
      <c r="N22" s="15">
        <f>H22*I22</f>
        <v>0</v>
      </c>
      <c r="O22" s="25">
        <f>N22/N25</f>
        <v>0</v>
      </c>
      <c r="P22" s="602"/>
    </row>
    <row r="23" spans="1:16" ht="12.75" hidden="1" customHeight="1" x14ac:dyDescent="0.2">
      <c r="A23" s="98" t="s">
        <v>1144</v>
      </c>
      <c r="B23" s="88" t="s">
        <v>1145</v>
      </c>
      <c r="G23" s="97" t="s">
        <v>24</v>
      </c>
      <c r="H23" s="502">
        <v>0</v>
      </c>
      <c r="I23" s="72">
        <f>VLOOKUP(A23,'[1]TAB OGU JUN18'!$A:$G,6,"falso")</f>
        <v>587.28</v>
      </c>
      <c r="J23" s="72">
        <f>VLOOKUP(A23,'[1]TAB OGU JUN18'!$A:$G,4,"falso")</f>
        <v>0</v>
      </c>
      <c r="K23" s="15"/>
      <c r="L23" s="72">
        <f>VLOOKUP(A23,'[1]TAB OGU JUN18'!$A:$G,5,"falso")</f>
        <v>587.28</v>
      </c>
      <c r="M23" s="15">
        <f>H23*L23</f>
        <v>0</v>
      </c>
      <c r="N23" s="15">
        <f>H23*I23</f>
        <v>0</v>
      </c>
      <c r="O23" s="25">
        <f>N23/N25</f>
        <v>0</v>
      </c>
    </row>
    <row r="24" spans="1:16" ht="12.75" customHeight="1" x14ac:dyDescent="0.2">
      <c r="G24" s="52"/>
      <c r="H24" s="501"/>
      <c r="I24" s="52"/>
      <c r="J24" s="52"/>
      <c r="K24" s="52"/>
      <c r="L24" s="52"/>
      <c r="M24" s="52"/>
      <c r="N24" s="52"/>
      <c r="O24" s="19"/>
    </row>
    <row r="25" spans="1:16" ht="12.75" customHeight="1" x14ac:dyDescent="0.2">
      <c r="B25" s="130" t="s">
        <v>18</v>
      </c>
      <c r="C25" s="131"/>
      <c r="D25" s="131"/>
      <c r="E25" s="131"/>
      <c r="F25" s="131"/>
      <c r="G25" s="53"/>
      <c r="H25" s="503"/>
      <c r="I25" s="53"/>
      <c r="J25" s="53"/>
      <c r="K25" s="53"/>
      <c r="L25" s="53"/>
      <c r="M25" s="53"/>
      <c r="N25" s="15">
        <f>SUM(N21:N23)</f>
        <v>235.27</v>
      </c>
      <c r="O25" s="25">
        <f>N25/N64</f>
        <v>6.5784948341185853E-2</v>
      </c>
    </row>
    <row r="26" spans="1:16" ht="12.75" customHeight="1" x14ac:dyDescent="0.2">
      <c r="B26" s="130"/>
      <c r="C26" s="492"/>
      <c r="D26" s="492"/>
      <c r="E26" s="492"/>
      <c r="F26" s="492"/>
      <c r="G26" s="493"/>
      <c r="H26" s="509"/>
      <c r="I26" s="493"/>
      <c r="J26" s="493"/>
      <c r="K26" s="493"/>
      <c r="L26" s="493"/>
      <c r="M26" s="493"/>
      <c r="N26" s="15"/>
      <c r="O26" s="25"/>
    </row>
    <row r="27" spans="1:16" ht="12.75" customHeight="1" x14ac:dyDescent="0.2">
      <c r="A27" s="519">
        <v>2103</v>
      </c>
      <c r="B27" s="130" t="s">
        <v>482</v>
      </c>
      <c r="G27" s="52"/>
      <c r="H27" s="501"/>
      <c r="I27" s="52"/>
      <c r="J27" s="52"/>
      <c r="K27" s="52"/>
      <c r="L27" s="52"/>
      <c r="M27" s="52"/>
      <c r="N27" s="15"/>
      <c r="O27" s="25"/>
    </row>
    <row r="28" spans="1:16" ht="12.75" hidden="1" customHeight="1" x14ac:dyDescent="0.2">
      <c r="A28" s="129" t="s">
        <v>1151</v>
      </c>
      <c r="B28" s="88" t="s">
        <v>1150</v>
      </c>
      <c r="G28" s="97" t="s">
        <v>24</v>
      </c>
      <c r="H28" s="502">
        <v>0</v>
      </c>
      <c r="I28" s="72">
        <f>VLOOKUP(A28,'[1]TAB OGU JUN18'!$A:$G,6,"falso")</f>
        <v>15.54</v>
      </c>
      <c r="J28" s="72">
        <f>VLOOKUP(A28,'[1]TAB OGU JUN18'!$A:$G,4,"falso")</f>
        <v>0</v>
      </c>
      <c r="K28" s="15"/>
      <c r="L28" s="72">
        <f>VLOOKUP(A28,'[1]TAB OGU JUN18'!$A:$G,5,"falso")</f>
        <v>15.54</v>
      </c>
      <c r="M28" s="15">
        <f>H28*L28</f>
        <v>0</v>
      </c>
      <c r="N28" s="15">
        <f>H28*I28</f>
        <v>0</v>
      </c>
      <c r="O28" s="25">
        <f>N28/N34</f>
        <v>0</v>
      </c>
    </row>
    <row r="29" spans="1:16" ht="12.75" hidden="1" customHeight="1" x14ac:dyDescent="0.2">
      <c r="A29" s="129" t="s">
        <v>1152</v>
      </c>
      <c r="B29" s="88" t="s">
        <v>1153</v>
      </c>
      <c r="G29" s="97" t="s">
        <v>24</v>
      </c>
      <c r="H29" s="502">
        <v>0</v>
      </c>
      <c r="I29" s="72">
        <f>VLOOKUP(A29,'[1]TAB OGU JUN18'!$A:$G,6,"falso")</f>
        <v>15.54</v>
      </c>
      <c r="J29" s="72">
        <f>VLOOKUP(A29,'[1]TAB OGU JUN18'!$A:$G,4,"falso")</f>
        <v>0</v>
      </c>
      <c r="K29" s="15"/>
      <c r="L29" s="72">
        <f>VLOOKUP(A29,'[1]TAB OGU JUN18'!$A:$G,5,"falso")</f>
        <v>15.54</v>
      </c>
      <c r="M29" s="15">
        <f>H29*L29</f>
        <v>0</v>
      </c>
      <c r="N29" s="15">
        <f>H29*I29</f>
        <v>0</v>
      </c>
      <c r="O29" s="25">
        <f>N29/N34</f>
        <v>0</v>
      </c>
    </row>
    <row r="30" spans="1:16" ht="12.75" customHeight="1" x14ac:dyDescent="0.2">
      <c r="A30" s="129" t="s">
        <v>484</v>
      </c>
      <c r="B30" s="88" t="s">
        <v>485</v>
      </c>
      <c r="G30" s="97" t="s">
        <v>24</v>
      </c>
      <c r="H30" s="502">
        <v>35</v>
      </c>
      <c r="I30" s="72">
        <f>VLOOKUP(A30,'[1]TAB OGU JUN18'!$A:$G,6,"falso")</f>
        <v>29.78</v>
      </c>
      <c r="J30" s="72">
        <f>VLOOKUP(A30,'[1]TAB OGU JUN18'!$A:$G,4,"falso")</f>
        <v>0</v>
      </c>
      <c r="K30" s="15"/>
      <c r="L30" s="72">
        <f>VLOOKUP(A30,'[1]TAB OGU JUN18'!$A:$G,5,"falso")</f>
        <v>29.78</v>
      </c>
      <c r="M30" s="15">
        <f>H30*L30</f>
        <v>1042.3</v>
      </c>
      <c r="N30" s="15">
        <f>H30*I30</f>
        <v>1042.3</v>
      </c>
      <c r="O30" s="25">
        <f>N30/N34</f>
        <v>1</v>
      </c>
      <c r="P30" s="586"/>
    </row>
    <row r="31" spans="1:16" ht="12.75" hidden="1" customHeight="1" x14ac:dyDescent="0.2">
      <c r="A31" s="129" t="s">
        <v>1146</v>
      </c>
      <c r="B31" s="88" t="s">
        <v>1147</v>
      </c>
      <c r="G31" s="97" t="s">
        <v>24</v>
      </c>
      <c r="H31" s="502">
        <v>0</v>
      </c>
      <c r="I31" s="72">
        <f>VLOOKUP(A31,'[1]TAB OGU JUN18'!$A:$G,6,"falso")</f>
        <v>59.56</v>
      </c>
      <c r="J31" s="72">
        <f>VLOOKUP(A31,'[1]TAB OGU JUN18'!$A:$G,4,"falso")</f>
        <v>0</v>
      </c>
      <c r="K31" s="15"/>
      <c r="L31" s="72">
        <f>VLOOKUP(A31,'[1]TAB OGU JUN18'!$A:$G,5,"falso")</f>
        <v>59.56</v>
      </c>
      <c r="M31" s="15">
        <f>H31*L31</f>
        <v>0</v>
      </c>
      <c r="N31" s="15">
        <f>H31*I31</f>
        <v>0</v>
      </c>
      <c r="O31" s="25">
        <f>N31/N34</f>
        <v>0</v>
      </c>
    </row>
    <row r="32" spans="1:16" ht="12.75" hidden="1" customHeight="1" x14ac:dyDescent="0.2">
      <c r="A32" s="129" t="s">
        <v>1148</v>
      </c>
      <c r="B32" s="88" t="s">
        <v>1149</v>
      </c>
      <c r="G32" s="97" t="s">
        <v>24</v>
      </c>
      <c r="H32" s="502">
        <v>0</v>
      </c>
      <c r="I32" s="72">
        <f>VLOOKUP(A32,'[1]TAB OGU JUN18'!$A:$G,6,"falso")</f>
        <v>62.15</v>
      </c>
      <c r="J32" s="72">
        <f>VLOOKUP(A32,'[1]TAB OGU JUN18'!$A:$G,4,"falso")</f>
        <v>0</v>
      </c>
      <c r="K32" s="15"/>
      <c r="L32" s="72">
        <f>VLOOKUP(A32,'[1]TAB OGU JUN18'!$A:$G,5,"falso")</f>
        <v>62.15</v>
      </c>
      <c r="M32" s="15">
        <f>H32*L32</f>
        <v>0</v>
      </c>
      <c r="N32" s="15">
        <f>H32*I32</f>
        <v>0</v>
      </c>
      <c r="O32" s="25">
        <f>N32/N34</f>
        <v>0</v>
      </c>
    </row>
    <row r="33" spans="1:17" ht="12.75" customHeight="1" x14ac:dyDescent="0.2">
      <c r="B33" s="130"/>
      <c r="G33" s="52"/>
      <c r="H33" s="501"/>
      <c r="I33" s="52"/>
      <c r="J33" s="52"/>
      <c r="K33" s="52"/>
      <c r="L33" s="52"/>
      <c r="M33" s="52"/>
      <c r="N33" s="15"/>
      <c r="O33" s="25"/>
    </row>
    <row r="34" spans="1:17" ht="12.75" customHeight="1" x14ac:dyDescent="0.2">
      <c r="B34" s="130" t="s">
        <v>18</v>
      </c>
      <c r="C34" s="131"/>
      <c r="D34" s="131"/>
      <c r="E34" s="131"/>
      <c r="F34" s="131"/>
      <c r="G34" s="53"/>
      <c r="H34" s="503"/>
      <c r="I34" s="53"/>
      <c r="J34" s="53"/>
      <c r="K34" s="53"/>
      <c r="L34" s="53"/>
      <c r="M34" s="53"/>
      <c r="N34" s="15">
        <f>SUM(N28:N32)</f>
        <v>1042.3</v>
      </c>
      <c r="O34" s="25">
        <f>N34/N64</f>
        <v>0.29144239238329583</v>
      </c>
    </row>
    <row r="35" spans="1:17" ht="12.75" hidden="1" customHeight="1" x14ac:dyDescent="0.2">
      <c r="B35" s="130"/>
      <c r="C35" s="492"/>
      <c r="D35" s="492"/>
      <c r="E35" s="492"/>
      <c r="F35" s="492"/>
      <c r="G35" s="493"/>
      <c r="H35" s="509"/>
      <c r="I35" s="493"/>
      <c r="J35" s="493"/>
      <c r="K35" s="493"/>
      <c r="L35" s="493"/>
      <c r="M35" s="493"/>
      <c r="N35" s="15"/>
      <c r="O35" s="25"/>
    </row>
    <row r="36" spans="1:17" ht="12.75" hidden="1" customHeight="1" x14ac:dyDescent="0.2">
      <c r="A36" s="519">
        <v>2116</v>
      </c>
      <c r="B36" s="130" t="s">
        <v>1154</v>
      </c>
      <c r="G36" s="52"/>
      <c r="H36" s="501"/>
      <c r="I36" s="52"/>
      <c r="J36" s="52"/>
      <c r="K36" s="52"/>
      <c r="L36" s="52"/>
      <c r="M36" s="52"/>
      <c r="N36" s="15"/>
      <c r="O36" s="25"/>
    </row>
    <row r="37" spans="1:17" ht="12.75" hidden="1" customHeight="1" x14ac:dyDescent="0.2">
      <c r="A37" s="129" t="s">
        <v>1155</v>
      </c>
      <c r="B37" s="88" t="s">
        <v>1156</v>
      </c>
      <c r="G37" s="97" t="s">
        <v>24</v>
      </c>
      <c r="H37" s="502">
        <v>0</v>
      </c>
      <c r="I37" s="72">
        <f>VLOOKUP(A37,'[1]TAB OGU JUN18'!$A:$G,6,"falso")</f>
        <v>117.66</v>
      </c>
      <c r="J37" s="72">
        <f>VLOOKUP(A37,'[1]TAB OGU JUN18'!$A:$G,4,"falso")</f>
        <v>0</v>
      </c>
      <c r="K37" s="15"/>
      <c r="L37" s="72">
        <f>VLOOKUP(A37,'[1]TAB OGU JUN18'!$A:$G,5,"falso")</f>
        <v>117.66</v>
      </c>
      <c r="M37" s="15">
        <f>H37*L37</f>
        <v>0</v>
      </c>
      <c r="N37" s="15">
        <f>H37*I37</f>
        <v>0</v>
      </c>
      <c r="O37" s="25" t="e">
        <f>N37/N43</f>
        <v>#DIV/0!</v>
      </c>
    </row>
    <row r="38" spans="1:17" ht="12.75" hidden="1" customHeight="1" x14ac:dyDescent="0.2">
      <c r="A38" s="129" t="s">
        <v>1157</v>
      </c>
      <c r="B38" s="88" t="s">
        <v>1160</v>
      </c>
      <c r="G38" s="97" t="s">
        <v>24</v>
      </c>
      <c r="H38" s="502">
        <v>0</v>
      </c>
      <c r="I38" s="72">
        <f>VLOOKUP(A38,'[1]TAB OGU JUN18'!$A:$G,6,"falso")</f>
        <v>152.21</v>
      </c>
      <c r="J38" s="72">
        <f>VLOOKUP(A38,'[1]TAB OGU JUN18'!$A:$G,4,"falso")</f>
        <v>0</v>
      </c>
      <c r="K38" s="15"/>
      <c r="L38" s="72">
        <f>VLOOKUP(A38,'[1]TAB OGU JUN18'!$A:$G,5,"falso")</f>
        <v>152.21</v>
      </c>
      <c r="M38" s="15">
        <f>H38*L38</f>
        <v>0</v>
      </c>
      <c r="N38" s="15">
        <f>H38*I38</f>
        <v>0</v>
      </c>
      <c r="O38" s="25" t="e">
        <f>N38/N43</f>
        <v>#DIV/0!</v>
      </c>
      <c r="P38" s="586"/>
    </row>
    <row r="39" spans="1:17" ht="12.75" hidden="1" customHeight="1" x14ac:dyDescent="0.2">
      <c r="A39" s="129" t="s">
        <v>1158</v>
      </c>
      <c r="B39" s="88" t="s">
        <v>1161</v>
      </c>
      <c r="G39" s="97" t="s">
        <v>24</v>
      </c>
      <c r="H39" s="502">
        <v>0</v>
      </c>
      <c r="I39" s="72">
        <f>VLOOKUP(A39,'[1]TAB OGU JUN18'!$A:$G,6,"falso")</f>
        <v>186.83</v>
      </c>
      <c r="J39" s="72">
        <f>VLOOKUP(A39,'[1]TAB OGU JUN18'!$A:$G,4,"falso")</f>
        <v>0</v>
      </c>
      <c r="K39" s="15"/>
      <c r="L39" s="72">
        <f>VLOOKUP(A39,'[1]TAB OGU JUN18'!$A:$G,5,"falso")</f>
        <v>186.83</v>
      </c>
      <c r="M39" s="15">
        <f>H39*L39</f>
        <v>0</v>
      </c>
      <c r="N39" s="15">
        <f>H39*I39</f>
        <v>0</v>
      </c>
      <c r="O39" s="25" t="e">
        <f>N39/N43</f>
        <v>#DIV/0!</v>
      </c>
    </row>
    <row r="40" spans="1:17" ht="12.75" hidden="1" customHeight="1" x14ac:dyDescent="0.2">
      <c r="A40" s="129" t="s">
        <v>1159</v>
      </c>
      <c r="B40" s="88" t="s">
        <v>1162</v>
      </c>
      <c r="G40" s="97" t="s">
        <v>24</v>
      </c>
      <c r="H40" s="502">
        <v>0</v>
      </c>
      <c r="I40" s="72">
        <f>VLOOKUP(A40,'[1]TAB OGU JUN18'!$A:$G,6,"falso")</f>
        <v>249.08</v>
      </c>
      <c r="J40" s="72">
        <f>VLOOKUP(A40,'[1]TAB OGU JUN18'!$A:$G,4,"falso")</f>
        <v>0</v>
      </c>
      <c r="K40" s="15"/>
      <c r="L40" s="72">
        <f>VLOOKUP(A40,'[1]TAB OGU JUN18'!$A:$G,5,"falso")</f>
        <v>249.08</v>
      </c>
      <c r="M40" s="15">
        <f>H40*L40</f>
        <v>0</v>
      </c>
      <c r="N40" s="15">
        <f>H40*I40</f>
        <v>0</v>
      </c>
      <c r="O40" s="25" t="e">
        <f>N40/N43</f>
        <v>#DIV/0!</v>
      </c>
    </row>
    <row r="41" spans="1:17" ht="12.75" hidden="1" customHeight="1" x14ac:dyDescent="0.2">
      <c r="A41" s="129" t="s">
        <v>1163</v>
      </c>
      <c r="B41" s="88" t="s">
        <v>1164</v>
      </c>
      <c r="G41" s="97" t="s">
        <v>24</v>
      </c>
      <c r="H41" s="502">
        <v>0</v>
      </c>
      <c r="I41" s="72">
        <f>VLOOKUP(A41,'[1]TAB OGU JUN18'!$A:$G,6,"falso")</f>
        <v>372.49</v>
      </c>
      <c r="J41" s="72">
        <f>VLOOKUP(A41,'[1]TAB OGU JUN18'!$A:$G,4,"falso")</f>
        <v>0</v>
      </c>
      <c r="K41" s="15"/>
      <c r="L41" s="72">
        <f>VLOOKUP(A41,'[1]TAB OGU JUN18'!$A:$G,5,"falso")</f>
        <v>372.49</v>
      </c>
      <c r="M41" s="15">
        <f>H41*L41</f>
        <v>0</v>
      </c>
      <c r="N41" s="15">
        <f>H41*I41</f>
        <v>0</v>
      </c>
      <c r="O41" s="25" t="e">
        <f>N41/N43</f>
        <v>#DIV/0!</v>
      </c>
    </row>
    <row r="42" spans="1:17" ht="12.75" hidden="1" customHeight="1" x14ac:dyDescent="0.2">
      <c r="B42" s="130"/>
      <c r="C42" s="492"/>
      <c r="D42" s="492"/>
      <c r="E42" s="492"/>
      <c r="F42" s="492"/>
      <c r="G42" s="493"/>
      <c r="H42" s="509"/>
      <c r="I42" s="493"/>
      <c r="J42" s="493"/>
      <c r="K42" s="493"/>
      <c r="L42" s="493"/>
      <c r="M42" s="493"/>
      <c r="N42" s="15"/>
      <c r="O42" s="25"/>
    </row>
    <row r="43" spans="1:17" ht="12.75" hidden="1" customHeight="1" x14ac:dyDescent="0.2">
      <c r="B43" s="130" t="s">
        <v>18</v>
      </c>
      <c r="C43" s="131"/>
      <c r="D43" s="131"/>
      <c r="E43" s="131"/>
      <c r="F43" s="131"/>
      <c r="G43" s="53"/>
      <c r="H43" s="503"/>
      <c r="I43" s="53"/>
      <c r="J43" s="53"/>
      <c r="K43" s="53"/>
      <c r="L43" s="53"/>
      <c r="M43" s="53"/>
      <c r="N43" s="15">
        <f>SUM(N37:N41)</f>
        <v>0</v>
      </c>
      <c r="O43" s="25">
        <f>N43/N64</f>
        <v>0</v>
      </c>
    </row>
    <row r="44" spans="1:17" ht="12.75" hidden="1" customHeight="1" x14ac:dyDescent="0.2">
      <c r="B44" s="130"/>
      <c r="C44" s="492"/>
      <c r="D44" s="492"/>
      <c r="E44" s="492"/>
      <c r="F44" s="492"/>
      <c r="G44" s="493"/>
      <c r="H44" s="509"/>
      <c r="I44" s="493"/>
      <c r="J44" s="493"/>
      <c r="K44" s="493"/>
      <c r="L44" s="493"/>
      <c r="M44" s="493"/>
      <c r="N44" s="15"/>
      <c r="O44" s="25"/>
      <c r="Q44" s="602"/>
    </row>
    <row r="45" spans="1:17" ht="12.75" hidden="1" customHeight="1" x14ac:dyDescent="0.2">
      <c r="A45" s="519">
        <v>2125</v>
      </c>
      <c r="B45" s="130" t="s">
        <v>1053</v>
      </c>
      <c r="G45" s="52"/>
      <c r="H45" s="501"/>
      <c r="I45" s="52"/>
      <c r="J45" s="52"/>
      <c r="K45" s="52"/>
      <c r="L45" s="52"/>
      <c r="M45" s="52"/>
      <c r="N45" s="15"/>
      <c r="O45" s="25"/>
    </row>
    <row r="46" spans="1:17" ht="12.75" hidden="1" customHeight="1" x14ac:dyDescent="0.2">
      <c r="A46" s="129" t="s">
        <v>1054</v>
      </c>
      <c r="B46" s="88" t="s">
        <v>1055</v>
      </c>
      <c r="G46" s="97" t="s">
        <v>24</v>
      </c>
      <c r="H46" s="502">
        <v>0</v>
      </c>
      <c r="I46" s="72">
        <f>VLOOKUP(A46,'[1]TAB OGU JUN18'!$A:$G,6,"falso")</f>
        <v>69.17</v>
      </c>
      <c r="J46" s="72">
        <f>VLOOKUP(A46,'[1]TAB OGU JUN18'!$A:$G,4,"falso")</f>
        <v>0</v>
      </c>
      <c r="K46" s="15"/>
      <c r="L46" s="72">
        <f>VLOOKUP(A46,'[1]TAB OGU JUN18'!$A:$G,5,"falso")</f>
        <v>69.17</v>
      </c>
      <c r="M46" s="15">
        <f>H46*L46</f>
        <v>0</v>
      </c>
      <c r="N46" s="15">
        <f>H46*I46</f>
        <v>0</v>
      </c>
      <c r="O46" s="25" t="e">
        <f>N46/N51</f>
        <v>#DIV/0!</v>
      </c>
    </row>
    <row r="47" spans="1:17" ht="12.75" hidden="1" customHeight="1" x14ac:dyDescent="0.2">
      <c r="A47" s="129" t="s">
        <v>1056</v>
      </c>
      <c r="B47" s="88" t="s">
        <v>1057</v>
      </c>
      <c r="G47" s="97" t="s">
        <v>24</v>
      </c>
      <c r="H47" s="502">
        <v>0</v>
      </c>
      <c r="I47" s="72">
        <f>VLOOKUP(A47,'[1]TAB OGU JUN18'!$A:$G,6,"falso")</f>
        <v>79.58</v>
      </c>
      <c r="J47" s="72">
        <f>VLOOKUP(A47,'[1]TAB OGU JUN18'!$A:$G,4,"falso")</f>
        <v>0</v>
      </c>
      <c r="K47" s="15"/>
      <c r="L47" s="72">
        <f>VLOOKUP(A47,'[1]TAB OGU JUN18'!$A:$G,5,"falso")</f>
        <v>79.58</v>
      </c>
      <c r="M47" s="15">
        <f>H47*L47</f>
        <v>0</v>
      </c>
      <c r="N47" s="15">
        <f>H47*I47</f>
        <v>0</v>
      </c>
      <c r="O47" s="25" t="e">
        <f>N47/N51</f>
        <v>#DIV/0!</v>
      </c>
    </row>
    <row r="48" spans="1:17" ht="12.75" hidden="1" customHeight="1" x14ac:dyDescent="0.2">
      <c r="A48" s="129" t="s">
        <v>1165</v>
      </c>
      <c r="B48" s="88" t="s">
        <v>1166</v>
      </c>
      <c r="G48" s="97" t="s">
        <v>24</v>
      </c>
      <c r="H48" s="502">
        <v>0</v>
      </c>
      <c r="I48" s="72">
        <f>VLOOKUP(A48,'[1]TAB OGU JUN18'!$A:$G,6,"falso")</f>
        <v>121.1</v>
      </c>
      <c r="J48" s="72">
        <f>VLOOKUP(A48,'[1]TAB OGU JUN18'!$A:$G,4,"falso")</f>
        <v>0</v>
      </c>
      <c r="K48" s="15"/>
      <c r="L48" s="72">
        <f>VLOOKUP(A48,'[1]TAB OGU JUN18'!$A:$G,5,"falso")</f>
        <v>121.1</v>
      </c>
      <c r="M48" s="15">
        <f>H48*L48</f>
        <v>0</v>
      </c>
      <c r="N48" s="15">
        <f>H48*I48</f>
        <v>0</v>
      </c>
      <c r="O48" s="25" t="e">
        <f>N48/N51</f>
        <v>#DIV/0!</v>
      </c>
      <c r="P48" s="586"/>
    </row>
    <row r="49" spans="1:16" ht="12.75" hidden="1" customHeight="1" x14ac:dyDescent="0.2">
      <c r="A49" s="129" t="s">
        <v>1167</v>
      </c>
      <c r="B49" s="88" t="s">
        <v>1168</v>
      </c>
      <c r="G49" s="97" t="s">
        <v>24</v>
      </c>
      <c r="H49" s="502">
        <v>0</v>
      </c>
      <c r="I49" s="72">
        <f>VLOOKUP(A49,'[1]TAB OGU JUN18'!$A:$G,6,"falso")</f>
        <v>159.12</v>
      </c>
      <c r="J49" s="72">
        <f>VLOOKUP(A49,'[1]TAB OGU JUN18'!$A:$G,4,"falso")</f>
        <v>0</v>
      </c>
      <c r="K49" s="15"/>
      <c r="L49" s="72">
        <f>VLOOKUP(A49,'[1]TAB OGU JUN18'!$A:$G,5,"falso")</f>
        <v>159.12</v>
      </c>
      <c r="M49" s="15">
        <f>H49*L49</f>
        <v>0</v>
      </c>
      <c r="N49" s="15">
        <f>H49*I49</f>
        <v>0</v>
      </c>
      <c r="O49" s="25" t="e">
        <f>N49/N51</f>
        <v>#DIV/0!</v>
      </c>
    </row>
    <row r="50" spans="1:16" ht="12.75" hidden="1" customHeight="1" x14ac:dyDescent="0.2">
      <c r="B50" s="130"/>
      <c r="C50" s="492"/>
      <c r="D50" s="492"/>
      <c r="E50" s="492"/>
      <c r="F50" s="492"/>
      <c r="G50" s="493"/>
      <c r="H50" s="509"/>
      <c r="I50" s="493"/>
      <c r="J50" s="493"/>
      <c r="K50" s="493"/>
      <c r="L50" s="493"/>
      <c r="M50" s="493"/>
      <c r="N50" s="15"/>
      <c r="O50" s="25"/>
    </row>
    <row r="51" spans="1:16" ht="12.75" hidden="1" customHeight="1" x14ac:dyDescent="0.2">
      <c r="B51" s="130" t="s">
        <v>18</v>
      </c>
      <c r="C51" s="131"/>
      <c r="D51" s="131"/>
      <c r="E51" s="131"/>
      <c r="F51" s="131"/>
      <c r="G51" s="53"/>
      <c r="H51" s="503"/>
      <c r="I51" s="53"/>
      <c r="J51" s="53"/>
      <c r="K51" s="53"/>
      <c r="L51" s="53"/>
      <c r="M51" s="53"/>
      <c r="N51" s="15">
        <f>SUM(N46:N49)</f>
        <v>0</v>
      </c>
      <c r="O51" s="25">
        <f>N51/N64</f>
        <v>0</v>
      </c>
    </row>
    <row r="52" spans="1:16" s="132" customFormat="1" ht="12.75" customHeight="1" x14ac:dyDescent="0.2">
      <c r="A52" s="51"/>
      <c r="B52" s="130"/>
      <c r="C52" s="51"/>
      <c r="D52" s="51"/>
      <c r="E52" s="51"/>
      <c r="F52" s="51"/>
      <c r="G52" s="52"/>
      <c r="H52" s="501"/>
      <c r="I52" s="52"/>
      <c r="J52" s="52"/>
      <c r="K52" s="52"/>
      <c r="L52" s="52"/>
      <c r="M52" s="52"/>
      <c r="N52" s="15"/>
      <c r="O52" s="25"/>
    </row>
    <row r="53" spans="1:16" ht="12.75" customHeight="1" x14ac:dyDescent="0.2">
      <c r="A53" s="98">
        <v>2130</v>
      </c>
      <c r="B53" s="88" t="s">
        <v>822</v>
      </c>
      <c r="G53" s="52"/>
      <c r="H53" s="501"/>
      <c r="I53" s="520"/>
      <c r="J53" s="52"/>
      <c r="K53" s="52"/>
      <c r="L53" s="52"/>
      <c r="M53" s="52"/>
      <c r="N53" s="52"/>
      <c r="O53" s="19"/>
    </row>
    <row r="54" spans="1:16" ht="12.75" customHeight="1" x14ac:dyDescent="0.2">
      <c r="A54" s="494" t="s">
        <v>545</v>
      </c>
      <c r="B54" s="490" t="s">
        <v>898</v>
      </c>
      <c r="C54" s="491"/>
      <c r="D54" s="491"/>
      <c r="E54" s="491"/>
      <c r="F54" s="491"/>
      <c r="G54" s="497" t="s">
        <v>24</v>
      </c>
      <c r="H54" s="502">
        <v>3</v>
      </c>
      <c r="I54" s="489">
        <v>766.26</v>
      </c>
      <c r="J54" s="489">
        <v>766.26</v>
      </c>
      <c r="K54" s="502"/>
      <c r="L54" s="489">
        <v>766.26</v>
      </c>
      <c r="M54" s="502">
        <f t="shared" ref="M54" si="0">H54*L54</f>
        <v>2298.7799999999997</v>
      </c>
      <c r="N54" s="502">
        <f>H54*I54</f>
        <v>2298.7799999999997</v>
      </c>
      <c r="O54" s="601">
        <f>N54/N57</f>
        <v>1</v>
      </c>
      <c r="P54" s="61" t="s">
        <v>1330</v>
      </c>
    </row>
    <row r="55" spans="1:16" ht="12.75" hidden="1" customHeight="1" x14ac:dyDescent="0.2">
      <c r="A55" s="494" t="s">
        <v>545</v>
      </c>
      <c r="B55" s="490" t="s">
        <v>1169</v>
      </c>
      <c r="C55" s="491"/>
      <c r="D55" s="491"/>
      <c r="E55" s="491"/>
      <c r="F55" s="491"/>
      <c r="G55" s="497" t="s">
        <v>24</v>
      </c>
      <c r="H55" s="502">
        <v>0</v>
      </c>
      <c r="I55" s="489">
        <v>766.26</v>
      </c>
      <c r="J55" s="489">
        <v>766.26</v>
      </c>
      <c r="K55" s="502"/>
      <c r="L55" s="489">
        <v>766.26</v>
      </c>
      <c r="M55" s="502">
        <f t="shared" ref="M55" si="1">H55*L55</f>
        <v>0</v>
      </c>
      <c r="N55" s="502">
        <f>H55*I55</f>
        <v>0</v>
      </c>
      <c r="O55" s="601">
        <f>N55/N57</f>
        <v>0</v>
      </c>
      <c r="P55" s="61" t="s">
        <v>1329</v>
      </c>
    </row>
    <row r="56" spans="1:16" ht="12.75" customHeight="1" x14ac:dyDescent="0.2">
      <c r="G56" s="52"/>
      <c r="H56" s="501"/>
      <c r="I56" s="520"/>
      <c r="J56" s="52"/>
      <c r="K56" s="52"/>
      <c r="L56" s="52"/>
      <c r="M56" s="52"/>
      <c r="N56" s="52"/>
      <c r="O56" s="19"/>
    </row>
    <row r="57" spans="1:16" ht="12.75" customHeight="1" x14ac:dyDescent="0.2">
      <c r="B57" s="130" t="s">
        <v>18</v>
      </c>
      <c r="C57" s="131"/>
      <c r="D57" s="131"/>
      <c r="E57" s="131"/>
      <c r="F57" s="131"/>
      <c r="G57" s="53"/>
      <c r="H57" s="503"/>
      <c r="I57" s="521"/>
      <c r="J57" s="53"/>
      <c r="K57" s="53"/>
      <c r="L57" s="53"/>
      <c r="M57" s="53"/>
      <c r="N57" s="15">
        <f>SUM(N54:N55)</f>
        <v>2298.7799999999997</v>
      </c>
      <c r="O57" s="25">
        <f>N57/N64</f>
        <v>0.64277265927551841</v>
      </c>
    </row>
    <row r="58" spans="1:16" ht="12.75" customHeight="1" x14ac:dyDescent="0.2">
      <c r="B58" s="130"/>
      <c r="C58" s="492"/>
      <c r="D58" s="492"/>
      <c r="E58" s="492"/>
      <c r="F58" s="492"/>
      <c r="G58" s="493"/>
      <c r="H58" s="509"/>
      <c r="I58" s="522"/>
      <c r="J58" s="493"/>
      <c r="K58" s="493"/>
      <c r="L58" s="493"/>
      <c r="M58" s="493"/>
      <c r="N58" s="15"/>
      <c r="O58" s="25"/>
    </row>
    <row r="59" spans="1:16" ht="12.75" hidden="1" customHeight="1" x14ac:dyDescent="0.2">
      <c r="A59" s="98" t="s">
        <v>1058</v>
      </c>
      <c r="B59" s="88" t="s">
        <v>1059</v>
      </c>
      <c r="G59" s="52"/>
      <c r="H59" s="501"/>
      <c r="I59" s="520"/>
      <c r="J59" s="52"/>
      <c r="K59" s="52"/>
      <c r="L59" s="52"/>
      <c r="M59" s="52"/>
      <c r="N59" s="52"/>
      <c r="O59" s="19"/>
    </row>
    <row r="60" spans="1:16" ht="12.75" hidden="1" customHeight="1" x14ac:dyDescent="0.2">
      <c r="A60" s="98" t="s">
        <v>1060</v>
      </c>
      <c r="B60" s="88" t="s">
        <v>1061</v>
      </c>
      <c r="G60" s="97" t="s">
        <v>24</v>
      </c>
      <c r="H60" s="502">
        <v>0</v>
      </c>
      <c r="I60" s="489">
        <f>VLOOKUP(A60,'[1]TAB OGU JUN18'!$A:$G,6,"falso")</f>
        <v>332.15</v>
      </c>
      <c r="J60" s="72">
        <f>VLOOKUP(A60,'[1]TAB OGU JUN18'!$A:$G,4,"falso")</f>
        <v>0</v>
      </c>
      <c r="K60" s="15"/>
      <c r="L60" s="72">
        <f>VLOOKUP(A60,'[1]TAB OGU JUN18'!$A:$G,5,"falso")</f>
        <v>332.15</v>
      </c>
      <c r="M60" s="15">
        <f>H60*L60</f>
        <v>0</v>
      </c>
      <c r="N60" s="15">
        <f>H60*I60</f>
        <v>0</v>
      </c>
      <c r="O60" s="25" t="e">
        <f>N60/N62</f>
        <v>#DIV/0!</v>
      </c>
    </row>
    <row r="61" spans="1:16" ht="12.75" hidden="1" customHeight="1" x14ac:dyDescent="0.2">
      <c r="B61" s="130"/>
      <c r="C61" s="492"/>
      <c r="D61" s="492"/>
      <c r="E61" s="492"/>
      <c r="F61" s="492"/>
      <c r="G61" s="493"/>
      <c r="H61" s="509"/>
      <c r="I61" s="522"/>
      <c r="J61" s="493"/>
      <c r="K61" s="493"/>
      <c r="L61" s="493"/>
      <c r="M61" s="493"/>
      <c r="N61" s="15"/>
      <c r="O61" s="25"/>
    </row>
    <row r="62" spans="1:16" ht="12.75" hidden="1" customHeight="1" x14ac:dyDescent="0.2">
      <c r="B62" s="130" t="s">
        <v>18</v>
      </c>
      <c r="C62" s="131"/>
      <c r="D62" s="131"/>
      <c r="E62" s="131"/>
      <c r="F62" s="131"/>
      <c r="G62" s="53"/>
      <c r="H62" s="503"/>
      <c r="I62" s="521"/>
      <c r="J62" s="53"/>
      <c r="K62" s="53"/>
      <c r="L62" s="53"/>
      <c r="M62" s="53"/>
      <c r="N62" s="15">
        <f>N60</f>
        <v>0</v>
      </c>
      <c r="O62" s="25">
        <f>N62/N64</f>
        <v>0</v>
      </c>
    </row>
    <row r="63" spans="1:16" ht="12.75" hidden="1" customHeight="1" x14ac:dyDescent="0.2">
      <c r="B63" s="130"/>
      <c r="G63" s="52"/>
      <c r="H63" s="501"/>
      <c r="I63" s="520"/>
      <c r="J63" s="52"/>
      <c r="K63" s="52"/>
      <c r="L63" s="52"/>
      <c r="M63" s="52"/>
      <c r="N63" s="15"/>
      <c r="O63" s="25"/>
    </row>
    <row r="64" spans="1:16" ht="12.75" customHeight="1" x14ac:dyDescent="0.2">
      <c r="A64" s="132"/>
      <c r="B64" s="133" t="s">
        <v>20</v>
      </c>
      <c r="C64" s="134"/>
      <c r="D64" s="134"/>
      <c r="E64" s="134"/>
      <c r="F64" s="134"/>
      <c r="G64" s="78"/>
      <c r="H64" s="504"/>
      <c r="I64" s="78"/>
      <c r="J64" s="78"/>
      <c r="K64" s="78"/>
      <c r="L64" s="78"/>
      <c r="M64" s="78"/>
      <c r="N64" s="83">
        <f>N18+N25+N34+N43+N51+N57+N62</f>
        <v>3576.3499999999995</v>
      </c>
      <c r="O64" s="77">
        <f>N64/N264</f>
        <v>0.15037246549329594</v>
      </c>
    </row>
    <row r="65" spans="1:18" ht="12.75" customHeight="1" x14ac:dyDescent="0.2">
      <c r="G65" s="52"/>
      <c r="H65" s="501"/>
      <c r="I65" s="52"/>
      <c r="J65" s="52"/>
      <c r="K65" s="52"/>
      <c r="L65" s="52"/>
      <c r="M65" s="52"/>
      <c r="N65" s="52"/>
      <c r="O65" s="19"/>
    </row>
    <row r="66" spans="1:18" ht="12.75" customHeight="1" x14ac:dyDescent="0.2">
      <c r="A66" s="129">
        <v>22</v>
      </c>
      <c r="B66" s="88" t="s">
        <v>75</v>
      </c>
      <c r="H66" s="505"/>
      <c r="O66" s="61"/>
      <c r="R66" s="61" t="s">
        <v>1409</v>
      </c>
    </row>
    <row r="67" spans="1:18" ht="12.75" hidden="1" customHeight="1" x14ac:dyDescent="0.2">
      <c r="A67" s="129">
        <v>2207</v>
      </c>
      <c r="B67" s="88" t="s">
        <v>823</v>
      </c>
      <c r="H67" s="505"/>
      <c r="O67" s="61"/>
    </row>
    <row r="68" spans="1:18" ht="12.75" hidden="1" customHeight="1" x14ac:dyDescent="0.2">
      <c r="A68" s="129" t="s">
        <v>899</v>
      </c>
      <c r="B68" s="88" t="s">
        <v>900</v>
      </c>
      <c r="G68" s="97" t="s">
        <v>24</v>
      </c>
      <c r="H68" s="502">
        <v>0</v>
      </c>
      <c r="I68" s="72">
        <f>VLOOKUP(A68,'[1]TAB OGU JUN18'!$A:$G,6,"falso")</f>
        <v>131.28</v>
      </c>
      <c r="J68" s="72">
        <f>VLOOKUP(A68,'[1]TAB OGU JUN18'!$A:$G,4,"falso")</f>
        <v>0</v>
      </c>
      <c r="K68" s="15"/>
      <c r="L68" s="72">
        <f>VLOOKUP(A68,'[1]TAB OGU JUN18'!$A:$G,5,"falso")</f>
        <v>131.28</v>
      </c>
      <c r="M68" s="15">
        <f t="shared" ref="M68:M74" si="2">H68*L68</f>
        <v>0</v>
      </c>
      <c r="N68" s="15">
        <f t="shared" ref="N68:N74" si="3">H68*I68</f>
        <v>0</v>
      </c>
      <c r="O68" s="25" t="e">
        <f>N68/N76</f>
        <v>#DIV/0!</v>
      </c>
    </row>
    <row r="69" spans="1:18" ht="12.75" hidden="1" customHeight="1" x14ac:dyDescent="0.2">
      <c r="A69" s="129" t="s">
        <v>1170</v>
      </c>
      <c r="B69" s="88" t="s">
        <v>1172</v>
      </c>
      <c r="G69" s="97" t="s">
        <v>24</v>
      </c>
      <c r="H69" s="502">
        <v>0</v>
      </c>
      <c r="I69" s="72">
        <f>VLOOKUP(A69,'[1]TAB OGU JUN18'!$A:$G,6,"falso")</f>
        <v>143.22999999999999</v>
      </c>
      <c r="J69" s="72">
        <f>VLOOKUP(A69,'[1]TAB OGU JUN18'!$A:$G,4,"falso")</f>
        <v>0</v>
      </c>
      <c r="K69" s="15"/>
      <c r="L69" s="72">
        <f>VLOOKUP(A69,'[1]TAB OGU JUN18'!$A:$G,5,"falso")</f>
        <v>143.22999999999999</v>
      </c>
      <c r="M69" s="15">
        <f t="shared" si="2"/>
        <v>0</v>
      </c>
      <c r="N69" s="15">
        <f t="shared" si="3"/>
        <v>0</v>
      </c>
      <c r="O69" s="25" t="e">
        <f>N69/N76</f>
        <v>#DIV/0!</v>
      </c>
    </row>
    <row r="70" spans="1:18" ht="12.75" hidden="1" customHeight="1" x14ac:dyDescent="0.2">
      <c r="A70" s="129" t="s">
        <v>1171</v>
      </c>
      <c r="B70" s="88" t="s">
        <v>1173</v>
      </c>
      <c r="G70" s="97" t="s">
        <v>24</v>
      </c>
      <c r="H70" s="502">
        <v>0</v>
      </c>
      <c r="I70" s="72">
        <f>VLOOKUP(A70,'[1]TAB OGU JUN18'!$A:$G,6,"falso")</f>
        <v>222.81</v>
      </c>
      <c r="J70" s="72">
        <f>VLOOKUP(A70,'[1]TAB OGU JUN18'!$A:$G,4,"falso")</f>
        <v>0</v>
      </c>
      <c r="K70" s="15"/>
      <c r="L70" s="72">
        <f>VLOOKUP(A70,'[1]TAB OGU JUN18'!$A:$G,5,"falso")</f>
        <v>222.81</v>
      </c>
      <c r="M70" s="15">
        <f t="shared" si="2"/>
        <v>0</v>
      </c>
      <c r="N70" s="15">
        <f t="shared" si="3"/>
        <v>0</v>
      </c>
      <c r="O70" s="25" t="e">
        <f>N70/N76</f>
        <v>#DIV/0!</v>
      </c>
    </row>
    <row r="71" spans="1:18" ht="12.75" hidden="1" customHeight="1" x14ac:dyDescent="0.2">
      <c r="A71" s="129" t="s">
        <v>901</v>
      </c>
      <c r="B71" s="88" t="s">
        <v>902</v>
      </c>
      <c r="G71" s="97" t="s">
        <v>24</v>
      </c>
      <c r="H71" s="502">
        <v>0</v>
      </c>
      <c r="I71" s="72">
        <f>VLOOKUP(A71,'[1]TAB OGU JUN18'!$A:$G,6,"falso")</f>
        <v>139.27000000000001</v>
      </c>
      <c r="J71" s="72">
        <f>VLOOKUP(A71,'[1]TAB OGU JUN18'!$A:$G,4,"falso")</f>
        <v>0</v>
      </c>
      <c r="K71" s="15"/>
      <c r="L71" s="72">
        <f>VLOOKUP(A71,'[1]TAB OGU JUN18'!$A:$G,5,"falso")</f>
        <v>139.27000000000001</v>
      </c>
      <c r="M71" s="15">
        <f t="shared" si="2"/>
        <v>0</v>
      </c>
      <c r="N71" s="15">
        <f t="shared" si="3"/>
        <v>0</v>
      </c>
      <c r="O71" s="25" t="e">
        <f>N71/N76</f>
        <v>#DIV/0!</v>
      </c>
    </row>
    <row r="72" spans="1:18" ht="12.75" hidden="1" customHeight="1" x14ac:dyDescent="0.2">
      <c r="A72" s="129" t="s">
        <v>1174</v>
      </c>
      <c r="B72" s="88" t="s">
        <v>1176</v>
      </c>
      <c r="G72" s="97" t="s">
        <v>24</v>
      </c>
      <c r="H72" s="502">
        <v>0</v>
      </c>
      <c r="I72" s="72">
        <f>VLOOKUP(A72,'[1]TAB OGU JUN18'!$A:$G,6,"falso")</f>
        <v>151.19999999999999</v>
      </c>
      <c r="J72" s="72">
        <f>VLOOKUP(A72,'[1]TAB OGU JUN18'!$A:$G,4,"falso")</f>
        <v>0</v>
      </c>
      <c r="K72" s="15"/>
      <c r="L72" s="72">
        <f>VLOOKUP(A72,'[1]TAB OGU JUN18'!$A:$G,5,"falso")</f>
        <v>151.19999999999999</v>
      </c>
      <c r="M72" s="15">
        <f t="shared" si="2"/>
        <v>0</v>
      </c>
      <c r="N72" s="15">
        <f t="shared" si="3"/>
        <v>0</v>
      </c>
      <c r="O72" s="25" t="e">
        <f>N72/N76</f>
        <v>#DIV/0!</v>
      </c>
    </row>
    <row r="73" spans="1:18" ht="12.75" hidden="1" customHeight="1" x14ac:dyDescent="0.2">
      <c r="A73" s="129" t="s">
        <v>1175</v>
      </c>
      <c r="B73" s="88" t="s">
        <v>1177</v>
      </c>
      <c r="G73" s="97" t="s">
        <v>24</v>
      </c>
      <c r="H73" s="502">
        <v>0</v>
      </c>
      <c r="I73" s="72">
        <f>VLOOKUP(A73,'[1]TAB OGU JUN18'!$A:$G,6,"falso")</f>
        <v>242.66</v>
      </c>
      <c r="J73" s="72">
        <f>VLOOKUP(A73,'[1]TAB OGU JUN18'!$A:$G,4,"falso")</f>
        <v>0</v>
      </c>
      <c r="K73" s="15"/>
      <c r="L73" s="72">
        <f>VLOOKUP(A73,'[1]TAB OGU JUN18'!$A:$G,5,"falso")</f>
        <v>242.66</v>
      </c>
      <c r="M73" s="15">
        <f t="shared" si="2"/>
        <v>0</v>
      </c>
      <c r="N73" s="15">
        <f t="shared" si="3"/>
        <v>0</v>
      </c>
      <c r="O73" s="25" t="e">
        <f>N73/N76</f>
        <v>#DIV/0!</v>
      </c>
    </row>
    <row r="74" spans="1:18" ht="12.75" hidden="1" customHeight="1" x14ac:dyDescent="0.2">
      <c r="A74" s="129" t="s">
        <v>934</v>
      </c>
      <c r="B74" s="88" t="s">
        <v>1178</v>
      </c>
      <c r="G74" s="97" t="s">
        <v>24</v>
      </c>
      <c r="H74" s="502">
        <v>0</v>
      </c>
      <c r="I74" s="72">
        <f>VLOOKUP(A74,'[1]TAB OGU JUN18'!$A:$G,6,"falso")</f>
        <v>429.71</v>
      </c>
      <c r="J74" s="72">
        <f>VLOOKUP(A74,'[1]TAB OGU JUN18'!$A:$G,4,"falso")</f>
        <v>0</v>
      </c>
      <c r="K74" s="15"/>
      <c r="L74" s="72">
        <f>VLOOKUP(A74,'[1]TAB OGU JUN18'!$A:$G,5,"falso")</f>
        <v>429.71</v>
      </c>
      <c r="M74" s="15">
        <f t="shared" si="2"/>
        <v>0</v>
      </c>
      <c r="N74" s="15">
        <f t="shared" si="3"/>
        <v>0</v>
      </c>
      <c r="O74" s="25" t="e">
        <f>N74/N76</f>
        <v>#DIV/0!</v>
      </c>
    </row>
    <row r="75" spans="1:18" ht="12.75" hidden="1" customHeight="1" x14ac:dyDescent="0.2">
      <c r="G75" s="52"/>
      <c r="H75" s="501"/>
      <c r="I75" s="52"/>
      <c r="J75" s="52"/>
      <c r="K75" s="52"/>
      <c r="L75" s="52"/>
      <c r="M75" s="52"/>
      <c r="N75" s="456"/>
      <c r="O75" s="25"/>
    </row>
    <row r="76" spans="1:18" ht="12.75" hidden="1" customHeight="1" x14ac:dyDescent="0.2">
      <c r="B76" s="130" t="s">
        <v>18</v>
      </c>
      <c r="C76" s="131"/>
      <c r="D76" s="131"/>
      <c r="E76" s="131"/>
      <c r="F76" s="131"/>
      <c r="G76" s="53"/>
      <c r="H76" s="503"/>
      <c r="I76" s="53"/>
      <c r="J76" s="53"/>
      <c r="K76" s="53"/>
      <c r="L76" s="53"/>
      <c r="M76" s="53"/>
      <c r="N76" s="15">
        <f>SUM(N68:N74)</f>
        <v>0</v>
      </c>
      <c r="O76" s="25">
        <f>N76/N173</f>
        <v>0</v>
      </c>
    </row>
    <row r="77" spans="1:18" ht="12.75" hidden="1" customHeight="1" x14ac:dyDescent="0.2">
      <c r="B77" s="130"/>
      <c r="G77" s="52"/>
      <c r="H77" s="501"/>
      <c r="I77" s="52"/>
      <c r="J77" s="52"/>
      <c r="K77" s="52"/>
      <c r="L77" s="52"/>
      <c r="M77" s="52"/>
      <c r="N77" s="15"/>
      <c r="O77" s="25"/>
    </row>
    <row r="78" spans="1:18" ht="12.75" customHeight="1" x14ac:dyDescent="0.2">
      <c r="A78" s="98">
        <v>2209</v>
      </c>
      <c r="B78" s="88" t="s">
        <v>714</v>
      </c>
      <c r="G78" s="52"/>
      <c r="H78" s="501"/>
      <c r="I78" s="52"/>
      <c r="J78" s="52"/>
      <c r="K78" s="52"/>
      <c r="L78" s="52"/>
      <c r="M78" s="52"/>
      <c r="N78" s="52"/>
      <c r="O78" s="19"/>
    </row>
    <row r="79" spans="1:18" ht="12.75" customHeight="1" x14ac:dyDescent="0.2">
      <c r="A79" s="98" t="s">
        <v>903</v>
      </c>
      <c r="B79" s="88" t="s">
        <v>904</v>
      </c>
      <c r="G79" s="97" t="s">
        <v>24</v>
      </c>
      <c r="H79" s="502">
        <v>3</v>
      </c>
      <c r="I79" s="72">
        <f>VLOOKUP(A79,'[1]TAB OGU JUN18'!$A:$G,6,"falso")</f>
        <v>191.02</v>
      </c>
      <c r="J79" s="72">
        <f>VLOOKUP(A79,'[1]TAB OGU JUN18'!$A:$G,4,"falso")</f>
        <v>0</v>
      </c>
      <c r="K79" s="15"/>
      <c r="L79" s="72">
        <f>VLOOKUP(A79,'[1]TAB OGU JUN18'!$A:$G,5,"falso")</f>
        <v>191.02</v>
      </c>
      <c r="M79" s="15">
        <f t="shared" ref="M79:M84" si="4">H79*L79</f>
        <v>573.06000000000006</v>
      </c>
      <c r="N79" s="15">
        <f t="shared" ref="N79:N84" si="5">H79*I79</f>
        <v>573.06000000000006</v>
      </c>
      <c r="O79" s="25">
        <f>N79/N86</f>
        <v>0.29152825187845616</v>
      </c>
    </row>
    <row r="80" spans="1:18" ht="12.75" hidden="1" customHeight="1" x14ac:dyDescent="0.2">
      <c r="A80" s="98" t="s">
        <v>1181</v>
      </c>
      <c r="B80" s="88" t="s">
        <v>1182</v>
      </c>
      <c r="G80" s="97" t="s">
        <v>24</v>
      </c>
      <c r="H80" s="502">
        <v>0</v>
      </c>
      <c r="I80" s="72">
        <f>VLOOKUP(A80,'[1]TAB OGU JUN18'!$A:$G,6,"falso")</f>
        <v>206.86</v>
      </c>
      <c r="J80" s="72">
        <f>VLOOKUP(A80,'[1]TAB OGU JUN18'!$A:$G,4,"falso")</f>
        <v>0</v>
      </c>
      <c r="K80" s="15"/>
      <c r="L80" s="72">
        <f>VLOOKUP(A80,'[1]TAB OGU JUN18'!$A:$G,5,"falso")</f>
        <v>206.86</v>
      </c>
      <c r="M80" s="15">
        <f t="shared" si="4"/>
        <v>0</v>
      </c>
      <c r="N80" s="15">
        <f t="shared" si="5"/>
        <v>0</v>
      </c>
      <c r="O80" s="25">
        <f>N80/N86</f>
        <v>0</v>
      </c>
    </row>
    <row r="81" spans="1:16" ht="12.75" hidden="1" customHeight="1" x14ac:dyDescent="0.2">
      <c r="A81" s="98" t="s">
        <v>1179</v>
      </c>
      <c r="B81" s="88" t="s">
        <v>1180</v>
      </c>
      <c r="G81" s="97" t="s">
        <v>24</v>
      </c>
      <c r="H81" s="502">
        <v>0</v>
      </c>
      <c r="I81" s="72">
        <f>VLOOKUP(A81,'[1]TAB OGU JUN18'!$A:$G,6,"falso")</f>
        <v>342.16</v>
      </c>
      <c r="J81" s="72">
        <f>VLOOKUP(A81,'[1]TAB OGU JUN18'!$A:$G,4,"falso")</f>
        <v>0</v>
      </c>
      <c r="K81" s="15"/>
      <c r="L81" s="72">
        <f>VLOOKUP(A81,'[1]TAB OGU JUN18'!$A:$G,5,"falso")</f>
        <v>342.16</v>
      </c>
      <c r="M81" s="15">
        <f t="shared" si="4"/>
        <v>0</v>
      </c>
      <c r="N81" s="15">
        <f t="shared" si="5"/>
        <v>0</v>
      </c>
      <c r="O81" s="25">
        <f>N81/N86</f>
        <v>0</v>
      </c>
    </row>
    <row r="82" spans="1:16" ht="12.75" customHeight="1" x14ac:dyDescent="0.2">
      <c r="A82" s="98" t="s">
        <v>905</v>
      </c>
      <c r="B82" s="88" t="s">
        <v>906</v>
      </c>
      <c r="G82" s="97" t="s">
        <v>24</v>
      </c>
      <c r="H82" s="502">
        <v>7</v>
      </c>
      <c r="I82" s="72">
        <f>VLOOKUP(A82,'[1]TAB OGU JUN18'!$A:$G,6,"falso")</f>
        <v>198.95</v>
      </c>
      <c r="J82" s="72">
        <f>VLOOKUP(A82,'[1]TAB OGU JUN18'!$A:$G,4,"falso")</f>
        <v>0</v>
      </c>
      <c r="K82" s="15"/>
      <c r="L82" s="72">
        <f>VLOOKUP(A82,'[1]TAB OGU JUN18'!$A:$G,5,"falso")</f>
        <v>198.95</v>
      </c>
      <c r="M82" s="15">
        <f t="shared" si="4"/>
        <v>1392.6499999999999</v>
      </c>
      <c r="N82" s="15">
        <f t="shared" si="5"/>
        <v>1392.6499999999999</v>
      </c>
      <c r="O82" s="25">
        <f>N82/N86</f>
        <v>0.70847174812154379</v>
      </c>
      <c r="P82" s="586"/>
    </row>
    <row r="83" spans="1:16" ht="12.75" hidden="1" customHeight="1" x14ac:dyDescent="0.2">
      <c r="A83" s="98" t="s">
        <v>1183</v>
      </c>
      <c r="B83" s="88" t="s">
        <v>1184</v>
      </c>
      <c r="G83" s="97" t="s">
        <v>24</v>
      </c>
      <c r="H83" s="502">
        <v>0</v>
      </c>
      <c r="I83" s="72">
        <f>VLOOKUP(A83,'[1]TAB OGU JUN18'!$A:$G,6,"falso")</f>
        <v>206.86</v>
      </c>
      <c r="J83" s="72">
        <f>VLOOKUP(A83,'[1]TAB OGU JUN18'!$A:$G,4,"falso")</f>
        <v>0</v>
      </c>
      <c r="K83" s="15"/>
      <c r="L83" s="72">
        <f>VLOOKUP(A83,'[1]TAB OGU JUN18'!$A:$G,5,"falso")</f>
        <v>206.86</v>
      </c>
      <c r="M83" s="15">
        <f t="shared" si="4"/>
        <v>0</v>
      </c>
      <c r="N83" s="15">
        <f t="shared" si="5"/>
        <v>0</v>
      </c>
      <c r="O83" s="25">
        <f>N83/N86</f>
        <v>0</v>
      </c>
    </row>
    <row r="84" spans="1:16" ht="12.75" hidden="1" customHeight="1" x14ac:dyDescent="0.2">
      <c r="A84" s="98" t="s">
        <v>1185</v>
      </c>
      <c r="B84" s="88" t="s">
        <v>1186</v>
      </c>
      <c r="G84" s="97" t="s">
        <v>24</v>
      </c>
      <c r="H84" s="502">
        <v>0</v>
      </c>
      <c r="I84" s="72">
        <f>VLOOKUP(A84,'[1]TAB OGU JUN18'!$A:$G,6,"falso")</f>
        <v>342.15</v>
      </c>
      <c r="J84" s="72">
        <f>VLOOKUP(A84,'[1]TAB OGU JUN18'!$A:$G,4,"falso")</f>
        <v>0</v>
      </c>
      <c r="K84" s="15"/>
      <c r="L84" s="72">
        <f>VLOOKUP(A84,'[1]TAB OGU JUN18'!$A:$G,5,"falso")</f>
        <v>342.15</v>
      </c>
      <c r="M84" s="15">
        <f t="shared" si="4"/>
        <v>0</v>
      </c>
      <c r="N84" s="15">
        <f t="shared" si="5"/>
        <v>0</v>
      </c>
      <c r="O84" s="25">
        <f>N84/N86</f>
        <v>0</v>
      </c>
    </row>
    <row r="85" spans="1:16" ht="12.75" customHeight="1" x14ac:dyDescent="0.2">
      <c r="G85" s="52"/>
      <c r="H85" s="501"/>
      <c r="I85" s="52"/>
      <c r="J85" s="52"/>
      <c r="K85" s="52"/>
      <c r="L85" s="52"/>
      <c r="M85" s="52"/>
      <c r="N85" s="52"/>
      <c r="O85" s="19"/>
    </row>
    <row r="86" spans="1:16" ht="12.75" customHeight="1" x14ac:dyDescent="0.2">
      <c r="B86" s="130" t="s">
        <v>18</v>
      </c>
      <c r="C86" s="131"/>
      <c r="D86" s="131"/>
      <c r="E86" s="131"/>
      <c r="F86" s="131"/>
      <c r="G86" s="53"/>
      <c r="H86" s="503"/>
      <c r="I86" s="53"/>
      <c r="J86" s="53"/>
      <c r="K86" s="53"/>
      <c r="L86" s="53"/>
      <c r="M86" s="53"/>
      <c r="N86" s="15">
        <f>SUM(N79:N84)</f>
        <v>1965.71</v>
      </c>
      <c r="O86" s="25">
        <f>N86/N173</f>
        <v>0.15913085222042955</v>
      </c>
    </row>
    <row r="87" spans="1:16" ht="12.75" customHeight="1" x14ac:dyDescent="0.2">
      <c r="B87" s="130"/>
      <c r="G87" s="52"/>
      <c r="H87" s="501"/>
      <c r="I87" s="52"/>
      <c r="J87" s="52"/>
      <c r="K87" s="52"/>
      <c r="L87" s="52"/>
      <c r="M87" s="52"/>
      <c r="N87" s="15"/>
      <c r="O87" s="25"/>
    </row>
    <row r="88" spans="1:16" ht="12.75" customHeight="1" x14ac:dyDescent="0.2">
      <c r="A88" s="98">
        <v>2224</v>
      </c>
      <c r="B88" s="88" t="s">
        <v>824</v>
      </c>
      <c r="G88" s="97"/>
      <c r="H88" s="502"/>
      <c r="I88" s="15"/>
      <c r="J88" s="15"/>
      <c r="K88" s="15"/>
      <c r="L88" s="15"/>
      <c r="M88" s="15"/>
      <c r="N88" s="15"/>
      <c r="O88" s="25"/>
    </row>
    <row r="89" spans="1:16" ht="12.75" customHeight="1" x14ac:dyDescent="0.2">
      <c r="A89" s="98" t="s">
        <v>945</v>
      </c>
      <c r="B89" s="88" t="s">
        <v>946</v>
      </c>
      <c r="G89" s="97" t="s">
        <v>24</v>
      </c>
      <c r="H89" s="502">
        <v>2</v>
      </c>
      <c r="I89" s="72">
        <f>VLOOKUP(A89,'[1]TAB OGU JUN18'!$A:$G,6,"falso")</f>
        <v>350.08</v>
      </c>
      <c r="J89" s="72">
        <f>VLOOKUP(A89,'[1]TAB OGU JUN18'!$A:$G,4,"falso")</f>
        <v>0</v>
      </c>
      <c r="K89" s="15"/>
      <c r="L89" s="72">
        <f>VLOOKUP(A89,'[1]TAB OGU JUN18'!$A:$G,5,"falso")</f>
        <v>350.08</v>
      </c>
      <c r="M89" s="15">
        <f>H89*L89</f>
        <v>700.16</v>
      </c>
      <c r="N89" s="15">
        <f>H89*I89</f>
        <v>700.16</v>
      </c>
      <c r="O89" s="25">
        <f>N89/N92</f>
        <v>1</v>
      </c>
    </row>
    <row r="90" spans="1:16" ht="12.75" hidden="1" customHeight="1" x14ac:dyDescent="0.2">
      <c r="A90" s="98" t="s">
        <v>1187</v>
      </c>
      <c r="B90" s="88" t="s">
        <v>1188</v>
      </c>
      <c r="G90" s="97" t="s">
        <v>24</v>
      </c>
      <c r="H90" s="502">
        <v>0</v>
      </c>
      <c r="I90" s="72">
        <f>VLOOKUP(A90,'[1]TAB OGU JUN18'!$A:$G,6,"falso")</f>
        <v>750.41</v>
      </c>
      <c r="J90" s="72">
        <f>VLOOKUP(A90,'[1]TAB OGU JUN18'!$A:$G,4,"falso")</f>
        <v>0</v>
      </c>
      <c r="K90" s="15"/>
      <c r="L90" s="72">
        <f>VLOOKUP(A90,'[1]TAB OGU JUN18'!$A:$G,5,"falso")</f>
        <v>750.41</v>
      </c>
      <c r="M90" s="15">
        <f>H90*L90</f>
        <v>0</v>
      </c>
      <c r="N90" s="15">
        <f>H90*I90</f>
        <v>0</v>
      </c>
      <c r="O90" s="25">
        <f>N90/N92</f>
        <v>0</v>
      </c>
    </row>
    <row r="91" spans="1:16" ht="12.75" customHeight="1" x14ac:dyDescent="0.2">
      <c r="B91" s="130"/>
      <c r="G91" s="52"/>
      <c r="H91" s="501"/>
      <c r="I91" s="52"/>
      <c r="J91" s="52"/>
      <c r="K91" s="52"/>
      <c r="L91" s="52"/>
      <c r="M91" s="52"/>
      <c r="N91" s="15"/>
      <c r="O91" s="25"/>
    </row>
    <row r="92" spans="1:16" ht="12.75" customHeight="1" x14ac:dyDescent="0.2">
      <c r="B92" s="130" t="s">
        <v>18</v>
      </c>
      <c r="C92" s="131"/>
      <c r="D92" s="131"/>
      <c r="E92" s="131"/>
      <c r="F92" s="131"/>
      <c r="G92" s="53"/>
      <c r="H92" s="503"/>
      <c r="I92" s="53"/>
      <c r="J92" s="53"/>
      <c r="K92" s="53"/>
      <c r="L92" s="53"/>
      <c r="M92" s="53"/>
      <c r="N92" s="15">
        <f>SUM(N89:N90)</f>
        <v>700.16</v>
      </c>
      <c r="O92" s="25">
        <f>N92/N173</f>
        <v>5.6680312706684069E-2</v>
      </c>
    </row>
    <row r="93" spans="1:16" ht="12.75" customHeight="1" x14ac:dyDescent="0.2">
      <c r="B93" s="130"/>
      <c r="G93" s="52"/>
      <c r="H93" s="501"/>
      <c r="I93" s="52"/>
      <c r="J93" s="52"/>
      <c r="K93" s="52"/>
      <c r="L93" s="52"/>
      <c r="M93" s="52"/>
      <c r="N93" s="15"/>
      <c r="O93" s="25"/>
    </row>
    <row r="94" spans="1:16" ht="12.75" hidden="1" customHeight="1" x14ac:dyDescent="0.2">
      <c r="A94" s="494">
        <v>2230</v>
      </c>
      <c r="B94" s="88" t="s">
        <v>825</v>
      </c>
      <c r="G94" s="97"/>
      <c r="H94" s="502"/>
      <c r="I94" s="15"/>
      <c r="J94" s="15"/>
      <c r="K94" s="15"/>
      <c r="L94" s="15"/>
      <c r="M94" s="15"/>
      <c r="N94" s="15"/>
      <c r="O94" s="25"/>
    </row>
    <row r="95" spans="1:16" ht="12.75" hidden="1" customHeight="1" x14ac:dyDescent="0.2">
      <c r="A95" s="494" t="s">
        <v>826</v>
      </c>
      <c r="B95" s="88" t="s">
        <v>827</v>
      </c>
      <c r="G95" s="97" t="s">
        <v>24</v>
      </c>
      <c r="H95" s="502">
        <v>0</v>
      </c>
      <c r="I95" s="72">
        <f>VLOOKUP(A95,'[1]TAB OGU JUN18'!$A:$G,6,"falso")</f>
        <v>281.41000000000003</v>
      </c>
      <c r="J95" s="72">
        <f>VLOOKUP(A95,'[1]TAB OGU JUN18'!$A:$G,4,"falso")</f>
        <v>0</v>
      </c>
      <c r="K95" s="15"/>
      <c r="L95" s="72">
        <f>VLOOKUP(A95,'[1]TAB OGU JUN18'!$A:$G,5,"falso")</f>
        <v>281.41000000000003</v>
      </c>
      <c r="M95" s="15">
        <f>H95*L95</f>
        <v>0</v>
      </c>
      <c r="N95" s="15">
        <f>H95*I95</f>
        <v>0</v>
      </c>
      <c r="O95" s="25" t="e">
        <f>N95/N97</f>
        <v>#DIV/0!</v>
      </c>
    </row>
    <row r="96" spans="1:16" ht="12.75" hidden="1" customHeight="1" x14ac:dyDescent="0.2">
      <c r="A96" s="494"/>
      <c r="B96" s="88"/>
      <c r="G96" s="97"/>
      <c r="H96" s="502"/>
      <c r="I96" s="72"/>
      <c r="J96" s="72"/>
      <c r="K96" s="15"/>
      <c r="L96" s="72"/>
      <c r="M96" s="15"/>
      <c r="N96" s="15"/>
      <c r="O96" s="25"/>
    </row>
    <row r="97" spans="1:15" ht="12.75" hidden="1" customHeight="1" x14ac:dyDescent="0.2">
      <c r="B97" s="130" t="s">
        <v>18</v>
      </c>
      <c r="C97" s="131"/>
      <c r="D97" s="131"/>
      <c r="E97" s="131"/>
      <c r="F97" s="131"/>
      <c r="G97" s="53"/>
      <c r="H97" s="503"/>
      <c r="I97" s="53"/>
      <c r="J97" s="53"/>
      <c r="K97" s="53"/>
      <c r="L97" s="53"/>
      <c r="M97" s="53"/>
      <c r="N97" s="15">
        <f>N95</f>
        <v>0</v>
      </c>
      <c r="O97" s="25">
        <f>N97/N173</f>
        <v>0</v>
      </c>
    </row>
    <row r="98" spans="1:15" ht="12.75" hidden="1" customHeight="1" x14ac:dyDescent="0.2">
      <c r="A98" s="494"/>
      <c r="B98" s="88"/>
      <c r="G98" s="97"/>
      <c r="H98" s="502"/>
      <c r="I98" s="72"/>
      <c r="J98" s="72"/>
      <c r="K98" s="15"/>
      <c r="L98" s="72"/>
      <c r="M98" s="15"/>
      <c r="N98" s="15"/>
      <c r="O98" s="25"/>
    </row>
    <row r="99" spans="1:15" ht="12.75" customHeight="1" x14ac:dyDescent="0.2">
      <c r="A99" s="494" t="s">
        <v>269</v>
      </c>
      <c r="B99" s="88" t="s">
        <v>74</v>
      </c>
      <c r="G99" s="97"/>
      <c r="H99" s="502"/>
      <c r="I99" s="15"/>
      <c r="J99" s="15"/>
      <c r="K99" s="15"/>
      <c r="L99" s="15"/>
      <c r="M99" s="15"/>
      <c r="N99" s="15"/>
      <c r="O99" s="25"/>
    </row>
    <row r="100" spans="1:15" ht="12.75" customHeight="1" x14ac:dyDescent="0.2">
      <c r="A100" s="494" t="s">
        <v>1062</v>
      </c>
      <c r="B100" s="88" t="s">
        <v>1063</v>
      </c>
      <c r="G100" s="97" t="s">
        <v>24</v>
      </c>
      <c r="H100" s="502">
        <v>4</v>
      </c>
      <c r="I100" s="72">
        <f>VLOOKUP(A100,'[1]TAB OGU JUN18'!$A:$G,6,"falso")</f>
        <v>220</v>
      </c>
      <c r="J100" s="72">
        <f>VLOOKUP(A100,'[1]TAB OGU JUN18'!$A:$G,4,"falso")</f>
        <v>0</v>
      </c>
      <c r="K100" s="15"/>
      <c r="L100" s="72">
        <f>VLOOKUP(A100,'[1]TAB OGU JUN18'!$A:$G,5,"falso")</f>
        <v>220</v>
      </c>
      <c r="M100" s="15">
        <f>H100*L100</f>
        <v>880</v>
      </c>
      <c r="N100" s="15">
        <f>H100*I100</f>
        <v>880</v>
      </c>
      <c r="O100" s="25">
        <f>N100/N102</f>
        <v>1</v>
      </c>
    </row>
    <row r="101" spans="1:15" ht="12.75" customHeight="1" x14ac:dyDescent="0.2">
      <c r="A101" s="494"/>
      <c r="B101" s="88"/>
      <c r="G101" s="97"/>
      <c r="H101" s="502"/>
      <c r="I101" s="72"/>
      <c r="J101" s="72"/>
      <c r="K101" s="15"/>
      <c r="L101" s="72"/>
      <c r="M101" s="15"/>
      <c r="N101" s="15"/>
      <c r="O101" s="25"/>
    </row>
    <row r="102" spans="1:15" ht="12.75" customHeight="1" x14ac:dyDescent="0.2">
      <c r="A102" s="491"/>
      <c r="B102" s="130" t="s">
        <v>18</v>
      </c>
      <c r="C102" s="131"/>
      <c r="D102" s="131"/>
      <c r="E102" s="131"/>
      <c r="F102" s="131"/>
      <c r="G102" s="53"/>
      <c r="H102" s="503"/>
      <c r="I102" s="53"/>
      <c r="J102" s="53"/>
      <c r="K102" s="53"/>
      <c r="L102" s="53"/>
      <c r="M102" s="53"/>
      <c r="N102" s="15">
        <f>N100</f>
        <v>880</v>
      </c>
      <c r="O102" s="25">
        <f>N102/N173</f>
        <v>7.1238967067358869E-2</v>
      </c>
    </row>
    <row r="103" spans="1:15" ht="12.75" customHeight="1" x14ac:dyDescent="0.2">
      <c r="A103" s="491"/>
      <c r="B103" s="130"/>
      <c r="G103" s="52"/>
      <c r="H103" s="501"/>
      <c r="I103" s="52"/>
      <c r="J103" s="52"/>
      <c r="K103" s="52"/>
      <c r="L103" s="52"/>
      <c r="M103" s="52"/>
      <c r="N103" s="15"/>
      <c r="O103" s="25"/>
    </row>
    <row r="104" spans="1:15" ht="12.75" hidden="1" customHeight="1" x14ac:dyDescent="0.2">
      <c r="A104" s="494">
        <v>2240</v>
      </c>
      <c r="B104" s="88" t="s">
        <v>715</v>
      </c>
      <c r="G104" s="52"/>
      <c r="H104" s="501"/>
      <c r="I104" s="52"/>
      <c r="J104" s="52"/>
      <c r="K104" s="52"/>
      <c r="L104" s="52"/>
      <c r="M104" s="52"/>
      <c r="N104" s="52"/>
      <c r="O104" s="19"/>
    </row>
    <row r="105" spans="1:15" ht="12.75" hidden="1" customHeight="1" x14ac:dyDescent="0.2">
      <c r="A105" s="494" t="s">
        <v>1193</v>
      </c>
      <c r="B105" s="88" t="s">
        <v>1194</v>
      </c>
      <c r="G105" s="97" t="s">
        <v>24</v>
      </c>
      <c r="H105" s="502">
        <v>0</v>
      </c>
      <c r="I105" s="72">
        <f>VLOOKUP(A105,'[1]TAB OGU JUN18'!$A:$G,6,"falso")</f>
        <v>381.97</v>
      </c>
      <c r="J105" s="72">
        <f>VLOOKUP(A105,'[1]TAB OGU JUN18'!$A:$G,4,"falso")</f>
        <v>0</v>
      </c>
      <c r="K105" s="15"/>
      <c r="L105" s="72">
        <f>VLOOKUP(A105,'[1]TAB OGU JUN18'!$A:$G,5,"falso")</f>
        <v>381.97</v>
      </c>
      <c r="M105" s="15">
        <f>H105*L105</f>
        <v>0</v>
      </c>
      <c r="N105" s="15">
        <f>H105*I105</f>
        <v>0</v>
      </c>
      <c r="O105" s="25" t="e">
        <f>N105/N110</f>
        <v>#DIV/0!</v>
      </c>
    </row>
    <row r="106" spans="1:15" ht="12.75" hidden="1" customHeight="1" x14ac:dyDescent="0.2">
      <c r="A106" s="494" t="s">
        <v>1064</v>
      </c>
      <c r="B106" s="88" t="s">
        <v>1065</v>
      </c>
      <c r="G106" s="97" t="s">
        <v>24</v>
      </c>
      <c r="H106" s="502">
        <v>0</v>
      </c>
      <c r="I106" s="72">
        <f>VLOOKUP(A106,'[1]TAB OGU JUN18'!$A:$G,6,"falso")</f>
        <v>381.97</v>
      </c>
      <c r="J106" s="72">
        <f>VLOOKUP(A106,'[1]TAB OGU JUN18'!$A:$G,4,"falso")</f>
        <v>0</v>
      </c>
      <c r="K106" s="15"/>
      <c r="L106" s="72">
        <f>VLOOKUP(A106,'[1]TAB OGU JUN18'!$A:$G,5,"falso")</f>
        <v>381.97</v>
      </c>
      <c r="M106" s="15">
        <f>H106*L106</f>
        <v>0</v>
      </c>
      <c r="N106" s="15">
        <f>H106*I106</f>
        <v>0</v>
      </c>
      <c r="O106" s="25" t="e">
        <f>N106/N110</f>
        <v>#DIV/0!</v>
      </c>
    </row>
    <row r="107" spans="1:15" ht="12.75" hidden="1" customHeight="1" x14ac:dyDescent="0.2">
      <c r="A107" s="494" t="s">
        <v>1189</v>
      </c>
      <c r="B107" s="88" t="s">
        <v>1190</v>
      </c>
      <c r="G107" s="97" t="s">
        <v>24</v>
      </c>
      <c r="H107" s="502">
        <v>0</v>
      </c>
      <c r="I107" s="72">
        <f>VLOOKUP(A107,'[1]TAB OGU JUN18'!$A:$G,6,"falso")</f>
        <v>588.83000000000004</v>
      </c>
      <c r="J107" s="72">
        <f>VLOOKUP(A107,'[1]TAB OGU JUN18'!$A:$G,4,"falso")</f>
        <v>0</v>
      </c>
      <c r="K107" s="15"/>
      <c r="L107" s="72">
        <f>VLOOKUP(A107,'[1]TAB OGU JUN18'!$A:$G,5,"falso")</f>
        <v>588.83000000000004</v>
      </c>
      <c r="M107" s="15">
        <f>H107*L107</f>
        <v>0</v>
      </c>
      <c r="N107" s="15">
        <f>H107*I107</f>
        <v>0</v>
      </c>
      <c r="O107" s="25" t="e">
        <f>N107/N110</f>
        <v>#DIV/0!</v>
      </c>
    </row>
    <row r="108" spans="1:15" ht="12.75" hidden="1" customHeight="1" x14ac:dyDescent="0.2">
      <c r="A108" s="494" t="s">
        <v>1191</v>
      </c>
      <c r="B108" s="88" t="s">
        <v>1192</v>
      </c>
      <c r="G108" s="97" t="s">
        <v>24</v>
      </c>
      <c r="H108" s="502">
        <v>0</v>
      </c>
      <c r="I108" s="72">
        <f>VLOOKUP(A108,'[1]TAB OGU JUN18'!$A:$G,6,"falso")</f>
        <v>923.02</v>
      </c>
      <c r="J108" s="72">
        <f>VLOOKUP(A108,'[1]TAB OGU JUN18'!$A:$G,4,"falso")</f>
        <v>0</v>
      </c>
      <c r="K108" s="15"/>
      <c r="L108" s="72">
        <f>VLOOKUP(A108,'[1]TAB OGU JUN18'!$A:$G,5,"falso")</f>
        <v>923.02</v>
      </c>
      <c r="M108" s="15">
        <f>H108*L108</f>
        <v>0</v>
      </c>
      <c r="N108" s="15">
        <f>H108*I108</f>
        <v>0</v>
      </c>
      <c r="O108" s="25" t="e">
        <f>N108/N110</f>
        <v>#DIV/0!</v>
      </c>
    </row>
    <row r="109" spans="1:15" ht="12.75" hidden="1" customHeight="1" x14ac:dyDescent="0.2">
      <c r="G109" s="52"/>
      <c r="H109" s="501"/>
      <c r="I109" s="52"/>
      <c r="J109" s="52"/>
      <c r="K109" s="52"/>
      <c r="L109" s="52"/>
      <c r="M109" s="52"/>
      <c r="N109" s="52"/>
      <c r="O109" s="19"/>
    </row>
    <row r="110" spans="1:15" ht="12.75" hidden="1" customHeight="1" x14ac:dyDescent="0.2">
      <c r="B110" s="130" t="s">
        <v>18</v>
      </c>
      <c r="C110" s="131"/>
      <c r="D110" s="131"/>
      <c r="E110" s="131"/>
      <c r="F110" s="131"/>
      <c r="G110" s="53"/>
      <c r="H110" s="503"/>
      <c r="I110" s="53"/>
      <c r="J110" s="53"/>
      <c r="K110" s="53"/>
      <c r="L110" s="53"/>
      <c r="M110" s="53"/>
      <c r="N110" s="15">
        <f>SUM(N105:N108)</f>
        <v>0</v>
      </c>
      <c r="O110" s="25">
        <f>N110/N173</f>
        <v>0</v>
      </c>
    </row>
    <row r="111" spans="1:15" ht="12.75" hidden="1" customHeight="1" x14ac:dyDescent="0.2">
      <c r="B111" s="130"/>
      <c r="G111" s="52"/>
      <c r="H111" s="501"/>
      <c r="I111" s="52"/>
      <c r="J111" s="52"/>
      <c r="K111" s="52"/>
      <c r="L111" s="52"/>
      <c r="M111" s="52"/>
      <c r="N111" s="15"/>
      <c r="O111" s="25"/>
    </row>
    <row r="112" spans="1:15" ht="12.75" customHeight="1" x14ac:dyDescent="0.2">
      <c r="A112" s="98">
        <v>2280</v>
      </c>
      <c r="B112" s="88" t="s">
        <v>720</v>
      </c>
      <c r="G112" s="52"/>
      <c r="H112" s="501"/>
      <c r="I112" s="52"/>
      <c r="J112" s="52"/>
      <c r="K112" s="52"/>
      <c r="L112" s="52"/>
      <c r="M112" s="52"/>
      <c r="N112" s="52"/>
      <c r="O112" s="19"/>
    </row>
    <row r="113" spans="1:15" ht="12.75" customHeight="1" x14ac:dyDescent="0.2">
      <c r="A113" s="494" t="s">
        <v>1195</v>
      </c>
      <c r="B113" s="591" t="s">
        <v>1199</v>
      </c>
      <c r="C113" s="491"/>
      <c r="D113" s="491"/>
      <c r="E113" s="491"/>
      <c r="F113" s="491"/>
      <c r="G113" s="97" t="s">
        <v>24</v>
      </c>
      <c r="H113" s="502">
        <v>1</v>
      </c>
      <c r="I113" s="72">
        <f>VLOOKUP(A113,'[1]TAB OGU JUN18'!$A:$G,6,"falso")</f>
        <v>188.8</v>
      </c>
      <c r="J113" s="72">
        <f>VLOOKUP(A113,'[1]TAB OGU JUN18'!$A:$G,4,"falso")</f>
        <v>0</v>
      </c>
      <c r="K113" s="15"/>
      <c r="L113" s="72">
        <f>VLOOKUP(A113,'[1]TAB OGU JUN18'!$A:$G,5,"falso")</f>
        <v>188.8</v>
      </c>
      <c r="M113" s="15">
        <f>H113*L113</f>
        <v>188.8</v>
      </c>
      <c r="N113" s="15">
        <f t="shared" ref="N113:N119" si="6">H113*I113</f>
        <v>188.8</v>
      </c>
      <c r="O113" s="25">
        <f t="shared" ref="O113:O122" si="7">N113/$N$130</f>
        <v>4.2336869628005119E-2</v>
      </c>
    </row>
    <row r="114" spans="1:15" ht="12.75" customHeight="1" x14ac:dyDescent="0.2">
      <c r="A114" s="494" t="s">
        <v>1196</v>
      </c>
      <c r="B114" s="591" t="s">
        <v>1200</v>
      </c>
      <c r="C114" s="491"/>
      <c r="D114" s="491"/>
      <c r="E114" s="491"/>
      <c r="F114" s="491"/>
      <c r="G114" s="97" t="s">
        <v>24</v>
      </c>
      <c r="H114" s="502">
        <v>2</v>
      </c>
      <c r="I114" s="72">
        <f>VLOOKUP(A114,'[1]TAB OGU JUN18'!$A:$G,6,"falso")</f>
        <v>252.83</v>
      </c>
      <c r="J114" s="72">
        <f>VLOOKUP(A114,'[1]TAB OGU JUN18'!$A:$G,4,"falso")</f>
        <v>0</v>
      </c>
      <c r="K114" s="15"/>
      <c r="L114" s="72">
        <f>VLOOKUP(A114,'[1]TAB OGU JUN18'!$A:$G,5,"falso")</f>
        <v>252.83</v>
      </c>
      <c r="M114" s="15">
        <f t="shared" ref="M114:M119" si="8">H114*L114</f>
        <v>505.66</v>
      </c>
      <c r="N114" s="15">
        <f t="shared" si="6"/>
        <v>505.66</v>
      </c>
      <c r="O114" s="25">
        <f t="shared" si="7"/>
        <v>0.1133901562293277</v>
      </c>
    </row>
    <row r="115" spans="1:15" ht="12.75" hidden="1" customHeight="1" x14ac:dyDescent="0.2">
      <c r="A115" s="494" t="s">
        <v>1197</v>
      </c>
      <c r="B115" s="591" t="s">
        <v>1201</v>
      </c>
      <c r="C115" s="491"/>
      <c r="D115" s="491"/>
      <c r="E115" s="491"/>
      <c r="F115" s="491"/>
      <c r="G115" s="97" t="s">
        <v>24</v>
      </c>
      <c r="H115" s="502">
        <v>0</v>
      </c>
      <c r="I115" s="72">
        <f>VLOOKUP(A115,'[1]TAB OGU JUN18'!$A:$G,6,"falso")</f>
        <v>442.45</v>
      </c>
      <c r="J115" s="72">
        <f>VLOOKUP(A115,'[1]TAB OGU JUN18'!$A:$G,4,"falso")</f>
        <v>0</v>
      </c>
      <c r="K115" s="15"/>
      <c r="L115" s="72">
        <f>VLOOKUP(A115,'[1]TAB OGU JUN18'!$A:$G,5,"falso")</f>
        <v>442.45</v>
      </c>
      <c r="M115" s="15">
        <f t="shared" si="8"/>
        <v>0</v>
      </c>
      <c r="N115" s="15">
        <f t="shared" si="6"/>
        <v>0</v>
      </c>
      <c r="O115" s="25">
        <f t="shared" si="7"/>
        <v>0</v>
      </c>
    </row>
    <row r="116" spans="1:15" ht="12.75" hidden="1" customHeight="1" x14ac:dyDescent="0.2">
      <c r="A116" s="494" t="s">
        <v>1198</v>
      </c>
      <c r="B116" s="591" t="s">
        <v>1202</v>
      </c>
      <c r="C116" s="491"/>
      <c r="D116" s="491"/>
      <c r="E116" s="491"/>
      <c r="F116" s="491"/>
      <c r="G116" s="97" t="s">
        <v>24</v>
      </c>
      <c r="H116" s="502">
        <v>0</v>
      </c>
      <c r="I116" s="72">
        <f>VLOOKUP(A116,'[1]TAB OGU JUN18'!$A:$G,6,"falso")</f>
        <v>739.42</v>
      </c>
      <c r="J116" s="72">
        <f>VLOOKUP(A116,'[1]TAB OGU JUN18'!$A:$G,4,"falso")</f>
        <v>0</v>
      </c>
      <c r="K116" s="15"/>
      <c r="L116" s="72">
        <f>VLOOKUP(A116,'[1]TAB OGU JUN18'!$A:$G,5,"falso")</f>
        <v>739.42</v>
      </c>
      <c r="M116" s="15">
        <f t="shared" ref="M116" si="9">H116*L116</f>
        <v>0</v>
      </c>
      <c r="N116" s="15">
        <f t="shared" ref="N116" si="10">H116*I116</f>
        <v>0</v>
      </c>
      <c r="O116" s="25">
        <f t="shared" si="7"/>
        <v>0</v>
      </c>
    </row>
    <row r="117" spans="1:15" ht="12.75" hidden="1" customHeight="1" x14ac:dyDescent="0.2">
      <c r="A117" s="494" t="s">
        <v>1203</v>
      </c>
      <c r="B117" s="591" t="s">
        <v>1205</v>
      </c>
      <c r="C117" s="491"/>
      <c r="D117" s="491"/>
      <c r="E117" s="491"/>
      <c r="F117" s="491"/>
      <c r="G117" s="97" t="s">
        <v>24</v>
      </c>
      <c r="H117" s="502">
        <v>0</v>
      </c>
      <c r="I117" s="72">
        <f>VLOOKUP(A117,'[1]TAB OGU JUN18'!$A:$G,6,"falso")</f>
        <v>888.07</v>
      </c>
      <c r="J117" s="72">
        <f>VLOOKUP(A117,'[1]TAB OGU JUN18'!$A:$G,4,"falso")</f>
        <v>0</v>
      </c>
      <c r="K117" s="15"/>
      <c r="L117" s="72">
        <f>VLOOKUP(A117,'[1]TAB OGU JUN18'!$A:$G,5,"falso")</f>
        <v>888.07</v>
      </c>
      <c r="M117" s="15">
        <f t="shared" si="8"/>
        <v>0</v>
      </c>
      <c r="N117" s="15">
        <f t="shared" si="6"/>
        <v>0</v>
      </c>
      <c r="O117" s="25">
        <f t="shared" si="7"/>
        <v>0</v>
      </c>
    </row>
    <row r="118" spans="1:15" ht="12.75" customHeight="1" x14ac:dyDescent="0.2">
      <c r="A118" s="494" t="s">
        <v>1204</v>
      </c>
      <c r="B118" s="591" t="s">
        <v>1206</v>
      </c>
      <c r="C118" s="491"/>
      <c r="D118" s="491"/>
      <c r="E118" s="491"/>
      <c r="F118" s="491"/>
      <c r="G118" s="97" t="s">
        <v>24</v>
      </c>
      <c r="H118" s="502">
        <v>2</v>
      </c>
      <c r="I118" s="72">
        <f>VLOOKUP(A118,'[1]TAB OGU JUN18'!$A:$G,6,"falso")</f>
        <v>1036.72</v>
      </c>
      <c r="J118" s="72">
        <f>VLOOKUP(A118,'[1]TAB OGU JUN18'!$A:$G,4,"falso")</f>
        <v>0</v>
      </c>
      <c r="K118" s="15"/>
      <c r="L118" s="72">
        <f>VLOOKUP(A118,'[1]TAB OGU JUN18'!$A:$G,5,"falso")</f>
        <v>1036.72</v>
      </c>
      <c r="M118" s="15">
        <f t="shared" si="8"/>
        <v>2073.44</v>
      </c>
      <c r="N118" s="15">
        <f t="shared" si="6"/>
        <v>2073.44</v>
      </c>
      <c r="O118" s="25">
        <f t="shared" si="7"/>
        <v>0.46495211314349011</v>
      </c>
    </row>
    <row r="119" spans="1:15" ht="12.75" hidden="1" customHeight="1" x14ac:dyDescent="0.2">
      <c r="A119" s="494" t="s">
        <v>1067</v>
      </c>
      <c r="B119" s="591" t="s">
        <v>1207</v>
      </c>
      <c r="C119" s="491"/>
      <c r="D119" s="491"/>
      <c r="E119" s="491"/>
      <c r="F119" s="491"/>
      <c r="G119" s="97" t="s">
        <v>24</v>
      </c>
      <c r="H119" s="502">
        <v>0</v>
      </c>
      <c r="I119" s="72">
        <f>VLOOKUP(A119,'[1]TAB OGU JUN18'!$A:$G,6,"falso")</f>
        <v>1181.1099999999999</v>
      </c>
      <c r="J119" s="72">
        <f>VLOOKUP(A119,'[1]TAB OGU JUN18'!$A:$G,4,"falso")</f>
        <v>0</v>
      </c>
      <c r="K119" s="15"/>
      <c r="L119" s="72">
        <f>VLOOKUP(A119,'[1]TAB OGU JUN18'!$A:$G,5,"falso")</f>
        <v>1181.1099999999999</v>
      </c>
      <c r="M119" s="15">
        <f t="shared" si="8"/>
        <v>0</v>
      </c>
      <c r="N119" s="15">
        <f t="shared" si="6"/>
        <v>0</v>
      </c>
      <c r="O119" s="25">
        <f t="shared" si="7"/>
        <v>0</v>
      </c>
    </row>
    <row r="120" spans="1:15" ht="12.75" hidden="1" customHeight="1" x14ac:dyDescent="0.2">
      <c r="A120" s="494" t="s">
        <v>1208</v>
      </c>
      <c r="B120" s="591" t="s">
        <v>1210</v>
      </c>
      <c r="C120" s="491"/>
      <c r="D120" s="491"/>
      <c r="E120" s="491"/>
      <c r="F120" s="491"/>
      <c r="G120" s="97" t="s">
        <v>24</v>
      </c>
      <c r="H120" s="502">
        <v>0</v>
      </c>
      <c r="I120" s="72">
        <f>VLOOKUP(A120,'[1]TAB OGU JUN18'!$A:$G,6,"falso")</f>
        <v>1279.1500000000001</v>
      </c>
      <c r="J120" s="72">
        <f>VLOOKUP(A120,'[1]TAB OGU JUN18'!$A:$G,4,"falso")</f>
        <v>0</v>
      </c>
      <c r="K120" s="15"/>
      <c r="L120" s="72">
        <f>VLOOKUP(A120,'[1]TAB OGU JUN18'!$A:$G,5,"falso")</f>
        <v>1279.1500000000001</v>
      </c>
      <c r="M120" s="15">
        <f t="shared" ref="M120" si="11">H120*L120</f>
        <v>0</v>
      </c>
      <c r="N120" s="15">
        <f t="shared" ref="N120" si="12">H120*I120</f>
        <v>0</v>
      </c>
      <c r="O120" s="25">
        <f t="shared" si="7"/>
        <v>0</v>
      </c>
    </row>
    <row r="121" spans="1:15" ht="12.75" hidden="1" customHeight="1" x14ac:dyDescent="0.2">
      <c r="A121" s="494" t="s">
        <v>1209</v>
      </c>
      <c r="B121" s="591" t="s">
        <v>1211</v>
      </c>
      <c r="C121" s="491"/>
      <c r="D121" s="491"/>
      <c r="E121" s="491"/>
      <c r="F121" s="491"/>
      <c r="G121" s="97" t="s">
        <v>24</v>
      </c>
      <c r="H121" s="502">
        <v>0</v>
      </c>
      <c r="I121" s="72">
        <f>VLOOKUP(A121,'[1]TAB OGU JUN18'!$A:$G,6,"falso")</f>
        <v>1478.48</v>
      </c>
      <c r="J121" s="72">
        <f>VLOOKUP(A121,'[1]TAB OGU JUN18'!$A:$G,4,"falso")</f>
        <v>0</v>
      </c>
      <c r="K121" s="15"/>
      <c r="L121" s="72">
        <f>VLOOKUP(A121,'[1]TAB OGU JUN18'!$A:$G,5,"falso")</f>
        <v>1478.48</v>
      </c>
      <c r="M121" s="15">
        <f t="shared" ref="M121" si="13">H121*L121</f>
        <v>0</v>
      </c>
      <c r="N121" s="15">
        <f t="shared" ref="N121" si="14">H121*I121</f>
        <v>0</v>
      </c>
      <c r="O121" s="25">
        <f t="shared" si="7"/>
        <v>0</v>
      </c>
    </row>
    <row r="122" spans="1:15" ht="12.75" customHeight="1" x14ac:dyDescent="0.2">
      <c r="A122" s="494" t="s">
        <v>1022</v>
      </c>
      <c r="B122" s="591" t="s">
        <v>1212</v>
      </c>
      <c r="C122" s="491"/>
      <c r="D122" s="491"/>
      <c r="E122" s="491"/>
      <c r="F122" s="491"/>
      <c r="G122" s="97" t="s">
        <v>24</v>
      </c>
      <c r="H122" s="502">
        <v>1</v>
      </c>
      <c r="I122" s="72">
        <f>VLOOKUP(A122,'[1]TAB OGU JUN18'!$A:$G,6,"falso")</f>
        <v>1691.57</v>
      </c>
      <c r="J122" s="72">
        <f>VLOOKUP(A122,'[1]TAB OGU JUN18'!$A:$G,4,"falso")</f>
        <v>0</v>
      </c>
      <c r="K122" s="15"/>
      <c r="L122" s="72">
        <f>VLOOKUP(A122,'[1]TAB OGU JUN18'!$A:$G,5,"falso")</f>
        <v>1691.57</v>
      </c>
      <c r="M122" s="15">
        <f t="shared" ref="M122" si="15">H122*L122</f>
        <v>1691.57</v>
      </c>
      <c r="N122" s="15">
        <f t="shared" ref="N122" si="16">H122*I122</f>
        <v>1691.57</v>
      </c>
      <c r="O122" s="25">
        <f t="shared" si="7"/>
        <v>0.379320860999177</v>
      </c>
    </row>
    <row r="123" spans="1:15" ht="12.75" hidden="1" customHeight="1" x14ac:dyDescent="0.2">
      <c r="A123" s="494" t="s">
        <v>1066</v>
      </c>
      <c r="B123" s="591" t="s">
        <v>1068</v>
      </c>
      <c r="C123" s="491"/>
      <c r="D123" s="491"/>
      <c r="E123" s="491"/>
      <c r="F123" s="491"/>
      <c r="G123" s="97" t="s">
        <v>24</v>
      </c>
      <c r="H123" s="502">
        <v>0</v>
      </c>
      <c r="I123" s="72">
        <f>VLOOKUP(A123,'[1]TAB OGU JUN18'!$A:$G,6,"falso")</f>
        <v>654.57000000000005</v>
      </c>
      <c r="J123" s="72">
        <f>VLOOKUP(A123,'[1]TAB OGU JUN18'!$A:$G,4,"falso")</f>
        <v>0</v>
      </c>
      <c r="K123" s="15"/>
      <c r="L123" s="72">
        <f>VLOOKUP(A123,'[1]TAB OGU JUN18'!$A:$G,5,"falso")</f>
        <v>654.57000000000005</v>
      </c>
      <c r="M123" s="15">
        <f t="shared" ref="M123" si="17">H123*L123</f>
        <v>0</v>
      </c>
      <c r="N123" s="15">
        <f t="shared" ref="N123" si="18">H123*I123</f>
        <v>0</v>
      </c>
      <c r="O123" s="25">
        <f t="shared" ref="O123" si="19">N123/$N$130</f>
        <v>0</v>
      </c>
    </row>
    <row r="124" spans="1:15" ht="12.75" hidden="1" customHeight="1" x14ac:dyDescent="0.2">
      <c r="A124" s="494" t="s">
        <v>1213</v>
      </c>
      <c r="B124" s="591" t="s">
        <v>1218</v>
      </c>
      <c r="C124" s="491"/>
      <c r="D124" s="491"/>
      <c r="E124" s="491"/>
      <c r="F124" s="491"/>
      <c r="G124" s="97" t="s">
        <v>24</v>
      </c>
      <c r="H124" s="502">
        <v>0</v>
      </c>
      <c r="I124" s="72">
        <f>VLOOKUP(A124,'[1]TAB OGU JUN18'!$A:$G,6,"falso")</f>
        <v>329.45</v>
      </c>
      <c r="J124" s="72">
        <f>VLOOKUP(A124,'[1]TAB OGU JUN18'!$A:$G,4,"falso")</f>
        <v>0</v>
      </c>
      <c r="K124" s="15"/>
      <c r="L124" s="72">
        <f>VLOOKUP(A124,'[1]TAB OGU JUN18'!$A:$G,5,"falso")</f>
        <v>329.45</v>
      </c>
      <c r="M124" s="15">
        <f t="shared" ref="M124" si="20">H124*L124</f>
        <v>0</v>
      </c>
      <c r="N124" s="15">
        <f t="shared" ref="N124" si="21">H124*I124</f>
        <v>0</v>
      </c>
      <c r="O124" s="25">
        <f t="shared" ref="O124" si="22">N124/$N$130</f>
        <v>0</v>
      </c>
    </row>
    <row r="125" spans="1:15" ht="12.75" hidden="1" customHeight="1" x14ac:dyDescent="0.2">
      <c r="A125" s="494" t="s">
        <v>1214</v>
      </c>
      <c r="B125" s="591" t="s">
        <v>1219</v>
      </c>
      <c r="C125" s="491"/>
      <c r="D125" s="491"/>
      <c r="E125" s="491"/>
      <c r="F125" s="491"/>
      <c r="G125" s="97" t="s">
        <v>24</v>
      </c>
      <c r="H125" s="502">
        <v>0</v>
      </c>
      <c r="I125" s="72">
        <f>VLOOKUP(A125,'[1]TAB OGU JUN18'!$A:$G,6,"falso")</f>
        <v>465.47</v>
      </c>
      <c r="J125" s="72">
        <f>VLOOKUP(A125,'[1]TAB OGU JUN18'!$A:$G,4,"falso")</f>
        <v>0</v>
      </c>
      <c r="K125" s="15"/>
      <c r="L125" s="72">
        <f>VLOOKUP(A125,'[1]TAB OGU JUN18'!$A:$G,5,"falso")</f>
        <v>465.47</v>
      </c>
      <c r="M125" s="15">
        <f t="shared" ref="M125" si="23">H125*L125</f>
        <v>0</v>
      </c>
      <c r="N125" s="15">
        <f t="shared" ref="N125" si="24">H125*I125</f>
        <v>0</v>
      </c>
      <c r="O125" s="25">
        <f t="shared" ref="O125" si="25">N125/$N$130</f>
        <v>0</v>
      </c>
    </row>
    <row r="126" spans="1:15" ht="12.75" hidden="1" customHeight="1" x14ac:dyDescent="0.2">
      <c r="A126" s="494" t="s">
        <v>1215</v>
      </c>
      <c r="B126" s="591" t="s">
        <v>1220</v>
      </c>
      <c r="C126" s="491"/>
      <c r="D126" s="491"/>
      <c r="E126" s="491"/>
      <c r="F126" s="491"/>
      <c r="G126" s="97" t="s">
        <v>24</v>
      </c>
      <c r="H126" s="502">
        <v>0</v>
      </c>
      <c r="I126" s="72">
        <f>VLOOKUP(A126,'[1]TAB OGU JUN18'!$A:$G,6,"falso")</f>
        <v>795.28</v>
      </c>
      <c r="J126" s="72">
        <f>VLOOKUP(A126,'[1]TAB OGU JUN18'!$A:$G,4,"falso")</f>
        <v>0</v>
      </c>
      <c r="K126" s="15"/>
      <c r="L126" s="72">
        <f>VLOOKUP(A126,'[1]TAB OGU JUN18'!$A:$G,5,"falso")</f>
        <v>795.28</v>
      </c>
      <c r="M126" s="15">
        <f t="shared" ref="M126" si="26">H126*L126</f>
        <v>0</v>
      </c>
      <c r="N126" s="15">
        <f t="shared" ref="N126" si="27">H126*I126</f>
        <v>0</v>
      </c>
      <c r="O126" s="25">
        <f t="shared" ref="O126" si="28">N126/$N$130</f>
        <v>0</v>
      </c>
    </row>
    <row r="127" spans="1:15" ht="12.75" hidden="1" customHeight="1" x14ac:dyDescent="0.2">
      <c r="A127" s="494" t="s">
        <v>1216</v>
      </c>
      <c r="B127" s="591" t="s">
        <v>1221</v>
      </c>
      <c r="C127" s="491"/>
      <c r="D127" s="491"/>
      <c r="E127" s="491"/>
      <c r="F127" s="491"/>
      <c r="G127" s="97" t="s">
        <v>24</v>
      </c>
      <c r="H127" s="502">
        <v>0</v>
      </c>
      <c r="I127" s="72">
        <f>VLOOKUP(A127,'[1]TAB OGU JUN18'!$A:$G,6,"falso")</f>
        <v>1026.32</v>
      </c>
      <c r="J127" s="72">
        <f>VLOOKUP(A127,'[1]TAB OGU JUN18'!$A:$G,4,"falso")</f>
        <v>0</v>
      </c>
      <c r="K127" s="15"/>
      <c r="L127" s="72">
        <f>VLOOKUP(A127,'[1]TAB OGU JUN18'!$A:$G,5,"falso")</f>
        <v>1026.32</v>
      </c>
      <c r="M127" s="15">
        <f t="shared" ref="M127" si="29">H127*L127</f>
        <v>0</v>
      </c>
      <c r="N127" s="15">
        <f t="shared" ref="N127" si="30">H127*I127</f>
        <v>0</v>
      </c>
      <c r="O127" s="25">
        <f t="shared" ref="O127" si="31">N127/$N$130</f>
        <v>0</v>
      </c>
    </row>
    <row r="128" spans="1:15" ht="12.75" hidden="1" customHeight="1" x14ac:dyDescent="0.2">
      <c r="A128" s="494" t="s">
        <v>1217</v>
      </c>
      <c r="B128" s="591" t="s">
        <v>1222</v>
      </c>
      <c r="C128" s="491"/>
      <c r="D128" s="491"/>
      <c r="E128" s="491"/>
      <c r="F128" s="491"/>
      <c r="G128" s="97" t="s">
        <v>24</v>
      </c>
      <c r="H128" s="502">
        <v>0</v>
      </c>
      <c r="I128" s="72">
        <f>VLOOKUP(A128,'[1]TAB OGU JUN18'!$A:$G,6,"falso")</f>
        <v>1205.46</v>
      </c>
      <c r="J128" s="72">
        <f>VLOOKUP(A128,'[1]TAB OGU JUN18'!$A:$G,4,"falso")</f>
        <v>0</v>
      </c>
      <c r="K128" s="15"/>
      <c r="L128" s="72">
        <f>VLOOKUP(A128,'[1]TAB OGU JUN18'!$A:$G,5,"falso")</f>
        <v>1205.46</v>
      </c>
      <c r="M128" s="15">
        <f t="shared" ref="M128" si="32">H128*L128</f>
        <v>0</v>
      </c>
      <c r="N128" s="15">
        <f t="shared" ref="N128" si="33">H128*I128</f>
        <v>0</v>
      </c>
      <c r="O128" s="25">
        <f t="shared" ref="O128" si="34">N128/$N$130</f>
        <v>0</v>
      </c>
    </row>
    <row r="129" spans="1:17" ht="12.75" customHeight="1" x14ac:dyDescent="0.2">
      <c r="G129" s="52"/>
      <c r="H129" s="501"/>
      <c r="I129" s="52"/>
      <c r="J129" s="52"/>
      <c r="K129" s="52"/>
      <c r="L129" s="52"/>
      <c r="M129" s="52"/>
      <c r="N129" s="52"/>
      <c r="O129" s="19"/>
    </row>
    <row r="130" spans="1:17" ht="12.75" customHeight="1" x14ac:dyDescent="0.2">
      <c r="B130" s="130" t="s">
        <v>18</v>
      </c>
      <c r="C130" s="131"/>
      <c r="D130" s="131"/>
      <c r="E130" s="131"/>
      <c r="F130" s="131"/>
      <c r="G130" s="53"/>
      <c r="H130" s="503"/>
      <c r="I130" s="53"/>
      <c r="J130" s="53"/>
      <c r="K130" s="53"/>
      <c r="L130" s="53"/>
      <c r="M130" s="53"/>
      <c r="N130" s="15">
        <f>SUM(N113:N128)</f>
        <v>4459.47</v>
      </c>
      <c r="O130" s="25">
        <f>N130/N173</f>
        <v>0.36100913234985782</v>
      </c>
    </row>
    <row r="131" spans="1:17" ht="12.75" customHeight="1" x14ac:dyDescent="0.2">
      <c r="B131" s="130"/>
      <c r="G131" s="52"/>
      <c r="H131" s="501"/>
      <c r="I131" s="52"/>
      <c r="J131" s="52"/>
      <c r="K131" s="52"/>
      <c r="L131" s="52"/>
      <c r="M131" s="52"/>
      <c r="N131" s="15"/>
      <c r="O131" s="25"/>
      <c r="Q131" s="589"/>
    </row>
    <row r="132" spans="1:17" ht="12.75" customHeight="1" x14ac:dyDescent="0.2">
      <c r="A132" s="494">
        <v>2281</v>
      </c>
      <c r="B132" s="490" t="s">
        <v>487</v>
      </c>
      <c r="C132" s="491"/>
      <c r="D132" s="491"/>
      <c r="E132" s="491"/>
      <c r="F132" s="491"/>
      <c r="G132" s="52"/>
      <c r="H132" s="501"/>
      <c r="I132" s="52"/>
      <c r="J132" s="52"/>
      <c r="K132" s="52"/>
      <c r="L132" s="52"/>
      <c r="M132" s="52"/>
      <c r="N132" s="52"/>
      <c r="O132" s="19"/>
    </row>
    <row r="133" spans="1:17" ht="12.75" hidden="1" customHeight="1" x14ac:dyDescent="0.2">
      <c r="A133" s="494" t="s">
        <v>907</v>
      </c>
      <c r="B133" s="490" t="s">
        <v>908</v>
      </c>
      <c r="C133" s="491"/>
      <c r="D133" s="491"/>
      <c r="E133" s="491"/>
      <c r="F133" s="491"/>
      <c r="G133" s="97" t="s">
        <v>24</v>
      </c>
      <c r="H133" s="502">
        <v>0</v>
      </c>
      <c r="I133" s="72">
        <f>VLOOKUP(A133,'[1]TAB OGU JUN18'!$A:$G,6,"falso")</f>
        <v>173.99</v>
      </c>
      <c r="J133" s="72">
        <f>VLOOKUP(A133,'[1]TAB OGU JUN18'!$A:$G,4,"falso")</f>
        <v>0</v>
      </c>
      <c r="K133" s="15"/>
      <c r="L133" s="72">
        <f>VLOOKUP(A133,'[1]TAB OGU JUN18'!$A:$G,5,"falso")</f>
        <v>173.99</v>
      </c>
      <c r="M133" s="15">
        <f>H133*L133</f>
        <v>0</v>
      </c>
      <c r="N133" s="15">
        <f t="shared" ref="N133:N134" si="35">H133*I133</f>
        <v>0</v>
      </c>
      <c r="O133" s="25">
        <f>N133/$N$143</f>
        <v>0</v>
      </c>
    </row>
    <row r="134" spans="1:17" ht="12.75" hidden="1" customHeight="1" x14ac:dyDescent="0.2">
      <c r="A134" s="494" t="s">
        <v>909</v>
      </c>
      <c r="B134" s="490" t="s">
        <v>910</v>
      </c>
      <c r="C134" s="491"/>
      <c r="D134" s="491"/>
      <c r="E134" s="491"/>
      <c r="F134" s="491"/>
      <c r="G134" s="97" t="s">
        <v>24</v>
      </c>
      <c r="H134" s="502">
        <v>0</v>
      </c>
      <c r="I134" s="72">
        <f>VLOOKUP(A134,'[1]TAB OGU JUN18'!$A:$G,6,"falso")</f>
        <v>259.82</v>
      </c>
      <c r="J134" s="72">
        <f>VLOOKUP(A134,'[1]TAB OGU JUN18'!$A:$G,4,"falso")</f>
        <v>0</v>
      </c>
      <c r="K134" s="15"/>
      <c r="L134" s="72">
        <f>VLOOKUP(A134,'[1]TAB OGU JUN18'!$A:$G,5,"falso")</f>
        <v>259.82</v>
      </c>
      <c r="M134" s="15">
        <f t="shared" ref="M134" si="36">H134*L134</f>
        <v>0</v>
      </c>
      <c r="N134" s="15">
        <f t="shared" si="35"/>
        <v>0</v>
      </c>
      <c r="O134" s="25">
        <f>N134/$N$143</f>
        <v>0</v>
      </c>
    </row>
    <row r="135" spans="1:17" ht="12.75" customHeight="1" x14ac:dyDescent="0.2">
      <c r="A135" s="494" t="s">
        <v>911</v>
      </c>
      <c r="B135" s="490" t="s">
        <v>912</v>
      </c>
      <c r="C135" s="491"/>
      <c r="D135" s="491"/>
      <c r="E135" s="491"/>
      <c r="F135" s="491"/>
      <c r="G135" s="97" t="s">
        <v>24</v>
      </c>
      <c r="H135" s="502">
        <v>2</v>
      </c>
      <c r="I135" s="72">
        <f>VLOOKUP(A135,'[1]TAB OGU JUN18'!$A:$G,6,"falso")</f>
        <v>288.39999999999998</v>
      </c>
      <c r="J135" s="72">
        <f>VLOOKUP(A135,'[1]TAB OGU JUN18'!$A:$G,4,"falso")</f>
        <v>0</v>
      </c>
      <c r="K135" s="15"/>
      <c r="L135" s="72">
        <f>VLOOKUP(A135,'[1]TAB OGU JUN18'!$A:$G,5,"falso")</f>
        <v>288.39999999999998</v>
      </c>
      <c r="M135" s="15">
        <f t="shared" ref="M135" si="37">H135*L135</f>
        <v>576.79999999999995</v>
      </c>
      <c r="N135" s="15">
        <f t="shared" ref="N135" si="38">H135*I135</f>
        <v>576.79999999999995</v>
      </c>
      <c r="O135" s="25">
        <f>N135/$N$143</f>
        <v>1</v>
      </c>
    </row>
    <row r="136" spans="1:17" ht="12.75" hidden="1" customHeight="1" x14ac:dyDescent="0.2">
      <c r="A136" s="494" t="s">
        <v>1223</v>
      </c>
      <c r="B136" s="490" t="s">
        <v>1049</v>
      </c>
      <c r="C136" s="491"/>
      <c r="D136" s="491"/>
      <c r="E136" s="491"/>
      <c r="F136" s="491"/>
      <c r="G136" s="97" t="s">
        <v>24</v>
      </c>
      <c r="H136" s="502">
        <v>0</v>
      </c>
      <c r="I136" s="72">
        <f>VLOOKUP(A136,'[1]TAB OGU JUN18'!$A:$G,6,"falso")</f>
        <v>786.96</v>
      </c>
      <c r="J136" s="72">
        <f>VLOOKUP(A136,'[1]TAB OGU JUN18'!$A:$G,4,"falso")</f>
        <v>0</v>
      </c>
      <c r="K136" s="15"/>
      <c r="L136" s="72">
        <f>VLOOKUP(A136,'[1]TAB OGU JUN18'!$A:$G,5,"falso")</f>
        <v>786.96</v>
      </c>
      <c r="M136" s="15">
        <f>H136*L136</f>
        <v>0</v>
      </c>
      <c r="N136" s="15">
        <f t="shared" ref="N136:N137" si="39">H136*I136</f>
        <v>0</v>
      </c>
      <c r="O136" s="25">
        <f t="shared" ref="O136:O137" si="40">N136/$N$143</f>
        <v>0</v>
      </c>
    </row>
    <row r="137" spans="1:17" ht="12.75" hidden="1" customHeight="1" x14ac:dyDescent="0.2">
      <c r="A137" s="494" t="s">
        <v>1224</v>
      </c>
      <c r="B137" s="591" t="s">
        <v>1227</v>
      </c>
      <c r="C137" s="491"/>
      <c r="D137" s="491"/>
      <c r="E137" s="491"/>
      <c r="F137" s="491"/>
      <c r="G137" s="97" t="s">
        <v>24</v>
      </c>
      <c r="H137" s="502">
        <v>0</v>
      </c>
      <c r="I137" s="72">
        <f>VLOOKUP(A137,'[1]TAB OGU JUN18'!$A:$G,6,"falso")</f>
        <v>367.04</v>
      </c>
      <c r="J137" s="72">
        <f>VLOOKUP(A137,'[1]TAB OGU JUN18'!$A:$G,4,"falso")</f>
        <v>0</v>
      </c>
      <c r="K137" s="15"/>
      <c r="L137" s="72">
        <f>VLOOKUP(A137,'[1]TAB OGU JUN18'!$A:$G,5,"falso")</f>
        <v>367.04</v>
      </c>
      <c r="M137" s="15">
        <f t="shared" ref="M137" si="41">H137*L137</f>
        <v>0</v>
      </c>
      <c r="N137" s="15">
        <f t="shared" si="39"/>
        <v>0</v>
      </c>
      <c r="O137" s="25">
        <f t="shared" si="40"/>
        <v>0</v>
      </c>
    </row>
    <row r="138" spans="1:17" ht="12.75" hidden="1" customHeight="1" x14ac:dyDescent="0.2">
      <c r="A138" s="494" t="s">
        <v>1225</v>
      </c>
      <c r="B138" s="591" t="s">
        <v>1228</v>
      </c>
      <c r="C138" s="491"/>
      <c r="D138" s="491"/>
      <c r="E138" s="491"/>
      <c r="F138" s="491"/>
      <c r="G138" s="97" t="s">
        <v>24</v>
      </c>
      <c r="H138" s="502">
        <v>0</v>
      </c>
      <c r="I138" s="72">
        <f>VLOOKUP(A138,'[1]TAB OGU JUN18'!$A:$G,6,"falso")</f>
        <v>675.36</v>
      </c>
      <c r="J138" s="72">
        <f>VLOOKUP(A138,'[1]TAB OGU JUN18'!$A:$G,4,"falso")</f>
        <v>0</v>
      </c>
      <c r="K138" s="15"/>
      <c r="L138" s="72">
        <f>VLOOKUP(A138,'[1]TAB OGU JUN18'!$A:$G,5,"falso")</f>
        <v>675.36</v>
      </c>
      <c r="M138" s="15">
        <f t="shared" ref="M138" si="42">H138*L138</f>
        <v>0</v>
      </c>
      <c r="N138" s="15">
        <f t="shared" ref="N138" si="43">H138*I138</f>
        <v>0</v>
      </c>
      <c r="O138" s="25">
        <f t="shared" ref="O138" si="44">N138/$N$143</f>
        <v>0</v>
      </c>
    </row>
    <row r="139" spans="1:17" ht="12.75" hidden="1" customHeight="1" x14ac:dyDescent="0.2">
      <c r="A139" s="494" t="s">
        <v>1226</v>
      </c>
      <c r="B139" s="591" t="s">
        <v>1229</v>
      </c>
      <c r="C139" s="491"/>
      <c r="D139" s="491"/>
      <c r="E139" s="491"/>
      <c r="F139" s="491"/>
      <c r="G139" s="97" t="s">
        <v>24</v>
      </c>
      <c r="H139" s="502">
        <v>0</v>
      </c>
      <c r="I139" s="72">
        <f>VLOOKUP(A139,'[1]TAB OGU JUN18'!$A:$G,6,"falso")</f>
        <v>781.87</v>
      </c>
      <c r="J139" s="72">
        <f>VLOOKUP(A139,'[1]TAB OGU JUN18'!$A:$G,4,"falso")</f>
        <v>0</v>
      </c>
      <c r="K139" s="15"/>
      <c r="L139" s="72">
        <f>VLOOKUP(A139,'[1]TAB OGU JUN18'!$A:$G,5,"falso")</f>
        <v>781.87</v>
      </c>
      <c r="M139" s="15">
        <f t="shared" ref="M139" si="45">H139*L139</f>
        <v>0</v>
      </c>
      <c r="N139" s="15">
        <f t="shared" ref="N139:N140" si="46">H139*I139</f>
        <v>0</v>
      </c>
      <c r="O139" s="25">
        <f t="shared" ref="O139:O140" si="47">N139/$N$143</f>
        <v>0</v>
      </c>
    </row>
    <row r="140" spans="1:17" ht="12.75" hidden="1" customHeight="1" x14ac:dyDescent="0.2">
      <c r="A140" s="494" t="s">
        <v>1230</v>
      </c>
      <c r="B140" s="490" t="s">
        <v>1231</v>
      </c>
      <c r="C140" s="491"/>
      <c r="D140" s="491"/>
      <c r="E140" s="491"/>
      <c r="F140" s="491"/>
      <c r="G140" s="97" t="s">
        <v>24</v>
      </c>
      <c r="H140" s="502">
        <v>0</v>
      </c>
      <c r="I140" s="72">
        <f>VLOOKUP(A140,'[1]TAB OGU JUN18'!$A:$G,6,"falso")</f>
        <v>478.25</v>
      </c>
      <c r="J140" s="72">
        <f>VLOOKUP(A140,'[1]TAB OGU JUN18'!$A:$G,4,"falso")</f>
        <v>0</v>
      </c>
      <c r="K140" s="15"/>
      <c r="L140" s="72">
        <f>VLOOKUP(A140,'[1]TAB OGU JUN18'!$A:$G,5,"falso")</f>
        <v>478.25</v>
      </c>
      <c r="M140" s="15">
        <f>H140*L140</f>
        <v>0</v>
      </c>
      <c r="N140" s="15">
        <f t="shared" si="46"/>
        <v>0</v>
      </c>
      <c r="O140" s="25">
        <f t="shared" si="47"/>
        <v>0</v>
      </c>
    </row>
    <row r="141" spans="1:17" ht="12.75" hidden="1" customHeight="1" x14ac:dyDescent="0.2">
      <c r="A141" s="494" t="s">
        <v>1232</v>
      </c>
      <c r="B141" s="490" t="s">
        <v>1233</v>
      </c>
      <c r="C141" s="491"/>
      <c r="D141" s="491"/>
      <c r="E141" s="491"/>
      <c r="F141" s="491"/>
      <c r="G141" s="97" t="s">
        <v>24</v>
      </c>
      <c r="H141" s="502">
        <v>0</v>
      </c>
      <c r="I141" s="72">
        <f>VLOOKUP(A141,'[1]TAB OGU JUN18'!$A:$G,6,"falso")</f>
        <v>988.89</v>
      </c>
      <c r="J141" s="72">
        <f>VLOOKUP(A141,'[1]TAB OGU JUN18'!$A:$G,4,"falso")</f>
        <v>0</v>
      </c>
      <c r="K141" s="15"/>
      <c r="L141" s="72">
        <f>VLOOKUP(A141,'[1]TAB OGU JUN18'!$A:$G,5,"falso")</f>
        <v>988.89</v>
      </c>
      <c r="M141" s="15">
        <f>H141*L141</f>
        <v>0</v>
      </c>
      <c r="N141" s="15">
        <f t="shared" ref="N141" si="48">H141*I141</f>
        <v>0</v>
      </c>
      <c r="O141" s="25">
        <f t="shared" ref="O141" si="49">N141/$N$143</f>
        <v>0</v>
      </c>
    </row>
    <row r="142" spans="1:17" ht="12.75" customHeight="1" x14ac:dyDescent="0.2">
      <c r="G142" s="52"/>
      <c r="H142" s="501"/>
      <c r="I142" s="52"/>
      <c r="J142" s="52"/>
      <c r="K142" s="52"/>
      <c r="L142" s="52"/>
      <c r="M142" s="52"/>
      <c r="N142" s="52"/>
      <c r="O142" s="19"/>
    </row>
    <row r="143" spans="1:17" ht="12.75" customHeight="1" x14ac:dyDescent="0.2">
      <c r="B143" s="130" t="s">
        <v>18</v>
      </c>
      <c r="C143" s="131"/>
      <c r="D143" s="131"/>
      <c r="E143" s="131"/>
      <c r="F143" s="131"/>
      <c r="G143" s="53"/>
      <c r="H143" s="503"/>
      <c r="I143" s="53"/>
      <c r="J143" s="53"/>
      <c r="K143" s="53"/>
      <c r="L143" s="53"/>
      <c r="M143" s="53"/>
      <c r="N143" s="15">
        <f>SUM(N133:N141)</f>
        <v>576.79999999999995</v>
      </c>
      <c r="O143" s="25">
        <f>N143/N173</f>
        <v>4.6693904777787038E-2</v>
      </c>
    </row>
    <row r="144" spans="1:17" ht="12.75" customHeight="1" x14ac:dyDescent="0.2">
      <c r="B144" s="130"/>
      <c r="G144" s="52"/>
      <c r="H144" s="501"/>
      <c r="I144" s="52"/>
      <c r="J144" s="52"/>
      <c r="K144" s="52"/>
      <c r="L144" s="52"/>
      <c r="M144" s="52"/>
      <c r="N144" s="15"/>
      <c r="O144" s="25"/>
    </row>
    <row r="145" spans="1:18" ht="12.75" customHeight="1" x14ac:dyDescent="0.2">
      <c r="A145" s="494" t="s">
        <v>947</v>
      </c>
      <c r="B145" s="490" t="s">
        <v>948</v>
      </c>
      <c r="C145" s="491"/>
      <c r="D145" s="491"/>
      <c r="E145" s="491"/>
      <c r="F145" s="491"/>
      <c r="G145" s="52"/>
      <c r="H145" s="501"/>
      <c r="I145" s="52"/>
      <c r="J145" s="52"/>
      <c r="K145" s="52"/>
      <c r="L145" s="52"/>
      <c r="M145" s="52"/>
      <c r="N145" s="52"/>
      <c r="O145" s="19"/>
    </row>
    <row r="146" spans="1:18" ht="12.75" customHeight="1" x14ac:dyDescent="0.2">
      <c r="A146" s="494" t="s">
        <v>949</v>
      </c>
      <c r="B146" s="490" t="s">
        <v>950</v>
      </c>
      <c r="C146" s="491"/>
      <c r="D146" s="491"/>
      <c r="E146" s="491"/>
      <c r="F146" s="491"/>
      <c r="G146" s="97" t="s">
        <v>24</v>
      </c>
      <c r="H146" s="502">
        <v>2</v>
      </c>
      <c r="I146" s="72">
        <f>VLOOKUP(A146,'[1]TAB OGU JUN18'!$A:$G,6,"falso")</f>
        <v>507.8</v>
      </c>
      <c r="J146" s="72">
        <f>VLOOKUP(A146,'[1]TAB OGU JUN18'!$A:$G,4,"falso")</f>
        <v>0</v>
      </c>
      <c r="K146" s="15"/>
      <c r="L146" s="72">
        <f>VLOOKUP(A146,'[1]TAB OGU JUN18'!$A:$G,5,"falso")</f>
        <v>507.8</v>
      </c>
      <c r="M146" s="15">
        <f t="shared" ref="M146:M150" si="50">H146*L146</f>
        <v>1015.6</v>
      </c>
      <c r="N146" s="15">
        <f t="shared" ref="N146:N150" si="51">H146*I146</f>
        <v>1015.6</v>
      </c>
      <c r="O146" s="25">
        <f t="shared" ref="O146:O152" si="52">N146/$N$154</f>
        <v>0.33715101417521492</v>
      </c>
    </row>
    <row r="147" spans="1:18" s="132" customFormat="1" ht="12.75" customHeight="1" x14ac:dyDescent="0.2">
      <c r="A147" s="494" t="s">
        <v>981</v>
      </c>
      <c r="B147" s="490" t="s">
        <v>982</v>
      </c>
      <c r="C147" s="491"/>
      <c r="D147" s="491"/>
      <c r="E147" s="491"/>
      <c r="F147" s="491"/>
      <c r="G147" s="97" t="s">
        <v>24</v>
      </c>
      <c r="H147" s="502">
        <v>1</v>
      </c>
      <c r="I147" s="72">
        <f>VLOOKUP(A147,'[1]TAB OGU JUN18'!$A:$G,6,"falso")</f>
        <v>665.55</v>
      </c>
      <c r="J147" s="72">
        <f>VLOOKUP(A147,'[1]TAB OGU JUN18'!$A:$G,4,"falso")</f>
        <v>0</v>
      </c>
      <c r="K147" s="15"/>
      <c r="L147" s="72">
        <f>VLOOKUP(A147,'[1]TAB OGU JUN18'!$A:$G,5,"falso")</f>
        <v>665.55</v>
      </c>
      <c r="M147" s="15">
        <f t="shared" si="50"/>
        <v>665.55</v>
      </c>
      <c r="N147" s="15">
        <f t="shared" si="51"/>
        <v>665.55</v>
      </c>
      <c r="O147" s="25">
        <f t="shared" si="52"/>
        <v>0.22094412907080965</v>
      </c>
      <c r="R147" s="759"/>
    </row>
    <row r="148" spans="1:18" ht="12.75" hidden="1" customHeight="1" x14ac:dyDescent="0.2">
      <c r="A148" s="494" t="s">
        <v>1069</v>
      </c>
      <c r="B148" s="490" t="s">
        <v>1070</v>
      </c>
      <c r="C148" s="491"/>
      <c r="D148" s="491"/>
      <c r="E148" s="491"/>
      <c r="F148" s="491"/>
      <c r="G148" s="97" t="s">
        <v>24</v>
      </c>
      <c r="H148" s="502">
        <v>0</v>
      </c>
      <c r="I148" s="72">
        <f>VLOOKUP(A148,'[1]TAB OGU JUN18'!$A:$G,6,"falso")</f>
        <v>1033.7</v>
      </c>
      <c r="J148" s="72">
        <f>VLOOKUP(A148,'[1]TAB OGU JUN18'!$A:$G,4,"falso")</f>
        <v>0</v>
      </c>
      <c r="K148" s="15"/>
      <c r="L148" s="72">
        <f>VLOOKUP(A148,'[1]TAB OGU JUN18'!$A:$G,5,"falso")</f>
        <v>1033.7</v>
      </c>
      <c r="M148" s="15">
        <f t="shared" si="50"/>
        <v>0</v>
      </c>
      <c r="N148" s="15">
        <f t="shared" si="51"/>
        <v>0</v>
      </c>
      <c r="O148" s="25">
        <f t="shared" si="52"/>
        <v>0</v>
      </c>
    </row>
    <row r="149" spans="1:18" ht="12.75" hidden="1" customHeight="1" x14ac:dyDescent="0.2">
      <c r="A149" s="494" t="s">
        <v>1238</v>
      </c>
      <c r="B149" s="490" t="s">
        <v>1239</v>
      </c>
      <c r="C149" s="491"/>
      <c r="D149" s="491"/>
      <c r="E149" s="491"/>
      <c r="F149" s="491"/>
      <c r="G149" s="97" t="s">
        <v>24</v>
      </c>
      <c r="H149" s="502">
        <v>0</v>
      </c>
      <c r="I149" s="72">
        <f>VLOOKUP(A149,'[1]TAB OGU JUN18'!$A:$G,6,"falso")</f>
        <v>1182.44</v>
      </c>
      <c r="J149" s="72">
        <f>VLOOKUP(A149,'[1]TAB OGU JUN18'!$A:$G,4,"falso")</f>
        <v>0</v>
      </c>
      <c r="K149" s="15"/>
      <c r="L149" s="72">
        <f>VLOOKUP(A149,'[1]TAB OGU JUN18'!$A:$G,5,"falso")</f>
        <v>1182.44</v>
      </c>
      <c r="M149" s="15">
        <f t="shared" si="50"/>
        <v>0</v>
      </c>
      <c r="N149" s="15">
        <f t="shared" si="51"/>
        <v>0</v>
      </c>
      <c r="O149" s="25">
        <f t="shared" si="52"/>
        <v>0</v>
      </c>
    </row>
    <row r="150" spans="1:18" ht="12.75" customHeight="1" x14ac:dyDescent="0.2">
      <c r="A150" s="494" t="s">
        <v>1242</v>
      </c>
      <c r="B150" s="490" t="s">
        <v>1243</v>
      </c>
      <c r="C150" s="491"/>
      <c r="D150" s="491"/>
      <c r="E150" s="491"/>
      <c r="F150" s="491"/>
      <c r="G150" s="97" t="s">
        <v>24</v>
      </c>
      <c r="H150" s="502">
        <v>1</v>
      </c>
      <c r="I150" s="72">
        <f>VLOOKUP(A150,'[1]TAB OGU JUN18'!$A:$G,6,"falso")</f>
        <v>1331.15</v>
      </c>
      <c r="J150" s="72">
        <f>VLOOKUP(A150,'[1]TAB OGU JUN18'!$A:$G,4,"falso")</f>
        <v>0</v>
      </c>
      <c r="K150" s="15"/>
      <c r="L150" s="72">
        <f>VLOOKUP(A150,'[1]TAB OGU JUN18'!$A:$G,5,"falso")</f>
        <v>1331.15</v>
      </c>
      <c r="M150" s="15">
        <f t="shared" si="50"/>
        <v>1331.15</v>
      </c>
      <c r="N150" s="15">
        <f t="shared" si="51"/>
        <v>1331.15</v>
      </c>
      <c r="O150" s="25">
        <f t="shared" si="52"/>
        <v>0.44190485675397539</v>
      </c>
    </row>
    <row r="151" spans="1:18" ht="12.75" hidden="1" customHeight="1" x14ac:dyDescent="0.2">
      <c r="A151" s="494" t="s">
        <v>1241</v>
      </c>
      <c r="B151" s="490" t="s">
        <v>1240</v>
      </c>
      <c r="C151" s="491"/>
      <c r="D151" s="491"/>
      <c r="E151" s="491"/>
      <c r="F151" s="491"/>
      <c r="G151" s="97" t="s">
        <v>24</v>
      </c>
      <c r="H151" s="502">
        <v>0</v>
      </c>
      <c r="I151" s="72">
        <f>VLOOKUP(A151,'[1]TAB OGU JUN18'!$A:$G,6,"falso")</f>
        <v>1479.85</v>
      </c>
      <c r="J151" s="72">
        <f>VLOOKUP(A151,'[1]TAB OGU JUN18'!$A:$G,4,"falso")</f>
        <v>0</v>
      </c>
      <c r="K151" s="15"/>
      <c r="L151" s="72">
        <f>VLOOKUP(A151,'[1]TAB OGU JUN18'!$A:$G,5,"falso")</f>
        <v>1479.85</v>
      </c>
      <c r="M151" s="15">
        <f t="shared" ref="M151" si="53">H151*L151</f>
        <v>0</v>
      </c>
      <c r="N151" s="15">
        <f t="shared" ref="N151" si="54">H151*I151</f>
        <v>0</v>
      </c>
      <c r="O151" s="25">
        <f t="shared" si="52"/>
        <v>0</v>
      </c>
    </row>
    <row r="152" spans="1:18" ht="12.75" hidden="1" customHeight="1" x14ac:dyDescent="0.2">
      <c r="A152" s="494" t="s">
        <v>1236</v>
      </c>
      <c r="B152" s="490" t="s">
        <v>1237</v>
      </c>
      <c r="C152" s="491"/>
      <c r="D152" s="491"/>
      <c r="E152" s="491"/>
      <c r="F152" s="491"/>
      <c r="G152" s="97" t="s">
        <v>24</v>
      </c>
      <c r="H152" s="502">
        <v>0</v>
      </c>
      <c r="I152" s="72">
        <f>VLOOKUP(A152,'[1]TAB OGU JUN18'!$A:$G,6,"falso")</f>
        <v>1249.08</v>
      </c>
      <c r="J152" s="72">
        <f>VLOOKUP(A152,'[1]TAB OGU JUN18'!$A:$G,4,"falso")</f>
        <v>0</v>
      </c>
      <c r="K152" s="15"/>
      <c r="L152" s="72">
        <f>VLOOKUP(A152,'[1]TAB OGU JUN18'!$A:$G,5,"falso")</f>
        <v>1249.08</v>
      </c>
      <c r="M152" s="15">
        <f t="shared" ref="M152" si="55">H152*L152</f>
        <v>0</v>
      </c>
      <c r="N152" s="15">
        <f t="shared" ref="N152" si="56">H152*I152</f>
        <v>0</v>
      </c>
      <c r="O152" s="25">
        <f t="shared" si="52"/>
        <v>0</v>
      </c>
    </row>
    <row r="153" spans="1:18" ht="12.75" customHeight="1" x14ac:dyDescent="0.2">
      <c r="A153" s="98"/>
      <c r="B153" s="88"/>
      <c r="G153" s="52"/>
      <c r="H153" s="501"/>
      <c r="I153" s="52"/>
      <c r="J153" s="52"/>
      <c r="K153" s="52"/>
      <c r="L153" s="52"/>
      <c r="M153" s="52"/>
      <c r="N153" s="52"/>
      <c r="O153" s="19"/>
    </row>
    <row r="154" spans="1:18" ht="12.75" customHeight="1" x14ac:dyDescent="0.2">
      <c r="B154" s="130" t="s">
        <v>18</v>
      </c>
      <c r="C154" s="131"/>
      <c r="D154" s="131"/>
      <c r="E154" s="131"/>
      <c r="F154" s="131"/>
      <c r="G154" s="53"/>
      <c r="H154" s="503"/>
      <c r="I154" s="53"/>
      <c r="J154" s="53"/>
      <c r="K154" s="53"/>
      <c r="L154" s="53"/>
      <c r="M154" s="53"/>
      <c r="N154" s="15">
        <f>SUM(N146:N152)</f>
        <v>3012.3</v>
      </c>
      <c r="O154" s="25">
        <f>N154/N173</f>
        <v>0.24385584147386946</v>
      </c>
    </row>
    <row r="155" spans="1:18" s="272" customFormat="1" ht="12.75" customHeight="1" x14ac:dyDescent="0.2">
      <c r="A155" s="98"/>
      <c r="B155" s="88"/>
      <c r="C155" s="51"/>
      <c r="D155" s="51"/>
      <c r="E155" s="51"/>
      <c r="F155" s="51"/>
      <c r="G155" s="52"/>
      <c r="H155" s="501"/>
      <c r="I155" s="52"/>
      <c r="J155" s="52"/>
      <c r="K155" s="52"/>
      <c r="L155" s="52"/>
      <c r="M155" s="52"/>
      <c r="N155" s="52"/>
      <c r="O155" s="19"/>
    </row>
    <row r="156" spans="1:18" s="272" customFormat="1" ht="12.75" customHeight="1" x14ac:dyDescent="0.2">
      <c r="A156" s="494" t="s">
        <v>951</v>
      </c>
      <c r="B156" s="490" t="s">
        <v>952</v>
      </c>
      <c r="C156" s="491"/>
      <c r="D156" s="491"/>
      <c r="E156" s="491"/>
      <c r="F156" s="491"/>
      <c r="G156" s="52"/>
      <c r="H156" s="501"/>
      <c r="I156" s="52"/>
      <c r="J156" s="52"/>
      <c r="K156" s="52"/>
      <c r="L156" s="52"/>
      <c r="M156" s="52"/>
      <c r="N156" s="52"/>
      <c r="O156" s="19"/>
      <c r="P156" s="461">
        <v>3524</v>
      </c>
    </row>
    <row r="157" spans="1:18" ht="12.75" customHeight="1" x14ac:dyDescent="0.2">
      <c r="A157" s="494" t="s">
        <v>1025</v>
      </c>
      <c r="B157" s="490" t="s">
        <v>1023</v>
      </c>
      <c r="C157" s="491"/>
      <c r="D157" s="491"/>
      <c r="E157" s="491"/>
      <c r="F157" s="491"/>
      <c r="G157" s="97" t="s">
        <v>24</v>
      </c>
      <c r="H157" s="502">
        <v>1</v>
      </c>
      <c r="I157" s="72">
        <f>VLOOKUP(A157,'[1]TAB OGU JUN18'!$A:$G,6,"falso")</f>
        <v>397.85</v>
      </c>
      <c r="J157" s="72">
        <f>VLOOKUP(A157,'[1]TAB OGU JUN18'!$A:$G,4,"falso")</f>
        <v>0</v>
      </c>
      <c r="K157" s="15"/>
      <c r="L157" s="72">
        <f>VLOOKUP(A157,'[1]TAB OGU JUN18'!$A:$G,5,"falso")</f>
        <v>397.85</v>
      </c>
      <c r="M157" s="15">
        <f t="shared" ref="M157:M160" si="57">H157*L157</f>
        <v>397.85</v>
      </c>
      <c r="N157" s="15">
        <f t="shared" ref="N157:N160" si="58">H157*I157</f>
        <v>397.85</v>
      </c>
      <c r="O157" s="25">
        <f t="shared" ref="O157:O164" si="59">N157/$N$166</f>
        <v>0.52462583239928795</v>
      </c>
    </row>
    <row r="158" spans="1:18" ht="12.75" customHeight="1" x14ac:dyDescent="0.2">
      <c r="A158" s="494" t="s">
        <v>956</v>
      </c>
      <c r="B158" s="490" t="s">
        <v>957</v>
      </c>
      <c r="C158" s="491"/>
      <c r="D158" s="491"/>
      <c r="E158" s="491"/>
      <c r="F158" s="491"/>
      <c r="G158" s="97" t="s">
        <v>24</v>
      </c>
      <c r="H158" s="502">
        <v>1</v>
      </c>
      <c r="I158" s="72">
        <f>VLOOKUP(A158,'[1]TAB OGU JUN18'!$A:$G,6,"falso")</f>
        <v>360.5</v>
      </c>
      <c r="J158" s="72">
        <f>VLOOKUP(A158,'[1]TAB OGU JUN18'!$A:$G,4,"falso")</f>
        <v>0</v>
      </c>
      <c r="K158" s="15"/>
      <c r="L158" s="72">
        <f>VLOOKUP(A158,'[1]TAB OGU JUN18'!$A:$G,5,"falso")</f>
        <v>360.5</v>
      </c>
      <c r="M158" s="15">
        <f t="shared" si="57"/>
        <v>360.5</v>
      </c>
      <c r="N158" s="15">
        <f t="shared" si="58"/>
        <v>360.5</v>
      </c>
      <c r="O158" s="25">
        <f t="shared" si="59"/>
        <v>0.47537416760071205</v>
      </c>
    </row>
    <row r="159" spans="1:18" ht="12.75" hidden="1" customHeight="1" x14ac:dyDescent="0.2">
      <c r="A159" s="494" t="s">
        <v>1234</v>
      </c>
      <c r="B159" s="490" t="s">
        <v>1235</v>
      </c>
      <c r="C159" s="491"/>
      <c r="D159" s="491"/>
      <c r="E159" s="491"/>
      <c r="F159" s="491"/>
      <c r="G159" s="97" t="s">
        <v>24</v>
      </c>
      <c r="H159" s="502">
        <v>0</v>
      </c>
      <c r="I159" s="72">
        <f>VLOOKUP(A159,'[1]TAB OGU JUN18'!$A:$G,6,"falso")</f>
        <v>739.92</v>
      </c>
      <c r="J159" s="72">
        <f>VLOOKUP(A159,'[1]TAB OGU JUN18'!$A:$G,4,"falso")</f>
        <v>0</v>
      </c>
      <c r="K159" s="15"/>
      <c r="L159" s="72">
        <f>VLOOKUP(A159,'[1]TAB OGU JUN18'!$A:$G,5,"falso")</f>
        <v>739.92</v>
      </c>
      <c r="M159" s="15">
        <f t="shared" ref="M159" si="60">H159*L159</f>
        <v>0</v>
      </c>
      <c r="N159" s="15">
        <f t="shared" ref="N159" si="61">H159*I159</f>
        <v>0</v>
      </c>
      <c r="O159" s="25">
        <f t="shared" si="59"/>
        <v>0</v>
      </c>
    </row>
    <row r="160" spans="1:18" ht="12.75" hidden="1" customHeight="1" x14ac:dyDescent="0.2">
      <c r="A160" s="494" t="s">
        <v>1026</v>
      </c>
      <c r="B160" s="490" t="s">
        <v>1024</v>
      </c>
      <c r="C160" s="491"/>
      <c r="D160" s="491"/>
      <c r="E160" s="491"/>
      <c r="F160" s="491"/>
      <c r="G160" s="97" t="s">
        <v>24</v>
      </c>
      <c r="H160" s="502">
        <v>0</v>
      </c>
      <c r="I160" s="72">
        <f>VLOOKUP(A160,'[1]TAB OGU JUN18'!$A:$G,6,"falso")</f>
        <v>888.6</v>
      </c>
      <c r="J160" s="72">
        <f>VLOOKUP(A160,'[1]TAB OGU JUN18'!$A:$G,4,"falso")</f>
        <v>0</v>
      </c>
      <c r="K160" s="15"/>
      <c r="L160" s="72">
        <f>VLOOKUP(A160,'[1]TAB OGU JUN18'!$A:$G,5,"falso")</f>
        <v>888.6</v>
      </c>
      <c r="M160" s="15">
        <f t="shared" si="57"/>
        <v>0</v>
      </c>
      <c r="N160" s="15">
        <f t="shared" si="58"/>
        <v>0</v>
      </c>
      <c r="O160" s="25">
        <f t="shared" si="59"/>
        <v>0</v>
      </c>
    </row>
    <row r="161" spans="1:15" ht="12.75" hidden="1" customHeight="1" x14ac:dyDescent="0.2">
      <c r="A161" s="494" t="s">
        <v>1244</v>
      </c>
      <c r="B161" s="591" t="s">
        <v>1246</v>
      </c>
      <c r="C161" s="491"/>
      <c r="D161" s="491"/>
      <c r="E161" s="491"/>
      <c r="F161" s="491"/>
      <c r="G161" s="97" t="s">
        <v>24</v>
      </c>
      <c r="H161" s="502">
        <v>0</v>
      </c>
      <c r="I161" s="72">
        <f>VLOOKUP(A161,'[1]TAB OGU JUN18'!$A:$G,6,"falso")</f>
        <v>641.30999999999995</v>
      </c>
      <c r="J161" s="72">
        <f>VLOOKUP(A161,'[1]TAB OGU JUN18'!$A:$G,4,"falso")</f>
        <v>0</v>
      </c>
      <c r="K161" s="15"/>
      <c r="L161" s="72">
        <f>VLOOKUP(A161,'[1]TAB OGU JUN18'!$A:$G,5,"falso")</f>
        <v>641.30999999999995</v>
      </c>
      <c r="M161" s="15">
        <f t="shared" ref="M161" si="62">H161*L161</f>
        <v>0</v>
      </c>
      <c r="N161" s="15">
        <f t="shared" ref="N161" si="63">H161*I161</f>
        <v>0</v>
      </c>
      <c r="O161" s="25">
        <f t="shared" si="59"/>
        <v>0</v>
      </c>
    </row>
    <row r="162" spans="1:15" ht="12.75" hidden="1" customHeight="1" x14ac:dyDescent="0.2">
      <c r="A162" s="494" t="s">
        <v>1245</v>
      </c>
      <c r="B162" s="591" t="s">
        <v>1247</v>
      </c>
      <c r="C162" s="491"/>
      <c r="D162" s="491"/>
      <c r="E162" s="491"/>
      <c r="F162" s="491"/>
      <c r="G162" s="97" t="s">
        <v>24</v>
      </c>
      <c r="H162" s="502">
        <v>0</v>
      </c>
      <c r="I162" s="72">
        <f>VLOOKUP(A162,'[1]TAB OGU JUN18'!$A:$G,6,"falso")</f>
        <v>800.31</v>
      </c>
      <c r="J162" s="72">
        <f>VLOOKUP(A162,'[1]TAB OGU JUN18'!$A:$G,4,"falso")</f>
        <v>0</v>
      </c>
      <c r="K162" s="15"/>
      <c r="L162" s="72">
        <f>VLOOKUP(A162,'[1]TAB OGU JUN18'!$A:$G,5,"falso")</f>
        <v>800.31</v>
      </c>
      <c r="M162" s="15">
        <f t="shared" ref="M162" si="64">H162*L162</f>
        <v>0</v>
      </c>
      <c r="N162" s="15">
        <f t="shared" ref="N162" si="65">H162*I162</f>
        <v>0</v>
      </c>
      <c r="O162" s="25">
        <f t="shared" si="59"/>
        <v>0</v>
      </c>
    </row>
    <row r="163" spans="1:15" ht="12.75" hidden="1" customHeight="1" x14ac:dyDescent="0.2">
      <c r="A163" s="494" t="s">
        <v>1248</v>
      </c>
      <c r="B163" s="591" t="s">
        <v>1249</v>
      </c>
      <c r="C163" s="491"/>
      <c r="D163" s="491"/>
      <c r="E163" s="491"/>
      <c r="F163" s="491"/>
      <c r="G163" s="97" t="s">
        <v>24</v>
      </c>
      <c r="H163" s="502">
        <v>0</v>
      </c>
      <c r="I163" s="72">
        <f>VLOOKUP(A163,'[1]TAB OGU JUN18'!$A:$G,6,"falso")</f>
        <v>595.58000000000004</v>
      </c>
      <c r="J163" s="72">
        <f>VLOOKUP(A163,'[1]TAB OGU JUN18'!$A:$G,4,"falso")</f>
        <v>0</v>
      </c>
      <c r="K163" s="15"/>
      <c r="L163" s="72">
        <f>VLOOKUP(A163,'[1]TAB OGU JUN18'!$A:$G,5,"falso")</f>
        <v>595.58000000000004</v>
      </c>
      <c r="M163" s="15">
        <f t="shared" ref="M163" si="66">H163*L163</f>
        <v>0</v>
      </c>
      <c r="N163" s="15">
        <f t="shared" ref="N163" si="67">H163*I163</f>
        <v>0</v>
      </c>
      <c r="O163" s="25">
        <f t="shared" si="59"/>
        <v>0</v>
      </c>
    </row>
    <row r="164" spans="1:15" ht="12.75" hidden="1" customHeight="1" x14ac:dyDescent="0.2">
      <c r="A164" s="494" t="s">
        <v>1250</v>
      </c>
      <c r="B164" s="591" t="s">
        <v>1251</v>
      </c>
      <c r="C164" s="491"/>
      <c r="D164" s="491"/>
      <c r="E164" s="491"/>
      <c r="F164" s="491"/>
      <c r="G164" s="97" t="s">
        <v>24</v>
      </c>
      <c r="H164" s="502">
        <v>0</v>
      </c>
      <c r="I164" s="72">
        <f>VLOOKUP(A164,'[1]TAB OGU JUN18'!$A:$G,6,"falso")</f>
        <v>1249.3699999999999</v>
      </c>
      <c r="J164" s="72">
        <f>VLOOKUP(A164,'[1]TAB OGU JUN18'!$A:$G,4,"falso")</f>
        <v>0</v>
      </c>
      <c r="K164" s="15"/>
      <c r="L164" s="72">
        <f>VLOOKUP(A164,'[1]TAB OGU JUN18'!$A:$G,5,"falso")</f>
        <v>1249.3699999999999</v>
      </c>
      <c r="M164" s="15">
        <f t="shared" ref="M164" si="68">H164*L164</f>
        <v>0</v>
      </c>
      <c r="N164" s="15">
        <f t="shared" ref="N164" si="69">H164*I164</f>
        <v>0</v>
      </c>
      <c r="O164" s="25">
        <f t="shared" si="59"/>
        <v>0</v>
      </c>
    </row>
    <row r="165" spans="1:15" s="132" customFormat="1" ht="12.75" customHeight="1" x14ac:dyDescent="0.2">
      <c r="A165" s="51"/>
      <c r="B165" s="130"/>
      <c r="C165" s="51"/>
      <c r="D165" s="51"/>
      <c r="E165" s="51"/>
      <c r="F165" s="51"/>
      <c r="G165" s="52"/>
      <c r="H165" s="501"/>
      <c r="I165" s="52"/>
      <c r="J165" s="52"/>
      <c r="K165" s="52"/>
      <c r="L165" s="52"/>
      <c r="M165" s="52"/>
      <c r="N165" s="15"/>
      <c r="O165" s="25"/>
    </row>
    <row r="166" spans="1:15" s="132" customFormat="1" ht="12.75" customHeight="1" x14ac:dyDescent="0.2">
      <c r="A166" s="51"/>
      <c r="B166" s="130" t="s">
        <v>18</v>
      </c>
      <c r="C166" s="131"/>
      <c r="D166" s="131"/>
      <c r="E166" s="131"/>
      <c r="F166" s="131"/>
      <c r="G166" s="53"/>
      <c r="H166" s="503"/>
      <c r="I166" s="53"/>
      <c r="J166" s="53"/>
      <c r="K166" s="53"/>
      <c r="L166" s="53"/>
      <c r="M166" s="53"/>
      <c r="N166" s="15">
        <f>SUM(N157:N164)</f>
        <v>758.35</v>
      </c>
      <c r="O166" s="25">
        <f>N166/N173</f>
        <v>6.1390989404013177E-2</v>
      </c>
    </row>
    <row r="167" spans="1:15" ht="12.75" customHeight="1" x14ac:dyDescent="0.2">
      <c r="B167" s="130"/>
      <c r="G167" s="52"/>
      <c r="H167" s="501"/>
      <c r="I167" s="52"/>
      <c r="J167" s="52"/>
      <c r="K167" s="52"/>
      <c r="L167" s="52"/>
      <c r="M167" s="52"/>
      <c r="N167" s="15"/>
      <c r="O167" s="25"/>
    </row>
    <row r="168" spans="1:15" ht="12.75" hidden="1" customHeight="1" x14ac:dyDescent="0.2">
      <c r="A168" s="98" t="s">
        <v>828</v>
      </c>
      <c r="B168" s="88" t="s">
        <v>829</v>
      </c>
      <c r="G168" s="52"/>
      <c r="H168" s="501"/>
      <c r="I168" s="52"/>
      <c r="J168" s="52"/>
      <c r="K168" s="52"/>
      <c r="L168" s="52"/>
      <c r="M168" s="52"/>
      <c r="N168" s="52"/>
      <c r="O168" s="19"/>
    </row>
    <row r="169" spans="1:15" ht="12.75" hidden="1" customHeight="1" x14ac:dyDescent="0.2">
      <c r="A169" s="98" t="s">
        <v>830</v>
      </c>
      <c r="B169" s="88" t="s">
        <v>831</v>
      </c>
      <c r="G169" s="97" t="s">
        <v>24</v>
      </c>
      <c r="H169" s="502">
        <v>0</v>
      </c>
      <c r="I169" s="72">
        <v>949.82</v>
      </c>
      <c r="J169" s="72">
        <v>949.82</v>
      </c>
      <c r="K169" s="15"/>
      <c r="L169" s="72">
        <v>949.82</v>
      </c>
      <c r="M169" s="15">
        <f t="shared" ref="M169" si="70">H169*L169</f>
        <v>0</v>
      </c>
      <c r="N169" s="15">
        <f>H169*I169</f>
        <v>0</v>
      </c>
      <c r="O169" s="25" t="e">
        <f>N169/N171</f>
        <v>#DIV/0!</v>
      </c>
    </row>
    <row r="170" spans="1:15" ht="12.75" hidden="1" customHeight="1" x14ac:dyDescent="0.2">
      <c r="G170" s="52"/>
      <c r="H170" s="501"/>
      <c r="I170" s="52"/>
      <c r="J170" s="52"/>
      <c r="K170" s="52"/>
      <c r="L170" s="52"/>
      <c r="M170" s="52"/>
      <c r="N170" s="52"/>
      <c r="O170" s="19"/>
    </row>
    <row r="171" spans="1:15" ht="12.75" hidden="1" customHeight="1" x14ac:dyDescent="0.2">
      <c r="B171" s="130" t="s">
        <v>18</v>
      </c>
      <c r="C171" s="131"/>
      <c r="D171" s="131"/>
      <c r="E171" s="131"/>
      <c r="F171" s="131"/>
      <c r="G171" s="53"/>
      <c r="H171" s="503"/>
      <c r="I171" s="53"/>
      <c r="J171" s="53"/>
      <c r="K171" s="53"/>
      <c r="L171" s="53"/>
      <c r="M171" s="53"/>
      <c r="N171" s="15">
        <f>N169</f>
        <v>0</v>
      </c>
      <c r="O171" s="25">
        <f>N171/N173</f>
        <v>0</v>
      </c>
    </row>
    <row r="172" spans="1:15" ht="12.75" hidden="1" customHeight="1" x14ac:dyDescent="0.2">
      <c r="B172" s="130"/>
      <c r="G172" s="52"/>
      <c r="H172" s="501"/>
      <c r="I172" s="52"/>
      <c r="J172" s="52"/>
      <c r="K172" s="52"/>
      <c r="L172" s="52"/>
      <c r="M172" s="52"/>
      <c r="N172" s="15"/>
      <c r="O172" s="25"/>
    </row>
    <row r="173" spans="1:15" s="132" customFormat="1" ht="12.75" customHeight="1" x14ac:dyDescent="0.2">
      <c r="B173" s="133" t="s">
        <v>20</v>
      </c>
      <c r="C173" s="134"/>
      <c r="D173" s="134"/>
      <c r="E173" s="134"/>
      <c r="F173" s="134"/>
      <c r="G173" s="78"/>
      <c r="H173" s="504"/>
      <c r="I173" s="78"/>
      <c r="J173" s="78"/>
      <c r="K173" s="78"/>
      <c r="L173" s="78"/>
      <c r="M173" s="78"/>
      <c r="N173" s="83">
        <f>N76+N86+N92+N130+N143+N154+N166+N97+N102+N110+N171</f>
        <v>12352.79</v>
      </c>
      <c r="O173" s="77">
        <f>N173/N264</f>
        <v>0.51938973758746532</v>
      </c>
    </row>
    <row r="174" spans="1:15" ht="12.75" customHeight="1" x14ac:dyDescent="0.2">
      <c r="B174" s="130"/>
      <c r="G174" s="52"/>
      <c r="H174" s="501"/>
      <c r="I174" s="52"/>
      <c r="J174" s="52"/>
      <c r="K174" s="52"/>
      <c r="L174" s="52"/>
      <c r="M174" s="52"/>
      <c r="N174" s="15"/>
      <c r="O174" s="25"/>
    </row>
    <row r="175" spans="1:15" ht="12.75" customHeight="1" x14ac:dyDescent="0.2">
      <c r="A175" s="98" t="s">
        <v>488</v>
      </c>
      <c r="B175" s="88" t="s">
        <v>489</v>
      </c>
      <c r="G175" s="97"/>
      <c r="H175" s="502"/>
      <c r="I175" s="15"/>
      <c r="J175" s="15"/>
      <c r="K175" s="15"/>
      <c r="L175" s="15"/>
      <c r="M175" s="15"/>
      <c r="N175" s="15"/>
      <c r="O175" s="25"/>
    </row>
    <row r="176" spans="1:15" ht="12.75" customHeight="1" x14ac:dyDescent="0.2">
      <c r="A176" s="98" t="s">
        <v>832</v>
      </c>
      <c r="B176" s="88" t="s">
        <v>34</v>
      </c>
      <c r="G176" s="97"/>
      <c r="H176" s="502"/>
      <c r="I176" s="15"/>
      <c r="J176" s="15"/>
      <c r="K176" s="15"/>
      <c r="L176" s="15"/>
      <c r="M176" s="15"/>
      <c r="N176" s="15"/>
      <c r="O176" s="25"/>
    </row>
    <row r="177" spans="1:16" ht="12.75" customHeight="1" x14ac:dyDescent="0.2">
      <c r="A177" s="98" t="s">
        <v>491</v>
      </c>
      <c r="B177" s="88" t="s">
        <v>1027</v>
      </c>
      <c r="G177" s="97" t="s">
        <v>24</v>
      </c>
      <c r="H177" s="502">
        <v>3</v>
      </c>
      <c r="I177" s="72">
        <f>VLOOKUP(A177,'[1]TAB OGU JUN18'!$A:$G,6,"falso")</f>
        <v>1.67</v>
      </c>
      <c r="J177" s="72">
        <f>VLOOKUP(A177,'[1]TAB OGU JUN18'!$A:$G,4,"falso")</f>
        <v>0</v>
      </c>
      <c r="K177" s="15"/>
      <c r="L177" s="72">
        <f>VLOOKUP(A177,'[1]TAB OGU JUN18'!$A:$G,5,"falso")</f>
        <v>1.67</v>
      </c>
      <c r="M177" s="15">
        <f>L177*H177</f>
        <v>5.01</v>
      </c>
      <c r="N177" s="15">
        <f>H177*I177</f>
        <v>5.01</v>
      </c>
      <c r="O177" s="25">
        <f>N177/N180</f>
        <v>1</v>
      </c>
    </row>
    <row r="178" spans="1:16" ht="12.75" hidden="1" customHeight="1" x14ac:dyDescent="0.2">
      <c r="A178" s="98" t="s">
        <v>1252</v>
      </c>
      <c r="B178" s="88" t="s">
        <v>1253</v>
      </c>
      <c r="G178" s="97" t="s">
        <v>24</v>
      </c>
      <c r="H178" s="502">
        <v>0</v>
      </c>
      <c r="I178" s="72">
        <f>VLOOKUP(A178,'[1]TAB OGU JUN18'!$A:$G,6,"falso")</f>
        <v>3.37</v>
      </c>
      <c r="J178" s="72">
        <f>VLOOKUP(A178,'[1]TAB OGU JUN18'!$A:$G,4,"falso")</f>
        <v>0</v>
      </c>
      <c r="K178" s="15"/>
      <c r="L178" s="72">
        <f>VLOOKUP(A178,'[1]TAB OGU JUN18'!$A:$G,5,"falso")</f>
        <v>3.37</v>
      </c>
      <c r="M178" s="15">
        <f>L178*H178</f>
        <v>0</v>
      </c>
      <c r="N178" s="15">
        <f>H178*I178</f>
        <v>0</v>
      </c>
      <c r="O178" s="25">
        <f>N178/N180</f>
        <v>0</v>
      </c>
    </row>
    <row r="179" spans="1:16" ht="12.75" customHeight="1" x14ac:dyDescent="0.2">
      <c r="A179" s="98"/>
      <c r="B179" s="88"/>
      <c r="G179" s="97"/>
      <c r="H179" s="502"/>
      <c r="I179" s="72"/>
      <c r="J179" s="72"/>
      <c r="K179" s="15"/>
      <c r="L179" s="72"/>
      <c r="M179" s="15"/>
      <c r="N179" s="15"/>
      <c r="O179" s="25"/>
    </row>
    <row r="180" spans="1:16" ht="12.75" customHeight="1" x14ac:dyDescent="0.2">
      <c r="B180" s="130" t="s">
        <v>18</v>
      </c>
      <c r="C180" s="131"/>
      <c r="D180" s="131"/>
      <c r="E180" s="131"/>
      <c r="F180" s="131"/>
      <c r="G180" s="53"/>
      <c r="H180" s="503"/>
      <c r="I180" s="53"/>
      <c r="J180" s="53"/>
      <c r="K180" s="53"/>
      <c r="L180" s="53"/>
      <c r="M180" s="53"/>
      <c r="N180" s="15">
        <f>SUM(N177:N178)</f>
        <v>5.01</v>
      </c>
      <c r="O180" s="25">
        <f>N180/N195</f>
        <v>6.2197392923649897E-2</v>
      </c>
    </row>
    <row r="181" spans="1:16" ht="12.75" customHeight="1" x14ac:dyDescent="0.2">
      <c r="B181" s="130"/>
      <c r="C181" s="492"/>
      <c r="D181" s="492"/>
      <c r="E181" s="492"/>
      <c r="F181" s="492"/>
      <c r="G181" s="493"/>
      <c r="H181" s="509"/>
      <c r="I181" s="493"/>
      <c r="J181" s="493"/>
      <c r="K181" s="493"/>
      <c r="L181" s="493"/>
      <c r="M181" s="493"/>
      <c r="N181" s="15"/>
      <c r="O181" s="25"/>
    </row>
    <row r="182" spans="1:16" ht="12.75" customHeight="1" x14ac:dyDescent="0.2">
      <c r="A182" s="98" t="s">
        <v>1071</v>
      </c>
      <c r="B182" s="88" t="s">
        <v>1072</v>
      </c>
      <c r="G182" s="97"/>
      <c r="H182" s="502"/>
      <c r="I182" s="15"/>
      <c r="J182" s="15"/>
      <c r="K182" s="15"/>
      <c r="L182" s="15"/>
      <c r="M182" s="15"/>
      <c r="N182" s="15"/>
      <c r="O182" s="25"/>
    </row>
    <row r="183" spans="1:16" ht="12.75" customHeight="1" x14ac:dyDescent="0.2">
      <c r="A183" s="98" t="s">
        <v>1073</v>
      </c>
      <c r="B183" s="88" t="s">
        <v>1074</v>
      </c>
      <c r="G183" s="97" t="s">
        <v>24</v>
      </c>
      <c r="H183" s="502">
        <v>2</v>
      </c>
      <c r="I183" s="72">
        <f>VLOOKUP(A183,'[1]TAB OGU JUN18'!$A:$G,6,"falso")</f>
        <v>32.03</v>
      </c>
      <c r="J183" s="72">
        <f>VLOOKUP(A183,'[1]TAB OGU JUN18'!$A:$G,4,"falso")</f>
        <v>0</v>
      </c>
      <c r="K183" s="15"/>
      <c r="L183" s="72">
        <f>VLOOKUP(A183,'[1]TAB OGU JUN18'!$A:$G,5,"falso")</f>
        <v>32.03</v>
      </c>
      <c r="M183" s="15">
        <f>L183*H183</f>
        <v>64.06</v>
      </c>
      <c r="N183" s="15">
        <f>H183*I183</f>
        <v>64.06</v>
      </c>
      <c r="O183" s="25">
        <f>N183/N185</f>
        <v>1</v>
      </c>
    </row>
    <row r="184" spans="1:16" ht="12.75" customHeight="1" x14ac:dyDescent="0.2">
      <c r="B184" s="130"/>
      <c r="C184" s="492"/>
      <c r="D184" s="492"/>
      <c r="E184" s="492"/>
      <c r="F184" s="492"/>
      <c r="G184" s="493"/>
      <c r="H184" s="509"/>
      <c r="I184" s="493"/>
      <c r="J184" s="493"/>
      <c r="K184" s="493"/>
      <c r="L184" s="493"/>
      <c r="M184" s="493"/>
      <c r="N184" s="15"/>
      <c r="O184" s="25"/>
    </row>
    <row r="185" spans="1:16" ht="12.75" customHeight="1" x14ac:dyDescent="0.2">
      <c r="B185" s="130" t="s">
        <v>18</v>
      </c>
      <c r="C185" s="131"/>
      <c r="D185" s="131"/>
      <c r="E185" s="131"/>
      <c r="F185" s="131"/>
      <c r="G185" s="53"/>
      <c r="H185" s="503"/>
      <c r="I185" s="53"/>
      <c r="J185" s="53"/>
      <c r="K185" s="53"/>
      <c r="L185" s="53"/>
      <c r="M185" s="53"/>
      <c r="N185" s="15">
        <f>SUM(N183)</f>
        <v>64.06</v>
      </c>
      <c r="O185" s="25">
        <f>N185/N195</f>
        <v>0.79528243327126003</v>
      </c>
    </row>
    <row r="186" spans="1:16" ht="12.75" customHeight="1" x14ac:dyDescent="0.2">
      <c r="A186" s="98"/>
      <c r="B186" s="88"/>
      <c r="G186" s="97"/>
      <c r="H186" s="502"/>
      <c r="I186" s="72"/>
      <c r="J186" s="72"/>
      <c r="K186" s="15"/>
      <c r="L186" s="72"/>
      <c r="M186" s="15"/>
      <c r="N186" s="15"/>
      <c r="O186" s="25"/>
    </row>
    <row r="187" spans="1:16" s="132" customFormat="1" ht="12.75" customHeight="1" x14ac:dyDescent="0.2">
      <c r="A187" s="98" t="s">
        <v>492</v>
      </c>
      <c r="B187" s="88" t="s">
        <v>35</v>
      </c>
      <c r="C187" s="51"/>
      <c r="D187" s="51"/>
      <c r="E187" s="51"/>
      <c r="F187" s="51"/>
      <c r="G187" s="97"/>
      <c r="H187" s="502"/>
      <c r="I187" s="15"/>
      <c r="J187" s="15"/>
      <c r="K187" s="15"/>
      <c r="L187" s="15"/>
      <c r="M187" s="15"/>
      <c r="N187" s="15"/>
      <c r="O187" s="25"/>
    </row>
    <row r="188" spans="1:16" ht="12.75" customHeight="1" x14ac:dyDescent="0.2">
      <c r="A188" s="98" t="s">
        <v>694</v>
      </c>
      <c r="B188" s="88" t="s">
        <v>1028</v>
      </c>
      <c r="G188" s="97" t="s">
        <v>24</v>
      </c>
      <c r="H188" s="502">
        <v>1</v>
      </c>
      <c r="I188" s="72">
        <f>VLOOKUP(A188,'[1]TAB OGU JUN18'!$A:$G,6,"falso")</f>
        <v>1.02</v>
      </c>
      <c r="J188" s="72">
        <f>VLOOKUP(A188,'[1]TAB OGU JUN18'!$A:$G,4,"falso")</f>
        <v>0</v>
      </c>
      <c r="K188" s="15"/>
      <c r="L188" s="72">
        <f>VLOOKUP(A188,'[1]TAB OGU JUN18'!$A:$G,5,"falso")</f>
        <v>1.02</v>
      </c>
      <c r="M188" s="15">
        <f>L188*H188</f>
        <v>1.02</v>
      </c>
      <c r="N188" s="15">
        <f>H188*I188</f>
        <v>1.02</v>
      </c>
      <c r="O188" s="25">
        <f>N188/$N$193</f>
        <v>8.8850174216027866E-2</v>
      </c>
    </row>
    <row r="189" spans="1:16" ht="12.75" hidden="1" customHeight="1" x14ac:dyDescent="0.2">
      <c r="A189" s="494" t="s">
        <v>495</v>
      </c>
      <c r="B189" s="490" t="s">
        <v>496</v>
      </c>
      <c r="C189" s="491"/>
      <c r="D189" s="491"/>
      <c r="E189" s="491"/>
      <c r="F189" s="491"/>
      <c r="G189" s="97" t="s">
        <v>24</v>
      </c>
      <c r="H189" s="502">
        <v>0</v>
      </c>
      <c r="I189" s="72">
        <f>VLOOKUP(A189,'[1]TAB OGU JUN18'!$A:$G,6,"falso")</f>
        <v>2.5299999999999998</v>
      </c>
      <c r="J189" s="72">
        <f>VLOOKUP(A189,'[1]TAB OGU JUN18'!$A:$G,4,"falso")</f>
        <v>0</v>
      </c>
      <c r="K189" s="15"/>
      <c r="L189" s="72">
        <f>VLOOKUP(A189,'[1]TAB OGU JUN18'!$A:$G,5,"falso")</f>
        <v>2.5299999999999998</v>
      </c>
      <c r="M189" s="15">
        <f>L189*H189</f>
        <v>0</v>
      </c>
      <c r="N189" s="15">
        <f>H189*I189</f>
        <v>0</v>
      </c>
      <c r="O189" s="25">
        <f>N189/$N$193</f>
        <v>0</v>
      </c>
    </row>
    <row r="190" spans="1:16" ht="12.75" customHeight="1" x14ac:dyDescent="0.2">
      <c r="A190" s="494" t="s">
        <v>833</v>
      </c>
      <c r="B190" s="490" t="s">
        <v>834</v>
      </c>
      <c r="C190" s="491"/>
      <c r="D190" s="491"/>
      <c r="E190" s="491"/>
      <c r="F190" s="491"/>
      <c r="G190" s="97" t="s">
        <v>24</v>
      </c>
      <c r="H190" s="502">
        <v>2</v>
      </c>
      <c r="I190" s="489">
        <v>5.23</v>
      </c>
      <c r="J190" s="72">
        <v>5.23</v>
      </c>
      <c r="K190" s="15"/>
      <c r="L190" s="72">
        <v>5.23</v>
      </c>
      <c r="M190" s="15">
        <f>L190*H190</f>
        <v>10.46</v>
      </c>
      <c r="N190" s="15">
        <f>H190*I190</f>
        <v>10.46</v>
      </c>
      <c r="O190" s="25">
        <f>N190/N193</f>
        <v>0.91114982578397219</v>
      </c>
    </row>
    <row r="191" spans="1:16" ht="12.75" hidden="1" customHeight="1" x14ac:dyDescent="0.2">
      <c r="A191" s="494" t="s">
        <v>1254</v>
      </c>
      <c r="B191" s="490" t="s">
        <v>1255</v>
      </c>
      <c r="C191" s="491"/>
      <c r="D191" s="491"/>
      <c r="E191" s="491"/>
      <c r="F191" s="491"/>
      <c r="G191" s="97" t="s">
        <v>24</v>
      </c>
      <c r="H191" s="502">
        <v>0</v>
      </c>
      <c r="I191" s="489">
        <v>9.57</v>
      </c>
      <c r="J191" s="72">
        <v>9.57</v>
      </c>
      <c r="K191" s="15"/>
      <c r="L191" s="72">
        <v>9.57</v>
      </c>
      <c r="M191" s="15">
        <f>L191*H191</f>
        <v>0</v>
      </c>
      <c r="N191" s="15">
        <f>H191*I191</f>
        <v>0</v>
      </c>
      <c r="O191" s="25">
        <f>N191/N193</f>
        <v>0</v>
      </c>
    </row>
    <row r="192" spans="1:16" ht="12.75" customHeight="1" x14ac:dyDescent="0.2">
      <c r="A192" s="494"/>
      <c r="B192" s="490"/>
      <c r="C192" s="491"/>
      <c r="D192" s="491"/>
      <c r="E192" s="491"/>
      <c r="F192" s="491"/>
      <c r="G192" s="97"/>
      <c r="H192" s="502"/>
      <c r="I192" s="72"/>
      <c r="J192" s="72"/>
      <c r="K192" s="15"/>
      <c r="L192" s="72"/>
      <c r="M192" s="15"/>
      <c r="N192" s="15"/>
      <c r="O192" s="25"/>
      <c r="P192" s="51">
        <v>20068</v>
      </c>
    </row>
    <row r="193" spans="1:16" ht="12.75" customHeight="1" x14ac:dyDescent="0.2">
      <c r="A193" s="491"/>
      <c r="B193" s="594" t="s">
        <v>18</v>
      </c>
      <c r="C193" s="595"/>
      <c r="D193" s="595"/>
      <c r="E193" s="595"/>
      <c r="F193" s="595"/>
      <c r="G193" s="53"/>
      <c r="H193" s="503"/>
      <c r="I193" s="53"/>
      <c r="J193" s="53"/>
      <c r="K193" s="53"/>
      <c r="L193" s="53"/>
      <c r="M193" s="53"/>
      <c r="N193" s="15">
        <f>SUM(N188:N191)</f>
        <v>11.48</v>
      </c>
      <c r="O193" s="25">
        <f>N193/N195</f>
        <v>0.14252017380508999</v>
      </c>
      <c r="P193" s="51">
        <v>20155</v>
      </c>
    </row>
    <row r="194" spans="1:16" ht="12.75" customHeight="1" x14ac:dyDescent="0.2">
      <c r="A194" s="494"/>
      <c r="B194" s="490"/>
      <c r="C194" s="491"/>
      <c r="D194" s="491"/>
      <c r="E194" s="491"/>
      <c r="F194" s="491"/>
      <c r="G194" s="97"/>
      <c r="H194" s="502"/>
      <c r="I194" s="72"/>
      <c r="J194" s="72"/>
      <c r="K194" s="15"/>
      <c r="L194" s="72"/>
      <c r="M194" s="15"/>
      <c r="N194" s="15"/>
      <c r="O194" s="25"/>
      <c r="P194" s="51">
        <v>5103</v>
      </c>
    </row>
    <row r="195" spans="1:16" ht="12.75" customHeight="1" x14ac:dyDescent="0.2">
      <c r="A195" s="596"/>
      <c r="B195" s="597" t="s">
        <v>20</v>
      </c>
      <c r="C195" s="598"/>
      <c r="D195" s="598"/>
      <c r="E195" s="598"/>
      <c r="F195" s="598"/>
      <c r="G195" s="78"/>
      <c r="H195" s="504"/>
      <c r="I195" s="78"/>
      <c r="J195" s="78"/>
      <c r="K195" s="78"/>
      <c r="L195" s="78"/>
      <c r="M195" s="78"/>
      <c r="N195" s="83">
        <f>N180+N185+N193</f>
        <v>80.550000000000011</v>
      </c>
      <c r="O195" s="77">
        <f>N195/N264</f>
        <v>3.3868335301312771E-3</v>
      </c>
    </row>
    <row r="196" spans="1:16" ht="12.75" customHeight="1" x14ac:dyDescent="0.2">
      <c r="A196" s="596"/>
      <c r="B196" s="597"/>
      <c r="C196" s="599"/>
      <c r="D196" s="599"/>
      <c r="E196" s="599"/>
      <c r="F196" s="599"/>
      <c r="G196" s="479"/>
      <c r="H196" s="512"/>
      <c r="I196" s="479"/>
      <c r="J196" s="479"/>
      <c r="K196" s="479"/>
      <c r="L196" s="479"/>
      <c r="M196" s="479"/>
      <c r="N196" s="83"/>
      <c r="O196" s="77"/>
    </row>
    <row r="197" spans="1:16" ht="12.75" customHeight="1" x14ac:dyDescent="0.2">
      <c r="A197" s="600" t="s">
        <v>270</v>
      </c>
      <c r="B197" s="490" t="s">
        <v>29</v>
      </c>
      <c r="C197" s="491"/>
      <c r="D197" s="491"/>
      <c r="E197" s="491"/>
      <c r="F197" s="491"/>
      <c r="H197" s="505"/>
      <c r="O197" s="61"/>
    </row>
    <row r="198" spans="1:16" s="132" customFormat="1" x14ac:dyDescent="0.2">
      <c r="A198" s="600" t="s">
        <v>958</v>
      </c>
      <c r="B198" s="490" t="s">
        <v>959</v>
      </c>
      <c r="C198" s="491"/>
      <c r="D198" s="491"/>
      <c r="E198" s="491"/>
      <c r="F198" s="491"/>
      <c r="G198" s="51"/>
      <c r="H198" s="505"/>
      <c r="I198" s="51"/>
      <c r="J198" s="51"/>
      <c r="K198" s="51"/>
      <c r="L198" s="51"/>
      <c r="M198" s="51"/>
      <c r="N198" s="51"/>
      <c r="O198" s="61"/>
    </row>
    <row r="199" spans="1:16" x14ac:dyDescent="0.2">
      <c r="A199" s="494" t="s">
        <v>960</v>
      </c>
      <c r="B199" s="490" t="s">
        <v>961</v>
      </c>
      <c r="C199" s="491"/>
      <c r="D199" s="491"/>
      <c r="E199" s="491"/>
      <c r="F199" s="491"/>
      <c r="G199" s="97" t="s">
        <v>24</v>
      </c>
      <c r="H199" s="502">
        <v>1</v>
      </c>
      <c r="I199" s="72">
        <f>VLOOKUP(A199,'[1]TAB OGU JUN18'!$A:$G,6,"falso")</f>
        <v>112.48</v>
      </c>
      <c r="J199" s="72">
        <f>VLOOKUP(A199,'[1]TAB OGU JUN18'!$A:$G,4,"falso")</f>
        <v>0</v>
      </c>
      <c r="K199" s="15"/>
      <c r="L199" s="72">
        <f>VLOOKUP(A199,'[1]TAB OGU JUN18'!$A:$G,5,"falso")</f>
        <v>112.48</v>
      </c>
      <c r="M199" s="15">
        <f>L199*H199</f>
        <v>112.48</v>
      </c>
      <c r="N199" s="15">
        <f>H199*I199</f>
        <v>112.48</v>
      </c>
      <c r="O199" s="25">
        <f>N199/N201</f>
        <v>1</v>
      </c>
    </row>
    <row r="200" spans="1:16" ht="12.75" customHeight="1" x14ac:dyDescent="0.2">
      <c r="A200" s="494"/>
      <c r="B200" s="490"/>
      <c r="C200" s="491"/>
      <c r="D200" s="491"/>
      <c r="E200" s="491"/>
      <c r="F200" s="491"/>
      <c r="G200" s="97"/>
      <c r="H200" s="502"/>
      <c r="I200" s="72"/>
      <c r="J200" s="72"/>
      <c r="K200" s="15"/>
      <c r="L200" s="72"/>
      <c r="M200" s="15"/>
      <c r="N200" s="15"/>
      <c r="O200" s="25"/>
      <c r="P200" s="149"/>
    </row>
    <row r="201" spans="1:16" x14ac:dyDescent="0.2">
      <c r="A201" s="491"/>
      <c r="B201" s="594" t="s">
        <v>18</v>
      </c>
      <c r="C201" s="595"/>
      <c r="D201" s="595"/>
      <c r="E201" s="595"/>
      <c r="F201" s="595"/>
      <c r="G201" s="53"/>
      <c r="H201" s="503"/>
      <c r="I201" s="53"/>
      <c r="J201" s="53"/>
      <c r="K201" s="53"/>
      <c r="L201" s="53"/>
      <c r="M201" s="53"/>
      <c r="N201" s="15">
        <f>N199</f>
        <v>112.48</v>
      </c>
      <c r="O201" s="25">
        <f>N201/N220</f>
        <v>6.2575625658899417E-2</v>
      </c>
    </row>
    <row r="202" spans="1:16" x14ac:dyDescent="0.2">
      <c r="A202" s="494"/>
      <c r="B202" s="490"/>
      <c r="C202" s="491"/>
      <c r="D202" s="491"/>
      <c r="E202" s="491"/>
      <c r="F202" s="491"/>
      <c r="G202" s="97"/>
      <c r="H202" s="502"/>
      <c r="I202" s="72"/>
      <c r="J202" s="72"/>
      <c r="K202" s="15"/>
      <c r="L202" s="72"/>
      <c r="M202" s="15"/>
      <c r="N202" s="15"/>
      <c r="O202" s="25"/>
    </row>
    <row r="203" spans="1:16" ht="12.75" customHeight="1" x14ac:dyDescent="0.2">
      <c r="A203" s="600" t="s">
        <v>271</v>
      </c>
      <c r="B203" s="490" t="s">
        <v>34</v>
      </c>
      <c r="C203" s="491"/>
      <c r="D203" s="491"/>
      <c r="E203" s="491"/>
      <c r="F203" s="491"/>
      <c r="H203" s="505"/>
      <c r="O203" s="61"/>
      <c r="P203" s="149"/>
    </row>
    <row r="204" spans="1:16" x14ac:dyDescent="0.2">
      <c r="A204" s="494" t="s">
        <v>962</v>
      </c>
      <c r="B204" s="490" t="s">
        <v>963</v>
      </c>
      <c r="C204" s="491"/>
      <c r="D204" s="491"/>
      <c r="E204" s="491"/>
      <c r="F204" s="491"/>
      <c r="G204" s="97" t="s">
        <v>24</v>
      </c>
      <c r="H204" s="502">
        <v>1</v>
      </c>
      <c r="I204" s="72">
        <f>VLOOKUP(A204,'[1]TAB OGU JUN18'!$A:$G,6,"falso")</f>
        <v>86.64</v>
      </c>
      <c r="J204" s="72">
        <f>VLOOKUP(A204,'[1]TAB OGU JUN18'!$A:$G,4,"falso")</f>
        <v>0</v>
      </c>
      <c r="K204" s="15"/>
      <c r="L204" s="72">
        <f>VLOOKUP(A204,'[1]TAB OGU JUN18'!$A:$G,5,"falso")</f>
        <v>86.64</v>
      </c>
      <c r="M204" s="15">
        <f>L204*H204</f>
        <v>86.64</v>
      </c>
      <c r="N204" s="15">
        <f>H204*I204</f>
        <v>86.64</v>
      </c>
      <c r="O204" s="25">
        <f>N204/N207</f>
        <v>1</v>
      </c>
    </row>
    <row r="205" spans="1:16" hidden="1" x14ac:dyDescent="0.2">
      <c r="A205" s="494" t="s">
        <v>272</v>
      </c>
      <c r="B205" s="490" t="s">
        <v>1256</v>
      </c>
      <c r="C205" s="491"/>
      <c r="D205" s="491"/>
      <c r="E205" s="491"/>
      <c r="F205" s="491"/>
      <c r="G205" s="97" t="s">
        <v>24</v>
      </c>
      <c r="H205" s="502">
        <v>0</v>
      </c>
      <c r="I205" s="72">
        <f>VLOOKUP(A205,'[1]TAB OGU JUN18'!$A:$G,6,"falso")</f>
        <v>87.25</v>
      </c>
      <c r="J205" s="72">
        <f>VLOOKUP(A205,'[1]TAB OGU JUN18'!$A:$G,4,"falso")</f>
        <v>0</v>
      </c>
      <c r="K205" s="15"/>
      <c r="L205" s="72">
        <f>VLOOKUP(A205,'[1]TAB OGU JUN18'!$A:$G,5,"falso")</f>
        <v>87.25</v>
      </c>
      <c r="M205" s="15">
        <f>L205*H205</f>
        <v>0</v>
      </c>
      <c r="N205" s="15">
        <f>H205*I205</f>
        <v>0</v>
      </c>
      <c r="O205" s="25">
        <f>N205/N207</f>
        <v>0</v>
      </c>
    </row>
    <row r="206" spans="1:16" ht="12.75" customHeight="1" x14ac:dyDescent="0.2">
      <c r="A206" s="494"/>
      <c r="B206" s="490"/>
      <c r="C206" s="491"/>
      <c r="D206" s="491"/>
      <c r="E206" s="491"/>
      <c r="F206" s="491"/>
      <c r="G206" s="97"/>
      <c r="H206" s="502"/>
      <c r="I206" s="72"/>
      <c r="J206" s="72"/>
      <c r="K206" s="15"/>
      <c r="L206" s="72"/>
      <c r="M206" s="15"/>
      <c r="N206" s="15"/>
      <c r="O206" s="25"/>
      <c r="P206" s="149"/>
    </row>
    <row r="207" spans="1:16" x14ac:dyDescent="0.2">
      <c r="A207" s="491"/>
      <c r="B207" s="594" t="s">
        <v>18</v>
      </c>
      <c r="C207" s="595"/>
      <c r="D207" s="595"/>
      <c r="E207" s="595"/>
      <c r="F207" s="595"/>
      <c r="G207" s="53"/>
      <c r="H207" s="503"/>
      <c r="I207" s="53"/>
      <c r="J207" s="53"/>
      <c r="K207" s="53"/>
      <c r="L207" s="53"/>
      <c r="M207" s="53"/>
      <c r="N207" s="15">
        <f>SUM(N204:N205)</f>
        <v>86.64</v>
      </c>
      <c r="O207" s="25">
        <f>N207/N220</f>
        <v>4.8200144088611709E-2</v>
      </c>
    </row>
    <row r="208" spans="1:16" ht="12.75" customHeight="1" x14ac:dyDescent="0.2">
      <c r="A208" s="494"/>
      <c r="B208" s="490"/>
      <c r="C208" s="491"/>
      <c r="D208" s="491"/>
      <c r="E208" s="491"/>
      <c r="F208" s="491"/>
      <c r="G208" s="97"/>
      <c r="H208" s="502"/>
      <c r="I208" s="72"/>
      <c r="J208" s="72"/>
      <c r="K208" s="15"/>
      <c r="L208" s="72"/>
      <c r="M208" s="15"/>
      <c r="N208" s="15"/>
      <c r="O208" s="25"/>
      <c r="P208" s="149"/>
    </row>
    <row r="209" spans="1:16" ht="12.75" customHeight="1" x14ac:dyDescent="0.2">
      <c r="A209" s="600" t="s">
        <v>273</v>
      </c>
      <c r="B209" s="490" t="s">
        <v>35</v>
      </c>
      <c r="C209" s="491"/>
      <c r="D209" s="491"/>
      <c r="E209" s="491"/>
      <c r="F209" s="491"/>
      <c r="H209" s="505"/>
      <c r="O209" s="61"/>
      <c r="P209" s="149"/>
    </row>
    <row r="210" spans="1:16" ht="12.75" customHeight="1" x14ac:dyDescent="0.2">
      <c r="A210" s="494" t="s">
        <v>274</v>
      </c>
      <c r="B210" s="490" t="s">
        <v>964</v>
      </c>
      <c r="C210" s="491"/>
      <c r="D210" s="491"/>
      <c r="E210" s="491"/>
      <c r="F210" s="491"/>
      <c r="G210" s="97" t="s">
        <v>24</v>
      </c>
      <c r="H210" s="502">
        <v>1</v>
      </c>
      <c r="I210" s="72">
        <f>VLOOKUP(A210,'[1]TAB OGU JUN18'!$A:$G,6,"falso")</f>
        <v>112</v>
      </c>
      <c r="J210" s="72">
        <f>VLOOKUP(A210,'[1]TAB OGU JUN18'!$A:$G,4,"falso")</f>
        <v>0</v>
      </c>
      <c r="K210" s="15"/>
      <c r="L210" s="72">
        <f>VLOOKUP(A210,'[1]TAB OGU JUN18'!$A:$G,5,"falso")</f>
        <v>112</v>
      </c>
      <c r="M210" s="15">
        <f>L210*H210</f>
        <v>112</v>
      </c>
      <c r="N210" s="15">
        <f>H210*I210</f>
        <v>112</v>
      </c>
      <c r="O210" s="25">
        <f>N210/N212</f>
        <v>1</v>
      </c>
      <c r="P210" s="149"/>
    </row>
    <row r="211" spans="1:16" ht="12.75" customHeight="1" x14ac:dyDescent="0.2">
      <c r="A211" s="494"/>
      <c r="B211" s="490"/>
      <c r="C211" s="491"/>
      <c r="D211" s="491"/>
      <c r="E211" s="491"/>
      <c r="F211" s="491"/>
      <c r="G211" s="97"/>
      <c r="H211" s="502"/>
      <c r="I211" s="72"/>
      <c r="J211" s="72"/>
      <c r="K211" s="15"/>
      <c r="L211" s="72"/>
      <c r="M211" s="15"/>
      <c r="N211" s="15"/>
      <c r="O211" s="25"/>
    </row>
    <row r="212" spans="1:16" ht="12.75" customHeight="1" x14ac:dyDescent="0.2">
      <c r="A212" s="491"/>
      <c r="B212" s="594" t="s">
        <v>18</v>
      </c>
      <c r="C212" s="595"/>
      <c r="D212" s="595"/>
      <c r="E212" s="595"/>
      <c r="F212" s="595"/>
      <c r="G212" s="53"/>
      <c r="H212" s="503"/>
      <c r="I212" s="53"/>
      <c r="J212" s="53"/>
      <c r="K212" s="53"/>
      <c r="L212" s="53"/>
      <c r="M212" s="53"/>
      <c r="N212" s="15">
        <f>N210</f>
        <v>112</v>
      </c>
      <c r="O212" s="25">
        <f>N212/N220</f>
        <v>6.2308588849544225E-2</v>
      </c>
    </row>
    <row r="213" spans="1:16" ht="12.75" customHeight="1" x14ac:dyDescent="0.2">
      <c r="A213" s="494"/>
      <c r="B213" s="490"/>
      <c r="C213" s="491"/>
      <c r="D213" s="491"/>
      <c r="E213" s="491"/>
      <c r="F213" s="491"/>
      <c r="G213" s="97"/>
      <c r="H213" s="502"/>
      <c r="I213" s="72"/>
      <c r="J213" s="72"/>
      <c r="K213" s="15"/>
      <c r="L213" s="72"/>
      <c r="M213" s="15"/>
      <c r="N213" s="15"/>
      <c r="O213" s="25"/>
    </row>
    <row r="214" spans="1:16" ht="12.75" customHeight="1" x14ac:dyDescent="0.2">
      <c r="A214" s="600"/>
      <c r="B214" s="490"/>
      <c r="C214" s="491"/>
      <c r="D214" s="491"/>
      <c r="E214" s="491"/>
      <c r="F214" s="491"/>
      <c r="H214" s="505"/>
      <c r="O214" s="61"/>
    </row>
    <row r="215" spans="1:16" s="150" customFormat="1" ht="12.75" customHeight="1" x14ac:dyDescent="0.2">
      <c r="A215" s="600" t="s">
        <v>275</v>
      </c>
      <c r="B215" s="490" t="s">
        <v>36</v>
      </c>
      <c r="C215" s="491"/>
      <c r="D215" s="491"/>
      <c r="E215" s="491"/>
      <c r="F215" s="491"/>
      <c r="G215" s="51"/>
      <c r="H215" s="505"/>
      <c r="I215" s="51"/>
      <c r="J215" s="51"/>
      <c r="K215" s="51"/>
      <c r="L215" s="51"/>
      <c r="M215" s="51"/>
      <c r="N215" s="51"/>
      <c r="O215" s="61"/>
    </row>
    <row r="216" spans="1:16" s="150" customFormat="1" ht="12.75" customHeight="1" x14ac:dyDescent="0.2">
      <c r="A216" s="600" t="s">
        <v>276</v>
      </c>
      <c r="B216" s="490" t="s">
        <v>78</v>
      </c>
      <c r="C216" s="491"/>
      <c r="D216" s="491"/>
      <c r="E216" s="491"/>
      <c r="F216" s="491"/>
      <c r="G216" s="97" t="s">
        <v>17</v>
      </c>
      <c r="H216" s="502">
        <v>39.5</v>
      </c>
      <c r="I216" s="72">
        <f>VLOOKUP(A216,'[1]TAB OGU JUN18'!$A:$G,6,"falso")</f>
        <v>37.630000000000003</v>
      </c>
      <c r="J216" s="72">
        <f>VLOOKUP(A216,'[1]TAB OGU JUN18'!$A:$G,4,"falso")</f>
        <v>0</v>
      </c>
      <c r="K216" s="15"/>
      <c r="L216" s="72">
        <f>VLOOKUP(A216,'[1]TAB OGU JUN18'!$A:$G,5,"falso")</f>
        <v>37.630000000000003</v>
      </c>
      <c r="M216" s="15">
        <f>L216*H216</f>
        <v>1486.385</v>
      </c>
      <c r="N216" s="15">
        <f>H216*I216</f>
        <v>1486.385</v>
      </c>
      <c r="O216" s="25">
        <f>N216/N218</f>
        <v>1</v>
      </c>
    </row>
    <row r="217" spans="1:16" ht="12.75" customHeight="1" x14ac:dyDescent="0.2">
      <c r="A217" s="491"/>
      <c r="B217" s="491"/>
      <c r="C217" s="491"/>
      <c r="D217" s="491"/>
      <c r="E217" s="491"/>
      <c r="F217" s="491"/>
      <c r="G217" s="52"/>
      <c r="H217" s="501"/>
      <c r="I217" s="52"/>
      <c r="J217" s="52"/>
      <c r="K217" s="52"/>
      <c r="L217" s="52"/>
      <c r="M217" s="52"/>
      <c r="N217" s="456"/>
      <c r="O217" s="25"/>
    </row>
    <row r="218" spans="1:16" ht="12.75" customHeight="1" x14ac:dyDescent="0.2">
      <c r="A218" s="491"/>
      <c r="B218" s="594" t="s">
        <v>18</v>
      </c>
      <c r="C218" s="595"/>
      <c r="D218" s="595"/>
      <c r="E218" s="595"/>
      <c r="F218" s="595"/>
      <c r="G218" s="53"/>
      <c r="H218" s="503"/>
      <c r="I218" s="53"/>
      <c r="J218" s="53"/>
      <c r="K218" s="53"/>
      <c r="L218" s="53"/>
      <c r="M218" s="53"/>
      <c r="N218" s="15">
        <f>N216</f>
        <v>1486.385</v>
      </c>
      <c r="O218" s="25">
        <f>N218/N220</f>
        <v>0.8269156414029446</v>
      </c>
    </row>
    <row r="219" spans="1:16" ht="12.75" customHeight="1" x14ac:dyDescent="0.2">
      <c r="A219" s="491"/>
      <c r="B219" s="594"/>
      <c r="C219" s="491"/>
      <c r="D219" s="491"/>
      <c r="E219" s="491"/>
      <c r="F219" s="491"/>
      <c r="G219" s="52"/>
      <c r="H219" s="501"/>
      <c r="I219" s="52"/>
      <c r="J219" s="52"/>
      <c r="K219" s="52"/>
      <c r="L219" s="52"/>
      <c r="M219" s="52"/>
      <c r="N219" s="15"/>
      <c r="O219" s="25"/>
    </row>
    <row r="220" spans="1:16" ht="12.75" customHeight="1" x14ac:dyDescent="0.2">
      <c r="A220" s="599"/>
      <c r="B220" s="597" t="s">
        <v>20</v>
      </c>
      <c r="C220" s="598"/>
      <c r="D220" s="598"/>
      <c r="E220" s="598"/>
      <c r="F220" s="598"/>
      <c r="G220" s="78"/>
      <c r="H220" s="504"/>
      <c r="I220" s="78"/>
      <c r="J220" s="78"/>
      <c r="K220" s="78"/>
      <c r="L220" s="78"/>
      <c r="M220" s="78"/>
      <c r="N220" s="83">
        <f>N201+N207+N212+N218</f>
        <v>1797.5050000000001</v>
      </c>
      <c r="O220" s="77">
        <f>N220/N264</f>
        <v>7.5578525196506777E-2</v>
      </c>
    </row>
    <row r="221" spans="1:16" ht="12.75" customHeight="1" x14ac:dyDescent="0.2">
      <c r="A221" s="491"/>
      <c r="B221" s="594"/>
      <c r="C221" s="491"/>
      <c r="D221" s="491"/>
      <c r="E221" s="491"/>
      <c r="F221" s="491"/>
      <c r="G221" s="52"/>
      <c r="H221" s="501"/>
      <c r="I221" s="520"/>
      <c r="J221" s="52"/>
      <c r="K221" s="52"/>
      <c r="L221" s="52"/>
      <c r="M221" s="52"/>
      <c r="N221" s="15"/>
      <c r="O221" s="25"/>
    </row>
    <row r="222" spans="1:16" ht="12.75" customHeight="1" x14ac:dyDescent="0.2">
      <c r="A222" s="600">
        <v>29</v>
      </c>
      <c r="B222" s="490" t="s">
        <v>507</v>
      </c>
      <c r="C222" s="491"/>
      <c r="D222" s="491"/>
      <c r="E222" s="491"/>
      <c r="F222" s="491"/>
      <c r="H222" s="505"/>
      <c r="I222" s="491"/>
      <c r="O222" s="61"/>
    </row>
    <row r="223" spans="1:16" ht="12.75" customHeight="1" x14ac:dyDescent="0.2">
      <c r="A223" s="600" t="s">
        <v>1029</v>
      </c>
      <c r="B223" s="490" t="s">
        <v>508</v>
      </c>
      <c r="C223" s="491"/>
      <c r="D223" s="491"/>
      <c r="E223" s="491"/>
      <c r="F223" s="491"/>
      <c r="H223" s="505"/>
      <c r="I223" s="491"/>
      <c r="O223" s="61"/>
    </row>
    <row r="224" spans="1:16" ht="12.75" customHeight="1" x14ac:dyDescent="0.2">
      <c r="A224" s="600" t="s">
        <v>1030</v>
      </c>
      <c r="B224" s="490" t="s">
        <v>1031</v>
      </c>
      <c r="C224" s="491"/>
      <c r="D224" s="491"/>
      <c r="E224" s="491"/>
      <c r="F224" s="491"/>
      <c r="G224" s="497" t="s">
        <v>24</v>
      </c>
      <c r="H224" s="502">
        <v>4</v>
      </c>
      <c r="I224" s="489">
        <v>352.27</v>
      </c>
      <c r="J224" s="489">
        <v>352.27</v>
      </c>
      <c r="K224" s="502"/>
      <c r="L224" s="489">
        <v>352.27</v>
      </c>
      <c r="M224" s="502">
        <f>H224*L224</f>
        <v>1409.08</v>
      </c>
      <c r="N224" s="502">
        <f>H224*I224</f>
        <v>1409.08</v>
      </c>
      <c r="O224" s="601">
        <f>N224/N227</f>
        <v>1</v>
      </c>
      <c r="P224" s="61" t="s">
        <v>1328</v>
      </c>
    </row>
    <row r="225" spans="1:16" ht="12.75" hidden="1" customHeight="1" x14ac:dyDescent="0.2">
      <c r="A225" s="600" t="s">
        <v>1258</v>
      </c>
      <c r="B225" s="490" t="s">
        <v>1257</v>
      </c>
      <c r="C225" s="491"/>
      <c r="D225" s="491"/>
      <c r="E225" s="491"/>
      <c r="F225" s="491"/>
      <c r="G225" s="497" t="s">
        <v>24</v>
      </c>
      <c r="H225" s="502">
        <v>0</v>
      </c>
      <c r="I225" s="489">
        <v>757.76</v>
      </c>
      <c r="J225" s="489">
        <v>757.76</v>
      </c>
      <c r="K225" s="502"/>
      <c r="L225" s="489">
        <v>757.76</v>
      </c>
      <c r="M225" s="502">
        <f>H225*L225</f>
        <v>0</v>
      </c>
      <c r="N225" s="502">
        <f>H225*I225</f>
        <v>0</v>
      </c>
      <c r="O225" s="601">
        <f>N225/N227</f>
        <v>0</v>
      </c>
      <c r="P225" s="61" t="s">
        <v>1332</v>
      </c>
    </row>
    <row r="226" spans="1:16" ht="12.75" customHeight="1" x14ac:dyDescent="0.2">
      <c r="A226" s="600"/>
      <c r="B226" s="490"/>
      <c r="C226" s="491"/>
      <c r="D226" s="491"/>
      <c r="E226" s="491"/>
      <c r="F226" s="491"/>
      <c r="H226" s="505"/>
      <c r="I226" s="491"/>
      <c r="O226" s="61"/>
    </row>
    <row r="227" spans="1:16" ht="12.75" customHeight="1" x14ac:dyDescent="0.2">
      <c r="A227" s="491"/>
      <c r="B227" s="594" t="s">
        <v>18</v>
      </c>
      <c r="C227" s="595"/>
      <c r="D227" s="595"/>
      <c r="E227" s="595"/>
      <c r="F227" s="595"/>
      <c r="G227" s="53"/>
      <c r="H227" s="503"/>
      <c r="I227" s="521"/>
      <c r="J227" s="53"/>
      <c r="K227" s="53"/>
      <c r="L227" s="53"/>
      <c r="M227" s="53"/>
      <c r="N227" s="15">
        <f>SUM(N224:N225)</f>
        <v>1409.08</v>
      </c>
      <c r="O227" s="25">
        <f>N227/N246</f>
        <v>0.24348300899574574</v>
      </c>
    </row>
    <row r="228" spans="1:16" ht="12.75" customHeight="1" x14ac:dyDescent="0.2">
      <c r="A228" s="600"/>
      <c r="B228" s="490"/>
      <c r="C228" s="491"/>
      <c r="D228" s="491"/>
      <c r="E228" s="491"/>
      <c r="F228" s="491"/>
      <c r="H228" s="505"/>
      <c r="I228" s="491"/>
      <c r="O228" s="61"/>
    </row>
    <row r="229" spans="1:16" ht="12.75" hidden="1" customHeight="1" x14ac:dyDescent="0.2">
      <c r="A229" s="600" t="s">
        <v>975</v>
      </c>
      <c r="B229" s="490" t="s">
        <v>976</v>
      </c>
      <c r="C229" s="491"/>
      <c r="D229" s="491"/>
      <c r="E229" s="491"/>
      <c r="F229" s="491"/>
      <c r="G229" s="491"/>
      <c r="H229" s="505"/>
      <c r="I229" s="491"/>
      <c r="J229" s="491"/>
      <c r="K229" s="491"/>
      <c r="L229" s="491"/>
      <c r="M229" s="491"/>
      <c r="N229" s="491"/>
      <c r="O229" s="505"/>
    </row>
    <row r="230" spans="1:16" ht="12.75" hidden="1" customHeight="1" x14ac:dyDescent="0.2">
      <c r="A230" s="600" t="s">
        <v>978</v>
      </c>
      <c r="B230" s="490" t="s">
        <v>977</v>
      </c>
      <c r="C230" s="491"/>
      <c r="D230" s="491"/>
      <c r="E230" s="491"/>
      <c r="F230" s="491"/>
      <c r="G230" s="497" t="s">
        <v>24</v>
      </c>
      <c r="H230" s="502">
        <v>0</v>
      </c>
      <c r="I230" s="489">
        <v>275.47000000000003</v>
      </c>
      <c r="J230" s="489">
        <v>275.47000000000003</v>
      </c>
      <c r="K230" s="502"/>
      <c r="L230" s="489">
        <v>275.47000000000003</v>
      </c>
      <c r="M230" s="502">
        <f>H230*L230</f>
        <v>0</v>
      </c>
      <c r="N230" s="502">
        <f>H230*I230</f>
        <v>0</v>
      </c>
      <c r="O230" s="601" t="e">
        <f>N230/N232</f>
        <v>#DIV/0!</v>
      </c>
      <c r="P230" s="61" t="s">
        <v>1331</v>
      </c>
    </row>
    <row r="231" spans="1:16" ht="12.75" hidden="1" customHeight="1" x14ac:dyDescent="0.2">
      <c r="A231" s="491"/>
      <c r="B231" s="594"/>
      <c r="C231" s="491"/>
      <c r="D231" s="491"/>
      <c r="E231" s="491"/>
      <c r="F231" s="491"/>
      <c r="G231" s="520"/>
      <c r="H231" s="501"/>
      <c r="I231" s="520"/>
      <c r="J231" s="520"/>
      <c r="K231" s="520"/>
      <c r="L231" s="520"/>
      <c r="M231" s="520"/>
      <c r="N231" s="502"/>
      <c r="O231" s="601"/>
    </row>
    <row r="232" spans="1:16" ht="12.75" hidden="1" customHeight="1" x14ac:dyDescent="0.2">
      <c r="A232" s="491"/>
      <c r="B232" s="594" t="s">
        <v>18</v>
      </c>
      <c r="C232" s="595"/>
      <c r="D232" s="595"/>
      <c r="E232" s="595"/>
      <c r="F232" s="595"/>
      <c r="G232" s="521"/>
      <c r="H232" s="503"/>
      <c r="I232" s="521"/>
      <c r="J232" s="521"/>
      <c r="K232" s="521"/>
      <c r="L232" s="521"/>
      <c r="M232" s="521"/>
      <c r="N232" s="502">
        <f>N230</f>
        <v>0</v>
      </c>
      <c r="O232" s="601">
        <f>N232/N246</f>
        <v>0</v>
      </c>
    </row>
    <row r="233" spans="1:16" ht="12.75" hidden="1" customHeight="1" x14ac:dyDescent="0.2">
      <c r="A233" s="491"/>
      <c r="B233" s="594"/>
      <c r="C233" s="491"/>
      <c r="D233" s="491"/>
      <c r="E233" s="491"/>
      <c r="F233" s="491"/>
      <c r="G233" s="520"/>
      <c r="H233" s="501"/>
      <c r="I233" s="520"/>
      <c r="J233" s="520"/>
      <c r="K233" s="520"/>
      <c r="L233" s="520"/>
      <c r="M233" s="520"/>
      <c r="N233" s="502"/>
      <c r="O233" s="601"/>
    </row>
    <row r="234" spans="1:16" ht="12.75" customHeight="1" x14ac:dyDescent="0.2">
      <c r="A234" s="600" t="s">
        <v>965</v>
      </c>
      <c r="B234" s="490" t="s">
        <v>966</v>
      </c>
      <c r="C234" s="491"/>
      <c r="D234" s="491"/>
      <c r="E234" s="491"/>
      <c r="F234" s="491"/>
      <c r="G234" s="491"/>
      <c r="H234" s="505"/>
      <c r="I234" s="491"/>
      <c r="J234" s="491"/>
      <c r="K234" s="491"/>
      <c r="L234" s="491"/>
      <c r="M234" s="491"/>
      <c r="N234" s="491"/>
      <c r="O234" s="505"/>
    </row>
    <row r="235" spans="1:16" ht="12.75" customHeight="1" x14ac:dyDescent="0.2">
      <c r="A235" s="600" t="s">
        <v>967</v>
      </c>
      <c r="B235" s="490" t="s">
        <v>968</v>
      </c>
      <c r="C235" s="491"/>
      <c r="D235" s="491"/>
      <c r="E235" s="491"/>
      <c r="F235" s="491"/>
      <c r="G235" s="497" t="s">
        <v>24</v>
      </c>
      <c r="H235" s="502">
        <v>3</v>
      </c>
      <c r="I235" s="489">
        <v>796.06</v>
      </c>
      <c r="J235" s="489">
        <v>796.06</v>
      </c>
      <c r="K235" s="502"/>
      <c r="L235" s="489">
        <v>796.06</v>
      </c>
      <c r="M235" s="502">
        <f>H235*L235</f>
        <v>2388.1799999999998</v>
      </c>
      <c r="N235" s="502">
        <f>H235*I235</f>
        <v>2388.1799999999998</v>
      </c>
      <c r="O235" s="601">
        <f>N235/N238</f>
        <v>1</v>
      </c>
      <c r="P235" s="61" t="s">
        <v>1333</v>
      </c>
    </row>
    <row r="236" spans="1:16" ht="12.75" hidden="1" customHeight="1" x14ac:dyDescent="0.2">
      <c r="A236" s="600" t="s">
        <v>1259</v>
      </c>
      <c r="B236" s="490" t="s">
        <v>1260</v>
      </c>
      <c r="C236" s="491"/>
      <c r="D236" s="491"/>
      <c r="E236" s="491"/>
      <c r="F236" s="491"/>
      <c r="G236" s="497" t="s">
        <v>24</v>
      </c>
      <c r="H236" s="502">
        <v>0</v>
      </c>
      <c r="I236" s="489">
        <v>1610.53</v>
      </c>
      <c r="J236" s="489">
        <v>1610.53</v>
      </c>
      <c r="K236" s="502"/>
      <c r="L236" s="489">
        <v>1610.53</v>
      </c>
      <c r="M236" s="502">
        <f>H236*L236</f>
        <v>0</v>
      </c>
      <c r="N236" s="502">
        <f>H236*I236</f>
        <v>0</v>
      </c>
      <c r="O236" s="601">
        <f>N236/N238</f>
        <v>0</v>
      </c>
      <c r="P236" s="61" t="s">
        <v>1334</v>
      </c>
    </row>
    <row r="237" spans="1:16" ht="12.75" customHeight="1" x14ac:dyDescent="0.2">
      <c r="A237" s="491"/>
      <c r="B237" s="594"/>
      <c r="C237" s="491"/>
      <c r="D237" s="491"/>
      <c r="E237" s="491"/>
      <c r="F237" s="491"/>
      <c r="G237" s="520"/>
      <c r="H237" s="501"/>
      <c r="I237" s="520"/>
      <c r="J237" s="520"/>
      <c r="K237" s="520"/>
      <c r="L237" s="520"/>
      <c r="M237" s="520"/>
      <c r="N237" s="502"/>
      <c r="O237" s="601"/>
    </row>
    <row r="238" spans="1:16" ht="12.75" customHeight="1" x14ac:dyDescent="0.2">
      <c r="A238" s="491"/>
      <c r="B238" s="594" t="s">
        <v>18</v>
      </c>
      <c r="C238" s="595"/>
      <c r="D238" s="595"/>
      <c r="E238" s="595"/>
      <c r="F238" s="595"/>
      <c r="G238" s="521"/>
      <c r="H238" s="503"/>
      <c r="I238" s="521"/>
      <c r="J238" s="521"/>
      <c r="K238" s="521"/>
      <c r="L238" s="521"/>
      <c r="M238" s="521"/>
      <c r="N238" s="502">
        <f>SUM(N235:N236)</f>
        <v>2388.1799999999998</v>
      </c>
      <c r="O238" s="601">
        <f>N238/N246</f>
        <v>0.41266730946678687</v>
      </c>
    </row>
    <row r="239" spans="1:16" ht="12.75" customHeight="1" x14ac:dyDescent="0.2">
      <c r="A239" s="491"/>
      <c r="B239" s="594"/>
      <c r="C239" s="491"/>
      <c r="D239" s="491"/>
      <c r="E239" s="491"/>
      <c r="F239" s="491"/>
      <c r="G239" s="520"/>
      <c r="H239" s="501"/>
      <c r="I239" s="520"/>
      <c r="J239" s="520"/>
      <c r="K239" s="520"/>
      <c r="L239" s="520"/>
      <c r="M239" s="520"/>
      <c r="N239" s="502"/>
      <c r="O239" s="601"/>
    </row>
    <row r="240" spans="1:16" ht="12.75" customHeight="1" x14ac:dyDescent="0.2">
      <c r="A240" s="600">
        <v>2959</v>
      </c>
      <c r="B240" s="490" t="s">
        <v>835</v>
      </c>
      <c r="C240" s="491"/>
      <c r="D240" s="491"/>
      <c r="E240" s="491"/>
      <c r="F240" s="491"/>
      <c r="G240" s="491"/>
      <c r="H240" s="505"/>
      <c r="I240" s="491"/>
      <c r="J240" s="491"/>
      <c r="K240" s="491"/>
      <c r="L240" s="491"/>
      <c r="M240" s="491"/>
      <c r="N240" s="491"/>
      <c r="O240" s="505"/>
    </row>
    <row r="241" spans="1:16" ht="12.75" customHeight="1" x14ac:dyDescent="0.2">
      <c r="A241" s="600" t="s">
        <v>969</v>
      </c>
      <c r="B241" s="490" t="s">
        <v>970</v>
      </c>
      <c r="C241" s="491"/>
      <c r="D241" s="491"/>
      <c r="E241" s="491"/>
      <c r="F241" s="491"/>
      <c r="G241" s="497" t="s">
        <v>24</v>
      </c>
      <c r="H241" s="502">
        <v>2</v>
      </c>
      <c r="I241" s="489">
        <v>994.96</v>
      </c>
      <c r="J241" s="489">
        <v>994.96</v>
      </c>
      <c r="K241" s="502"/>
      <c r="L241" s="489">
        <v>994.96</v>
      </c>
      <c r="M241" s="502">
        <f t="shared" ref="M241" si="71">H241*L241</f>
        <v>1989.92</v>
      </c>
      <c r="N241" s="502">
        <f>H241*I241</f>
        <v>1989.92</v>
      </c>
      <c r="O241" s="601">
        <f>N241/N244</f>
        <v>1</v>
      </c>
      <c r="P241" s="61" t="s">
        <v>1336</v>
      </c>
    </row>
    <row r="242" spans="1:16" ht="12.75" hidden="1" customHeight="1" x14ac:dyDescent="0.2">
      <c r="A242" s="600" t="s">
        <v>1262</v>
      </c>
      <c r="B242" s="490" t="s">
        <v>1261</v>
      </c>
      <c r="C242" s="491"/>
      <c r="D242" s="491"/>
      <c r="E242" s="491"/>
      <c r="F242" s="491"/>
      <c r="G242" s="497" t="s">
        <v>24</v>
      </c>
      <c r="H242" s="502">
        <v>0</v>
      </c>
      <c r="I242" s="489">
        <v>2113.98</v>
      </c>
      <c r="J242" s="489">
        <v>2113.98</v>
      </c>
      <c r="K242" s="502"/>
      <c r="L242" s="489">
        <v>2113.98</v>
      </c>
      <c r="M242" s="502">
        <f t="shared" ref="M242" si="72">H242*L242</f>
        <v>0</v>
      </c>
      <c r="N242" s="502">
        <f>H242*I242</f>
        <v>0</v>
      </c>
      <c r="O242" s="601">
        <f>N242/N244</f>
        <v>0</v>
      </c>
      <c r="P242" s="61" t="s">
        <v>1337</v>
      </c>
    </row>
    <row r="243" spans="1:16" ht="12.75" customHeight="1" x14ac:dyDescent="0.2">
      <c r="B243" s="130"/>
      <c r="G243" s="52"/>
      <c r="H243" s="501"/>
      <c r="I243" s="520"/>
      <c r="J243" s="52"/>
      <c r="K243" s="52"/>
      <c r="L243" s="52"/>
      <c r="M243" s="52"/>
      <c r="N243" s="15"/>
      <c r="O243" s="25"/>
    </row>
    <row r="244" spans="1:16" ht="12.75" customHeight="1" x14ac:dyDescent="0.2">
      <c r="B244" s="130" t="s">
        <v>18</v>
      </c>
      <c r="C244" s="131"/>
      <c r="D244" s="131"/>
      <c r="E244" s="131"/>
      <c r="F244" s="131"/>
      <c r="G244" s="53"/>
      <c r="H244" s="503"/>
      <c r="I244" s="521"/>
      <c r="J244" s="53"/>
      <c r="K244" s="53"/>
      <c r="L244" s="53"/>
      <c r="M244" s="53"/>
      <c r="N244" s="15">
        <f>SUM(N241:N242)</f>
        <v>1989.92</v>
      </c>
      <c r="O244" s="25">
        <f>N244/N246</f>
        <v>0.34384968153746731</v>
      </c>
    </row>
    <row r="245" spans="1:16" ht="12.75" customHeight="1" x14ac:dyDescent="0.2">
      <c r="B245" s="130"/>
      <c r="G245" s="52"/>
      <c r="H245" s="501"/>
      <c r="I245" s="520"/>
      <c r="J245" s="52"/>
      <c r="K245" s="52"/>
      <c r="L245" s="52"/>
      <c r="M245" s="52"/>
      <c r="N245" s="15"/>
      <c r="O245" s="25"/>
    </row>
    <row r="246" spans="1:16" ht="12.75" customHeight="1" x14ac:dyDescent="0.2">
      <c r="A246" s="132"/>
      <c r="B246" s="133" t="s">
        <v>20</v>
      </c>
      <c r="C246" s="134"/>
      <c r="D246" s="134"/>
      <c r="E246" s="134"/>
      <c r="F246" s="134"/>
      <c r="G246" s="78"/>
      <c r="H246" s="504"/>
      <c r="I246" s="78"/>
      <c r="J246" s="78"/>
      <c r="K246" s="78"/>
      <c r="L246" s="78"/>
      <c r="M246" s="78"/>
      <c r="N246" s="83">
        <f>N232+N238+N244+N227</f>
        <v>5787.18</v>
      </c>
      <c r="O246" s="77">
        <f>N246/N264</f>
        <v>0.24332979849664954</v>
      </c>
    </row>
    <row r="247" spans="1:16" ht="12.75" customHeight="1" x14ac:dyDescent="0.2">
      <c r="B247" s="130"/>
      <c r="G247" s="52"/>
      <c r="H247" s="501"/>
      <c r="I247" s="52"/>
      <c r="J247" s="52"/>
      <c r="K247" s="52"/>
      <c r="L247" s="52"/>
      <c r="M247" s="52"/>
      <c r="N247" s="15"/>
      <c r="O247" s="25"/>
    </row>
    <row r="248" spans="1:16" ht="12.75" customHeight="1" x14ac:dyDescent="0.2">
      <c r="A248" s="98">
        <v>9240</v>
      </c>
      <c r="B248" s="88" t="s">
        <v>836</v>
      </c>
      <c r="G248" s="97"/>
      <c r="H248" s="502"/>
      <c r="I248" s="15"/>
      <c r="J248" s="15"/>
      <c r="K248" s="15"/>
      <c r="L248" s="15"/>
      <c r="M248" s="15"/>
      <c r="N248" s="15"/>
      <c r="O248" s="25"/>
    </row>
    <row r="249" spans="1:16" ht="12.75" hidden="1" customHeight="1" x14ac:dyDescent="0.2">
      <c r="A249" s="608" t="s">
        <v>1267</v>
      </c>
      <c r="B249" s="612" t="s">
        <v>1268</v>
      </c>
      <c r="C249" s="607"/>
      <c r="D249" s="607"/>
      <c r="E249" s="607"/>
      <c r="G249" s="97" t="s">
        <v>17</v>
      </c>
      <c r="H249" s="502">
        <v>0</v>
      </c>
      <c r="I249" s="489">
        <v>12.35</v>
      </c>
      <c r="J249" s="72">
        <v>12.35</v>
      </c>
      <c r="K249" s="15"/>
      <c r="L249" s="72">
        <v>12.35</v>
      </c>
      <c r="M249" s="15">
        <f t="shared" ref="M249:M258" si="73">H249*L249</f>
        <v>0</v>
      </c>
      <c r="N249" s="15">
        <f>H249*I249</f>
        <v>0</v>
      </c>
      <c r="O249" s="25">
        <f>N249/N260</f>
        <v>0</v>
      </c>
    </row>
    <row r="250" spans="1:16" ht="12.75" customHeight="1" x14ac:dyDescent="0.2">
      <c r="A250" s="98" t="s">
        <v>1032</v>
      </c>
      <c r="B250" s="88" t="s">
        <v>594</v>
      </c>
      <c r="G250" s="97" t="s">
        <v>17</v>
      </c>
      <c r="H250" s="502">
        <v>2.0499999999999998</v>
      </c>
      <c r="I250" s="489">
        <v>21.64</v>
      </c>
      <c r="J250" s="72">
        <v>21.64</v>
      </c>
      <c r="K250" s="15"/>
      <c r="L250" s="72">
        <v>21.64</v>
      </c>
      <c r="M250" s="15">
        <f t="shared" si="73"/>
        <v>44.361999999999995</v>
      </c>
      <c r="N250" s="15">
        <f>H250*I250</f>
        <v>44.361999999999995</v>
      </c>
      <c r="O250" s="25">
        <f>N250/N260</f>
        <v>0.23484134630655049</v>
      </c>
    </row>
    <row r="251" spans="1:16" ht="12.75" customHeight="1" x14ac:dyDescent="0.2">
      <c r="A251" s="98" t="s">
        <v>599</v>
      </c>
      <c r="B251" s="88" t="s">
        <v>971</v>
      </c>
      <c r="G251" s="97" t="s">
        <v>24</v>
      </c>
      <c r="H251" s="502">
        <v>1</v>
      </c>
      <c r="I251" s="489">
        <v>18.66</v>
      </c>
      <c r="J251" s="72">
        <v>18.66</v>
      </c>
      <c r="K251" s="15"/>
      <c r="L251" s="72">
        <v>18.66</v>
      </c>
      <c r="M251" s="15">
        <f t="shared" si="73"/>
        <v>18.66</v>
      </c>
      <c r="N251" s="15">
        <f t="shared" ref="N251:N255" si="74">H251*I251</f>
        <v>18.66</v>
      </c>
      <c r="O251" s="25">
        <f>N251/N260</f>
        <v>9.8781378704301703E-2</v>
      </c>
    </row>
    <row r="252" spans="1:16" ht="12.75" customHeight="1" x14ac:dyDescent="0.2">
      <c r="A252" s="98" t="s">
        <v>603</v>
      </c>
      <c r="B252" s="88" t="s">
        <v>604</v>
      </c>
      <c r="G252" s="97" t="s">
        <v>24</v>
      </c>
      <c r="H252" s="502">
        <v>1</v>
      </c>
      <c r="I252" s="489">
        <v>12.06</v>
      </c>
      <c r="J252" s="72">
        <v>12.06</v>
      </c>
      <c r="K252" s="15"/>
      <c r="L252" s="72">
        <v>12.06</v>
      </c>
      <c r="M252" s="15">
        <f t="shared" si="73"/>
        <v>12.06</v>
      </c>
      <c r="N252" s="15">
        <f t="shared" si="74"/>
        <v>12.06</v>
      </c>
      <c r="O252" s="25">
        <f>N252/N260</f>
        <v>6.3842627394098531E-2</v>
      </c>
    </row>
    <row r="253" spans="1:16" ht="12.75" hidden="1" customHeight="1" x14ac:dyDescent="0.2">
      <c r="A253" s="606" t="s">
        <v>1263</v>
      </c>
      <c r="B253" s="605" t="s">
        <v>1264</v>
      </c>
      <c r="C253" s="604"/>
      <c r="D253" s="604"/>
      <c r="E253" s="604"/>
      <c r="G253" s="97" t="s">
        <v>24</v>
      </c>
      <c r="H253" s="502">
        <v>0</v>
      </c>
      <c r="I253" s="613">
        <v>43.99</v>
      </c>
      <c r="J253" s="72">
        <v>43.99</v>
      </c>
      <c r="K253" s="15"/>
      <c r="L253" s="72">
        <v>43.99</v>
      </c>
      <c r="M253" s="15">
        <f t="shared" si="73"/>
        <v>0</v>
      </c>
      <c r="N253" s="15">
        <f t="shared" ref="N253" si="75">H253*I253</f>
        <v>0</v>
      </c>
      <c r="O253" s="25">
        <f>N253/N260</f>
        <v>0</v>
      </c>
    </row>
    <row r="254" spans="1:16" ht="12.75" hidden="1" customHeight="1" x14ac:dyDescent="0.2">
      <c r="A254" s="606" t="s">
        <v>1265</v>
      </c>
      <c r="B254" s="605" t="s">
        <v>1266</v>
      </c>
      <c r="C254" s="604"/>
      <c r="D254" s="604"/>
      <c r="E254" s="604"/>
      <c r="G254" s="97" t="s">
        <v>24</v>
      </c>
      <c r="H254" s="502">
        <v>0</v>
      </c>
      <c r="I254" s="613">
        <v>48.13</v>
      </c>
      <c r="J254" s="72">
        <v>48.13</v>
      </c>
      <c r="K254" s="15"/>
      <c r="L254" s="72">
        <v>48.13</v>
      </c>
      <c r="M254" s="15">
        <f t="shared" si="73"/>
        <v>0</v>
      </c>
      <c r="N254" s="15">
        <f t="shared" ref="N254" si="76">H254*I254</f>
        <v>0</v>
      </c>
      <c r="O254" s="25">
        <f>N254/N260</f>
        <v>0</v>
      </c>
    </row>
    <row r="255" spans="1:16" ht="12.75" customHeight="1" x14ac:dyDescent="0.2">
      <c r="A255" s="98" t="s">
        <v>1033</v>
      </c>
      <c r="B255" s="88" t="s">
        <v>974</v>
      </c>
      <c r="G255" s="97" t="s">
        <v>24</v>
      </c>
      <c r="H255" s="502">
        <v>1</v>
      </c>
      <c r="I255" s="489">
        <v>113.82</v>
      </c>
      <c r="J255" s="72">
        <v>113.82</v>
      </c>
      <c r="K255" s="15"/>
      <c r="L255" s="72">
        <v>113.82</v>
      </c>
      <c r="M255" s="15">
        <f t="shared" si="73"/>
        <v>113.82</v>
      </c>
      <c r="N255" s="15">
        <f t="shared" si="74"/>
        <v>113.82</v>
      </c>
      <c r="O255" s="25">
        <f>N255/N260</f>
        <v>0.60253464759504927</v>
      </c>
    </row>
    <row r="256" spans="1:16" ht="12.75" hidden="1" customHeight="1" x14ac:dyDescent="0.2">
      <c r="A256" s="617" t="s">
        <v>545</v>
      </c>
      <c r="B256" s="615" t="s">
        <v>1269</v>
      </c>
      <c r="C256" s="614"/>
      <c r="D256" s="614"/>
      <c r="E256" s="614"/>
      <c r="F256" s="614"/>
      <c r="G256" s="616" t="s">
        <v>24</v>
      </c>
      <c r="H256" s="625">
        <v>0</v>
      </c>
      <c r="I256" s="618">
        <v>175.89</v>
      </c>
      <c r="J256" s="72">
        <v>175.89</v>
      </c>
      <c r="K256" s="15"/>
      <c r="L256" s="72">
        <v>175.89</v>
      </c>
      <c r="M256" s="15">
        <f t="shared" si="73"/>
        <v>0</v>
      </c>
      <c r="N256" s="15">
        <f t="shared" ref="N256" si="77">H256*I256</f>
        <v>0</v>
      </c>
      <c r="O256" s="25">
        <f>N256/N260</f>
        <v>0</v>
      </c>
    </row>
    <row r="257" spans="1:16" ht="12.75" hidden="1" customHeight="1" x14ac:dyDescent="0.2">
      <c r="A257" s="617" t="s">
        <v>545</v>
      </c>
      <c r="B257" s="615" t="s">
        <v>1271</v>
      </c>
      <c r="C257" s="614"/>
      <c r="D257" s="614"/>
      <c r="E257" s="614"/>
      <c r="F257" s="614"/>
      <c r="G257" s="616" t="s">
        <v>24</v>
      </c>
      <c r="H257" s="625">
        <v>0</v>
      </c>
      <c r="I257" s="618">
        <v>198.72</v>
      </c>
      <c r="J257" s="72">
        <v>198.72</v>
      </c>
      <c r="K257" s="15"/>
      <c r="L257" s="72">
        <v>198.72</v>
      </c>
      <c r="M257" s="15">
        <f t="shared" si="73"/>
        <v>0</v>
      </c>
      <c r="N257" s="15">
        <f t="shared" ref="N257" si="78">H257*I257</f>
        <v>0</v>
      </c>
      <c r="O257" s="25">
        <f>N257/N260</f>
        <v>0</v>
      </c>
    </row>
    <row r="258" spans="1:16" ht="12.75" hidden="1" customHeight="1" x14ac:dyDescent="0.2">
      <c r="A258" s="623" t="s">
        <v>545</v>
      </c>
      <c r="B258" s="622" t="s">
        <v>1270</v>
      </c>
      <c r="C258" s="611"/>
      <c r="D258" s="611"/>
      <c r="E258" s="611"/>
      <c r="F258" s="611"/>
      <c r="G258" s="624" t="s">
        <v>24</v>
      </c>
      <c r="H258" s="625">
        <v>0</v>
      </c>
      <c r="I258" s="621">
        <v>705.91</v>
      </c>
      <c r="J258" s="489">
        <v>705.91</v>
      </c>
      <c r="K258" s="502"/>
      <c r="L258" s="489">
        <v>705.91</v>
      </c>
      <c r="M258" s="502">
        <f t="shared" si="73"/>
        <v>0</v>
      </c>
      <c r="N258" s="502">
        <f t="shared" ref="N258" si="79">H258*I258</f>
        <v>0</v>
      </c>
      <c r="O258" s="601">
        <f>N258/N260</f>
        <v>0</v>
      </c>
      <c r="P258" s="61" t="s">
        <v>1335</v>
      </c>
    </row>
    <row r="259" spans="1:16" ht="12.75" customHeight="1" x14ac:dyDescent="0.2">
      <c r="B259" s="130"/>
      <c r="G259" s="52"/>
      <c r="H259" s="501"/>
      <c r="I259" s="52"/>
      <c r="J259" s="52"/>
      <c r="K259" s="52"/>
      <c r="L259" s="52"/>
      <c r="M259" s="52"/>
      <c r="N259" s="15"/>
      <c r="O259" s="25"/>
    </row>
    <row r="260" spans="1:16" ht="12.75" customHeight="1" x14ac:dyDescent="0.2">
      <c r="B260" s="130" t="s">
        <v>18</v>
      </c>
      <c r="C260" s="131"/>
      <c r="D260" s="131"/>
      <c r="E260" s="131"/>
      <c r="F260" s="131"/>
      <c r="G260" s="53"/>
      <c r="H260" s="503"/>
      <c r="I260" s="53"/>
      <c r="J260" s="53"/>
      <c r="K260" s="53"/>
      <c r="L260" s="53"/>
      <c r="M260" s="53"/>
      <c r="N260" s="15">
        <f>SUM(N249:N258)</f>
        <v>188.90199999999999</v>
      </c>
      <c r="O260" s="25">
        <f>N260/N262</f>
        <v>1</v>
      </c>
    </row>
    <row r="261" spans="1:16" ht="12.75" customHeight="1" x14ac:dyDescent="0.2">
      <c r="B261" s="130"/>
      <c r="G261" s="52"/>
      <c r="H261" s="19"/>
      <c r="I261" s="52"/>
      <c r="J261" s="52"/>
      <c r="K261" s="52"/>
      <c r="L261" s="52"/>
      <c r="M261" s="52"/>
      <c r="N261" s="15"/>
      <c r="O261" s="25"/>
    </row>
    <row r="262" spans="1:16" ht="12.75" customHeight="1" x14ac:dyDescent="0.2">
      <c r="A262" s="132"/>
      <c r="B262" s="133" t="s">
        <v>20</v>
      </c>
      <c r="C262" s="134"/>
      <c r="D262" s="134"/>
      <c r="E262" s="134"/>
      <c r="F262" s="134"/>
      <c r="G262" s="78"/>
      <c r="H262" s="455"/>
      <c r="I262" s="78"/>
      <c r="J262" s="78"/>
      <c r="K262" s="78"/>
      <c r="L262" s="78"/>
      <c r="M262" s="78"/>
      <c r="N262" s="83">
        <f>N260</f>
        <v>188.90199999999999</v>
      </c>
      <c r="O262" s="77">
        <f>N262/N264</f>
        <v>7.9426396959510655E-3</v>
      </c>
    </row>
    <row r="263" spans="1:16" ht="12.75" customHeight="1" x14ac:dyDescent="0.2">
      <c r="A263" s="98"/>
      <c r="B263" s="88"/>
      <c r="C263"/>
      <c r="D263"/>
      <c r="E263"/>
      <c r="F263"/>
      <c r="G263" s="97"/>
      <c r="H263" s="15"/>
      <c r="I263" s="15"/>
      <c r="J263" s="15"/>
      <c r="K263" s="15"/>
      <c r="L263" s="15"/>
      <c r="M263" s="15"/>
      <c r="N263" s="15"/>
      <c r="O263" s="25"/>
    </row>
    <row r="264" spans="1:16" ht="12.75" customHeight="1" x14ac:dyDescent="0.2">
      <c r="A264" s="146"/>
      <c r="B264" s="147" t="s">
        <v>30</v>
      </c>
      <c r="C264" s="146"/>
      <c r="D264" s="146"/>
      <c r="E264" s="146"/>
      <c r="F264" s="146"/>
      <c r="G264" s="146"/>
      <c r="H264" s="148"/>
      <c r="I264" s="146"/>
      <c r="J264" s="146"/>
      <c r="K264" s="207"/>
      <c r="L264" s="207"/>
      <c r="M264" s="207">
        <f>SUM(M13:M261)</f>
        <v>23783.276999999995</v>
      </c>
      <c r="N264" s="483">
        <f>N262+N246+N220+N195+N173+N64</f>
        <v>23783.277000000002</v>
      </c>
      <c r="O264" s="146"/>
    </row>
    <row r="265" spans="1:16" ht="12.75" customHeight="1" x14ac:dyDescent="0.2">
      <c r="A265" s="98"/>
      <c r="B265" s="88"/>
      <c r="G265" s="97"/>
      <c r="H265" s="15"/>
      <c r="I265" s="15"/>
      <c r="J265" s="15"/>
      <c r="K265" s="15"/>
      <c r="L265" s="15"/>
      <c r="M265" s="15"/>
      <c r="N265" s="15"/>
      <c r="O265" s="25"/>
    </row>
    <row r="266" spans="1:16" ht="12.75" customHeight="1" x14ac:dyDescent="0.2">
      <c r="A266" s="146"/>
      <c r="B266" s="147" t="s">
        <v>265</v>
      </c>
      <c r="C266" s="146"/>
      <c r="D266" s="146"/>
      <c r="E266" s="146"/>
      <c r="F266" s="146"/>
      <c r="G266" s="146"/>
      <c r="H266" s="148"/>
      <c r="I266" s="148"/>
      <c r="J266" s="148"/>
      <c r="K266" s="274"/>
      <c r="L266" s="274"/>
      <c r="M266" s="275">
        <f>M264+(M264*O7)</f>
        <v>27997.673684399993</v>
      </c>
      <c r="N266" s="276">
        <f>K266+M266</f>
        <v>27997.673684399993</v>
      </c>
      <c r="O266" s="29">
        <f>N266/RESUMO!H95</f>
        <v>3.8662893402248168E-3</v>
      </c>
    </row>
  </sheetData>
  <mergeCells count="3">
    <mergeCell ref="A2:O2"/>
    <mergeCell ref="N4:O4"/>
    <mergeCell ref="A5:B6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6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legacyDrawingHF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>
    <tabColor theme="6" tint="0.39997558519241921"/>
    <pageSetUpPr fitToPage="1"/>
  </sheetPr>
  <dimension ref="A1:R80"/>
  <sheetViews>
    <sheetView view="pageBreakPreview" zoomScale="85" zoomScaleNormal="85" zoomScaleSheetLayoutView="85" workbookViewId="0">
      <selection activeCell="R12" sqref="R12"/>
    </sheetView>
  </sheetViews>
  <sheetFormatPr defaultColWidth="11.42578125" defaultRowHeight="12.75" customHeight="1" x14ac:dyDescent="0.2"/>
  <cols>
    <col min="1" max="5" width="11.42578125" style="51" customWidth="1"/>
    <col min="6" max="6" width="28.7109375" style="51" customWidth="1"/>
    <col min="7" max="9" width="11.42578125" style="51" customWidth="1"/>
    <col min="10" max="10" width="8.85546875" style="51" hidden="1" customWidth="1"/>
    <col min="11" max="11" width="14.28515625" style="51" customWidth="1"/>
    <col min="12" max="12" width="8.85546875" style="51" hidden="1" customWidth="1"/>
    <col min="13" max="13" width="14.28515625" style="51" customWidth="1"/>
    <col min="14" max="14" width="17.140625" style="51" customWidth="1"/>
    <col min="15" max="15" width="11.42578125" style="51" customWidth="1"/>
    <col min="16" max="16" width="6.140625" style="51" bestFit="1" customWidth="1"/>
    <col min="17" max="16384" width="11.42578125" style="51"/>
  </cols>
  <sheetData>
    <row r="1" spans="1:15" ht="8.25" customHeight="1" x14ac:dyDescent="0.2"/>
    <row r="2" spans="1:15" ht="12.75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5" ht="8.2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</row>
    <row r="4" spans="1:15" ht="12.75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5" ht="12.75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5" ht="12.75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5" ht="12.75" customHeight="1" x14ac:dyDescent="0.2">
      <c r="A7" s="253"/>
      <c r="B7" s="253"/>
      <c r="C7" s="260" t="s">
        <v>6</v>
      </c>
      <c r="D7" s="263" t="str">
        <f>RESUMO!A74</f>
        <v>U.C. : 14</v>
      </c>
      <c r="E7" s="258"/>
      <c r="F7" s="258"/>
      <c r="G7" s="260" t="s">
        <v>9</v>
      </c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5" ht="12.75" customHeight="1" thickBot="1" x14ac:dyDescent="0.25">
      <c r="A8" s="124"/>
      <c r="B8" s="125"/>
      <c r="C8" s="266" t="s">
        <v>8</v>
      </c>
      <c r="D8" s="267" t="str">
        <f>RESUMO!B74</f>
        <v>ESTAÇÃO ELEVATÓRIA DE ESGOTO - EEE01</v>
      </c>
      <c r="E8" s="268"/>
      <c r="F8" s="268"/>
      <c r="G8" s="266"/>
      <c r="H8" s="123"/>
      <c r="I8" s="278"/>
      <c r="J8" s="278"/>
      <c r="K8" s="278"/>
      <c r="L8" s="278"/>
      <c r="M8" s="278"/>
      <c r="N8" s="271"/>
      <c r="O8" s="268"/>
    </row>
    <row r="9" spans="1:15" ht="12.75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5" ht="8.25" customHeight="1" x14ac:dyDescent="0.2"/>
    <row r="11" spans="1:15" ht="12.75" customHeight="1" x14ac:dyDescent="0.2">
      <c r="A11" s="93">
        <f>RESUMO!A79</f>
        <v>5</v>
      </c>
      <c r="B11" s="93" t="str">
        <f>RESUMO!B79</f>
        <v>EQUIPAMENTOS - SERVIÇOS</v>
      </c>
      <c r="H11" s="491"/>
    </row>
    <row r="12" spans="1:15" ht="12.75" customHeight="1" x14ac:dyDescent="0.2">
      <c r="A12" s="98" t="s">
        <v>426</v>
      </c>
      <c r="B12" s="88" t="s">
        <v>427</v>
      </c>
      <c r="G12" s="52"/>
      <c r="H12" s="501"/>
      <c r="I12" s="52"/>
      <c r="J12" s="52"/>
      <c r="K12" s="52"/>
      <c r="L12" s="52"/>
      <c r="M12" s="52"/>
      <c r="N12" s="52"/>
      <c r="O12" s="19"/>
    </row>
    <row r="13" spans="1:15" ht="12.75" customHeight="1" x14ac:dyDescent="0.2">
      <c r="A13" s="98" t="s">
        <v>837</v>
      </c>
      <c r="B13" s="88" t="s">
        <v>838</v>
      </c>
      <c r="G13" s="52"/>
      <c r="H13" s="501"/>
      <c r="I13" s="52"/>
      <c r="J13" s="52"/>
      <c r="K13" s="52"/>
      <c r="L13" s="52"/>
      <c r="M13" s="52"/>
      <c r="N13" s="52"/>
      <c r="O13" s="19"/>
    </row>
    <row r="14" spans="1:15" ht="12.75" hidden="1" customHeight="1" x14ac:dyDescent="0.2">
      <c r="A14" s="98" t="s">
        <v>1272</v>
      </c>
      <c r="B14" s="88" t="s">
        <v>1273</v>
      </c>
      <c r="G14" s="97" t="s">
        <v>24</v>
      </c>
      <c r="H14" s="502">
        <v>0</v>
      </c>
      <c r="I14" s="72">
        <f>VLOOKUP(A14,'[1]TAB OGU JUN18'!$A:$G,6,"falso")</f>
        <v>194.16</v>
      </c>
      <c r="J14" s="72">
        <f>VLOOKUP(A14,'[1]TAB OGU JUN18'!$A:$G,4,"falso")</f>
        <v>194.16</v>
      </c>
      <c r="K14" s="15">
        <f>H14*J14</f>
        <v>0</v>
      </c>
      <c r="L14" s="72">
        <f>VLOOKUP(A14,'[1]TAB OGU JUN18'!$A:$G,5,"falso")</f>
        <v>0</v>
      </c>
      <c r="M14" s="15"/>
      <c r="N14" s="15">
        <f>H14*I14</f>
        <v>0</v>
      </c>
      <c r="O14" s="25">
        <f>N14/N17</f>
        <v>0</v>
      </c>
    </row>
    <row r="15" spans="1:15" ht="12.75" customHeight="1" x14ac:dyDescent="0.2">
      <c r="A15" s="98" t="s">
        <v>1011</v>
      </c>
      <c r="B15" s="88" t="s">
        <v>1010</v>
      </c>
      <c r="G15" s="97" t="s">
        <v>24</v>
      </c>
      <c r="H15" s="502">
        <v>2</v>
      </c>
      <c r="I15" s="72">
        <f>VLOOKUP(A15,'[1]TAB OGU JUN18'!$A:$G,6,"falso")</f>
        <v>310.64</v>
      </c>
      <c r="J15" s="72">
        <f>VLOOKUP(A15,'[1]TAB OGU JUN18'!$A:$G,4,"falso")</f>
        <v>310.64</v>
      </c>
      <c r="K15" s="15">
        <f>H15*J15</f>
        <v>621.28</v>
      </c>
      <c r="L15" s="72">
        <f>VLOOKUP(A15,'[1]TAB OGU JUN18'!$A:$G,5,"falso")</f>
        <v>0</v>
      </c>
      <c r="M15" s="15"/>
      <c r="N15" s="15">
        <f>H15*I15</f>
        <v>621.28</v>
      </c>
      <c r="O15" s="25">
        <f>N15/N17</f>
        <v>1</v>
      </c>
    </row>
    <row r="16" spans="1:15" ht="12.75" customHeight="1" x14ac:dyDescent="0.2">
      <c r="G16" s="52"/>
      <c r="H16" s="501"/>
      <c r="I16" s="52"/>
      <c r="J16" s="52"/>
      <c r="K16" s="52"/>
      <c r="L16" s="52"/>
      <c r="M16" s="52"/>
      <c r="N16" s="52"/>
      <c r="O16" s="19"/>
    </row>
    <row r="17" spans="1:18" ht="12.75" customHeight="1" x14ac:dyDescent="0.2">
      <c r="B17" s="130" t="s">
        <v>18</v>
      </c>
      <c r="C17" s="131"/>
      <c r="D17" s="131"/>
      <c r="E17" s="131"/>
      <c r="F17" s="131"/>
      <c r="G17" s="53"/>
      <c r="H17" s="503"/>
      <c r="I17" s="53"/>
      <c r="J17" s="53"/>
      <c r="K17" s="53"/>
      <c r="L17" s="53"/>
      <c r="M17" s="53"/>
      <c r="N17" s="15">
        <f>SUM(N14:N15)</f>
        <v>621.28</v>
      </c>
      <c r="O17" s="25">
        <f>N17/$N$46</f>
        <v>0.17943778394567883</v>
      </c>
    </row>
    <row r="18" spans="1:18" ht="12.75" customHeight="1" x14ac:dyDescent="0.2">
      <c r="B18" s="130"/>
      <c r="G18" s="52"/>
      <c r="H18" s="501"/>
      <c r="I18" s="52"/>
      <c r="J18" s="52"/>
      <c r="K18" s="52"/>
      <c r="L18" s="52"/>
      <c r="M18" s="52"/>
      <c r="N18" s="15"/>
      <c r="O18" s="25"/>
    </row>
    <row r="19" spans="1:18" ht="12.75" customHeight="1" x14ac:dyDescent="0.2">
      <c r="A19" s="98" t="s">
        <v>839</v>
      </c>
      <c r="B19" s="88" t="s">
        <v>433</v>
      </c>
      <c r="G19" s="52"/>
      <c r="H19" s="501"/>
      <c r="I19" s="52"/>
      <c r="J19" s="52"/>
      <c r="K19" s="52"/>
      <c r="L19" s="52"/>
      <c r="M19" s="52"/>
      <c r="N19" s="52"/>
      <c r="O19" s="19"/>
    </row>
    <row r="20" spans="1:18" ht="12.75" customHeight="1" x14ac:dyDescent="0.2">
      <c r="A20" s="98" t="s">
        <v>840</v>
      </c>
      <c r="B20" s="88" t="s">
        <v>841</v>
      </c>
      <c r="G20" s="97" t="s">
        <v>24</v>
      </c>
      <c r="H20" s="502">
        <v>1</v>
      </c>
      <c r="I20" s="72">
        <f>VLOOKUP(A20,'[1]TAB OGU JUN18'!$A:$G,6,"falso")</f>
        <v>135.88999999999999</v>
      </c>
      <c r="J20" s="72">
        <f>VLOOKUP(A20,'[1]TAB OGU JUN18'!$A:$G,4,"falso")</f>
        <v>135.88999999999999</v>
      </c>
      <c r="K20" s="15">
        <f>H20*J20</f>
        <v>135.88999999999999</v>
      </c>
      <c r="L20" s="72">
        <f>VLOOKUP(A20,'[1]TAB OGU JUN18'!$A:$G,5,"falso")</f>
        <v>0</v>
      </c>
      <c r="M20" s="15"/>
      <c r="N20" s="15">
        <f>H20*I20</f>
        <v>135.88999999999999</v>
      </c>
      <c r="O20" s="25">
        <f>N20/N24</f>
        <v>0.34325191341029071</v>
      </c>
    </row>
    <row r="21" spans="1:18" ht="12.75" hidden="1" customHeight="1" x14ac:dyDescent="0.2">
      <c r="A21" s="98" t="s">
        <v>434</v>
      </c>
      <c r="B21" s="88" t="s">
        <v>1274</v>
      </c>
      <c r="G21" s="97" t="s">
        <v>24</v>
      </c>
      <c r="H21" s="502">
        <v>0</v>
      </c>
      <c r="I21" s="72">
        <f>VLOOKUP(A21,'[1]TAB OGU JUN18'!$A:$G,6,"falso")</f>
        <v>599.84</v>
      </c>
      <c r="J21" s="72">
        <f>VLOOKUP(A21,'[1]TAB OGU JUN18'!$A:$G,4,"falso")</f>
        <v>599.84</v>
      </c>
      <c r="K21" s="15">
        <f>H21*J21</f>
        <v>0</v>
      </c>
      <c r="L21" s="72">
        <f>VLOOKUP(A21,'[1]TAB OGU JUN18'!$A:$G,5,"falso")</f>
        <v>0</v>
      </c>
      <c r="M21" s="15"/>
      <c r="N21" s="15">
        <f>H21*I21</f>
        <v>0</v>
      </c>
      <c r="O21" s="25">
        <f>N21/N24</f>
        <v>0</v>
      </c>
    </row>
    <row r="22" spans="1:18" ht="12.75" customHeight="1" x14ac:dyDescent="0.2">
      <c r="A22" s="98" t="s">
        <v>545</v>
      </c>
      <c r="B22" s="88" t="s">
        <v>1012</v>
      </c>
      <c r="G22" s="97" t="s">
        <v>24</v>
      </c>
      <c r="H22" s="502">
        <v>1</v>
      </c>
      <c r="I22" s="72">
        <v>260</v>
      </c>
      <c r="J22" s="72">
        <v>260</v>
      </c>
      <c r="K22" s="15">
        <f>H22*J22</f>
        <v>260</v>
      </c>
      <c r="L22" s="72" t="str">
        <f>VLOOKUP(A22,'[1]TAB OGU JUN18'!$A:$G,5,"falso")</f>
        <v>Materiais</v>
      </c>
      <c r="M22" s="15"/>
      <c r="N22" s="15">
        <f>H22*I22</f>
        <v>260</v>
      </c>
      <c r="O22" s="25">
        <f>N22/N24</f>
        <v>0.65674808658970929</v>
      </c>
      <c r="R22" s="61" t="s">
        <v>1409</v>
      </c>
    </row>
    <row r="23" spans="1:18" ht="12.75" customHeight="1" x14ac:dyDescent="0.2">
      <c r="A23" s="273"/>
      <c r="B23" s="88"/>
      <c r="G23" s="97"/>
      <c r="H23" s="502"/>
      <c r="I23" s="15"/>
      <c r="J23" s="15"/>
      <c r="K23" s="15"/>
      <c r="L23" s="15"/>
      <c r="M23" s="15"/>
      <c r="N23" s="15"/>
      <c r="O23" s="25"/>
    </row>
    <row r="24" spans="1:18" ht="12.75" customHeight="1" x14ac:dyDescent="0.2">
      <c r="B24" s="130" t="s">
        <v>18</v>
      </c>
      <c r="C24" s="131"/>
      <c r="D24" s="131"/>
      <c r="E24" s="131"/>
      <c r="F24" s="131"/>
      <c r="G24" s="53"/>
      <c r="H24" s="503"/>
      <c r="I24" s="53"/>
      <c r="J24" s="53"/>
      <c r="K24" s="53"/>
      <c r="L24" s="53"/>
      <c r="M24" s="53"/>
      <c r="N24" s="15">
        <f>SUM(N20:N22)</f>
        <v>395.89</v>
      </c>
      <c r="O24" s="25">
        <f>N24/$N$46</f>
        <v>0.11434075503195788</v>
      </c>
    </row>
    <row r="25" spans="1:18" ht="12.75" customHeight="1" x14ac:dyDescent="0.2">
      <c r="B25" s="130"/>
      <c r="G25" s="52"/>
      <c r="H25" s="501"/>
      <c r="I25" s="52"/>
      <c r="J25" s="52"/>
      <c r="K25" s="52"/>
      <c r="L25" s="52"/>
      <c r="M25" s="52"/>
      <c r="N25" s="15"/>
      <c r="O25" s="25"/>
    </row>
    <row r="26" spans="1:18" ht="12.75" customHeight="1" x14ac:dyDescent="0.2">
      <c r="A26" s="98">
        <v>1410</v>
      </c>
      <c r="B26" s="88" t="s">
        <v>435</v>
      </c>
      <c r="G26" s="52"/>
      <c r="H26" s="501"/>
      <c r="I26" s="52"/>
      <c r="J26" s="52"/>
      <c r="K26" s="52"/>
      <c r="L26" s="52"/>
      <c r="M26" s="52"/>
      <c r="N26" s="52"/>
      <c r="O26" s="19"/>
    </row>
    <row r="27" spans="1:18" ht="12.75" customHeight="1" x14ac:dyDescent="0.2">
      <c r="A27" s="98" t="s">
        <v>437</v>
      </c>
      <c r="B27" s="88" t="s">
        <v>635</v>
      </c>
      <c r="G27" s="97" t="s">
        <v>24</v>
      </c>
      <c r="H27" s="502">
        <v>3</v>
      </c>
      <c r="I27" s="72">
        <f>VLOOKUP(A27,'[1]TAB OGU JUN18'!$A:$G,6,"falso")</f>
        <v>215.36</v>
      </c>
      <c r="J27" s="72">
        <f>VLOOKUP(A27,'[1]TAB OGU JUN18'!$A:$G,4,"falso")</f>
        <v>215.36</v>
      </c>
      <c r="K27" s="15">
        <f>H27*J27</f>
        <v>646.08000000000004</v>
      </c>
      <c r="L27" s="72">
        <f>VLOOKUP(A27,'[1]TAB OGU JUN18'!$A:$G,5,"falso")</f>
        <v>0</v>
      </c>
      <c r="M27" s="15"/>
      <c r="N27" s="15">
        <f>H27*I27</f>
        <v>646.08000000000004</v>
      </c>
      <c r="O27" s="25">
        <f>N27/N29</f>
        <v>1</v>
      </c>
    </row>
    <row r="28" spans="1:18" ht="12.75" customHeight="1" x14ac:dyDescent="0.2">
      <c r="A28" s="273"/>
      <c r="B28" s="88"/>
      <c r="G28" s="97"/>
      <c r="H28" s="502"/>
      <c r="I28" s="15"/>
      <c r="J28" s="15"/>
      <c r="K28" s="15"/>
      <c r="L28" s="15"/>
      <c r="M28" s="15"/>
      <c r="N28" s="15"/>
      <c r="O28" s="25"/>
    </row>
    <row r="29" spans="1:18" ht="12.75" customHeight="1" x14ac:dyDescent="0.2">
      <c r="B29" s="130" t="s">
        <v>18</v>
      </c>
      <c r="C29" s="131"/>
      <c r="D29" s="131"/>
      <c r="E29" s="131"/>
      <c r="F29" s="131"/>
      <c r="G29" s="53"/>
      <c r="H29" s="503"/>
      <c r="I29" s="53"/>
      <c r="J29" s="53"/>
      <c r="K29" s="53"/>
      <c r="L29" s="53"/>
      <c r="M29" s="53"/>
      <c r="N29" s="15">
        <f>N27</f>
        <v>646.08000000000004</v>
      </c>
      <c r="O29" s="25">
        <f>N29/$N$46</f>
        <v>0.18660050774469514</v>
      </c>
    </row>
    <row r="30" spans="1:18" ht="12.75" hidden="1" customHeight="1" x14ac:dyDescent="0.2">
      <c r="A30" s="130"/>
      <c r="G30" s="52"/>
      <c r="H30" s="501"/>
      <c r="I30" s="52"/>
      <c r="J30" s="52"/>
      <c r="K30" s="52"/>
      <c r="L30" s="52"/>
      <c r="M30" s="52"/>
      <c r="N30" s="15"/>
      <c r="O30" s="25"/>
    </row>
    <row r="31" spans="1:18" ht="12.75" hidden="1" customHeight="1" x14ac:dyDescent="0.2">
      <c r="A31" s="98">
        <v>1411</v>
      </c>
      <c r="B31" s="88" t="s">
        <v>440</v>
      </c>
      <c r="G31" s="52"/>
      <c r="H31" s="501"/>
      <c r="I31" s="52"/>
      <c r="J31" s="52"/>
      <c r="K31" s="52"/>
      <c r="L31" s="52"/>
      <c r="M31" s="52"/>
      <c r="N31" s="52"/>
      <c r="O31" s="19"/>
    </row>
    <row r="32" spans="1:18" ht="12.75" hidden="1" customHeight="1" x14ac:dyDescent="0.2">
      <c r="A32" s="98" t="s">
        <v>441</v>
      </c>
      <c r="B32" s="88" t="s">
        <v>442</v>
      </c>
      <c r="G32" s="97" t="s">
        <v>24</v>
      </c>
      <c r="H32" s="502">
        <v>0</v>
      </c>
      <c r="I32" s="72">
        <f>VLOOKUP(A32,'[1]TAB OGU JUN18'!$A:$G,6,"falso")</f>
        <v>793.62</v>
      </c>
      <c r="J32" s="72">
        <f>VLOOKUP(A32,'[1]TAB OGU JUN18'!$A:$G,4,"falso")</f>
        <v>793.62</v>
      </c>
      <c r="K32" s="15">
        <f>H32*J32</f>
        <v>0</v>
      </c>
      <c r="L32" s="72">
        <f>VLOOKUP(A32,'[1]TAB OGU JUN18'!$A:$G,5,"falso")</f>
        <v>0</v>
      </c>
      <c r="M32" s="15"/>
      <c r="N32" s="15">
        <f>H32*I32</f>
        <v>0</v>
      </c>
      <c r="O32" s="25" t="e">
        <f>N32/N34</f>
        <v>#DIV/0!</v>
      </c>
    </row>
    <row r="33" spans="1:15" ht="12.75" hidden="1" customHeight="1" x14ac:dyDescent="0.2">
      <c r="A33" s="273"/>
      <c r="B33" s="88"/>
      <c r="G33" s="97"/>
      <c r="H33" s="502"/>
      <c r="I33" s="15"/>
      <c r="J33" s="15"/>
      <c r="K33" s="15"/>
      <c r="L33" s="15"/>
      <c r="M33" s="15"/>
      <c r="N33" s="15"/>
      <c r="O33" s="25"/>
    </row>
    <row r="34" spans="1:15" ht="12.75" hidden="1" customHeight="1" x14ac:dyDescent="0.2">
      <c r="B34" s="130" t="s">
        <v>18</v>
      </c>
      <c r="C34" s="131"/>
      <c r="D34" s="131"/>
      <c r="E34" s="131"/>
      <c r="F34" s="131"/>
      <c r="G34" s="53"/>
      <c r="H34" s="503"/>
      <c r="I34" s="53"/>
      <c r="J34" s="53"/>
      <c r="K34" s="53"/>
      <c r="L34" s="53"/>
      <c r="M34" s="53"/>
      <c r="N34" s="15">
        <f>N32</f>
        <v>0</v>
      </c>
      <c r="O34" s="25">
        <f>N34/$N$46</f>
        <v>0</v>
      </c>
    </row>
    <row r="35" spans="1:15" ht="12.75" customHeight="1" x14ac:dyDescent="0.2">
      <c r="A35" s="130"/>
      <c r="G35" s="52"/>
      <c r="H35" s="501"/>
      <c r="I35" s="52"/>
      <c r="J35" s="52"/>
      <c r="K35" s="52"/>
      <c r="L35" s="52"/>
      <c r="M35" s="52"/>
      <c r="N35" s="15"/>
      <c r="O35" s="25"/>
    </row>
    <row r="36" spans="1:15" ht="12.75" customHeight="1" x14ac:dyDescent="0.2">
      <c r="A36" s="98">
        <v>1413</v>
      </c>
      <c r="B36" s="88" t="s">
        <v>842</v>
      </c>
      <c r="G36" s="52"/>
      <c r="H36" s="501"/>
      <c r="I36" s="52"/>
      <c r="J36" s="52"/>
      <c r="K36" s="52"/>
      <c r="L36" s="52"/>
      <c r="M36" s="52"/>
      <c r="N36" s="52"/>
      <c r="O36" s="19"/>
    </row>
    <row r="37" spans="1:15" ht="12.75" customHeight="1" x14ac:dyDescent="0.2">
      <c r="A37" s="98" t="s">
        <v>843</v>
      </c>
      <c r="B37" s="88" t="s">
        <v>844</v>
      </c>
      <c r="G37" s="97" t="s">
        <v>24</v>
      </c>
      <c r="H37" s="502">
        <v>1</v>
      </c>
      <c r="I37" s="72">
        <f>VLOOKUP(A37,'[1]TAB OGU JUN18'!$A:$G,6,"falso")</f>
        <v>1499.6</v>
      </c>
      <c r="J37" s="72">
        <f>VLOOKUP(A37,'[1]TAB OGU JUN18'!$A:$G,4,"falso")</f>
        <v>1499.6</v>
      </c>
      <c r="K37" s="15">
        <f>H37*J37</f>
        <v>1499.6</v>
      </c>
      <c r="L37" s="72">
        <f>VLOOKUP(A37,'[1]TAB OGU JUN18'!$A:$G,5,"falso")</f>
        <v>0</v>
      </c>
      <c r="M37" s="15"/>
      <c r="N37" s="15">
        <f>H37*I37</f>
        <v>1499.6</v>
      </c>
      <c r="O37" s="25">
        <f>N37/N39</f>
        <v>1</v>
      </c>
    </row>
    <row r="38" spans="1:15" ht="12.75" customHeight="1" x14ac:dyDescent="0.2">
      <c r="B38" s="130"/>
      <c r="G38" s="52"/>
      <c r="H38" s="501"/>
      <c r="I38" s="52"/>
      <c r="J38" s="52"/>
      <c r="K38" s="52"/>
      <c r="L38" s="52"/>
      <c r="M38" s="52"/>
      <c r="N38" s="15"/>
      <c r="O38" s="25"/>
    </row>
    <row r="39" spans="1:15" ht="12.75" customHeight="1" x14ac:dyDescent="0.2">
      <c r="B39" s="130" t="s">
        <v>18</v>
      </c>
      <c r="C39" s="131"/>
      <c r="D39" s="131"/>
      <c r="E39" s="131"/>
      <c r="F39" s="131"/>
      <c r="G39" s="53"/>
      <c r="H39" s="503"/>
      <c r="I39" s="53"/>
      <c r="J39" s="53"/>
      <c r="K39" s="53"/>
      <c r="L39" s="53"/>
      <c r="M39" s="53"/>
      <c r="N39" s="15">
        <f>N37</f>
        <v>1499.6</v>
      </c>
      <c r="O39" s="25">
        <f>N39/$N$46</f>
        <v>0.43311373423406507</v>
      </c>
    </row>
    <row r="40" spans="1:15" ht="12.75" customHeight="1" x14ac:dyDescent="0.2">
      <c r="A40" s="130"/>
      <c r="G40" s="52"/>
      <c r="H40" s="501"/>
      <c r="I40" s="52"/>
      <c r="J40" s="52"/>
      <c r="K40" s="52"/>
      <c r="L40" s="52"/>
      <c r="M40" s="52"/>
      <c r="N40" s="15"/>
      <c r="O40" s="25"/>
    </row>
    <row r="41" spans="1:15" ht="12.75" customHeight="1" x14ac:dyDescent="0.2">
      <c r="A41" s="98">
        <v>1422</v>
      </c>
      <c r="B41" s="88" t="s">
        <v>444</v>
      </c>
      <c r="G41" s="52"/>
      <c r="H41" s="501"/>
      <c r="I41" s="52"/>
      <c r="J41" s="52"/>
      <c r="K41" s="52"/>
      <c r="L41" s="52"/>
      <c r="M41" s="52"/>
      <c r="N41" s="52"/>
      <c r="O41" s="19"/>
    </row>
    <row r="42" spans="1:15" ht="12.75" customHeight="1" x14ac:dyDescent="0.2">
      <c r="A42" s="98" t="s">
        <v>445</v>
      </c>
      <c r="B42" s="88" t="s">
        <v>446</v>
      </c>
      <c r="G42" s="97" t="s">
        <v>24</v>
      </c>
      <c r="H42" s="502">
        <v>2</v>
      </c>
      <c r="I42" s="72">
        <f>VLOOKUP(A42,'[1]TAB OGU JUN18'!$A:$G,6,"falso")</f>
        <v>149.76</v>
      </c>
      <c r="J42" s="72">
        <f>VLOOKUP(A42,'[1]TAB OGU JUN18'!$A:$G,4,"falso")</f>
        <v>149.76</v>
      </c>
      <c r="K42" s="15">
        <f>H42*J42</f>
        <v>299.52</v>
      </c>
      <c r="L42" s="72">
        <f>VLOOKUP(A42,'[1]TAB OGU JUN18'!$A:$G,5,"falso")</f>
        <v>0</v>
      </c>
      <c r="M42" s="15"/>
      <c r="N42" s="15">
        <f>H42*I42</f>
        <v>299.52</v>
      </c>
      <c r="O42" s="25">
        <f>N42/N44</f>
        <v>1</v>
      </c>
    </row>
    <row r="43" spans="1:15" ht="12.75" customHeight="1" x14ac:dyDescent="0.2">
      <c r="A43" s="273"/>
      <c r="B43" s="88"/>
      <c r="G43" s="97"/>
      <c r="H43" s="502"/>
      <c r="I43" s="15"/>
      <c r="J43" s="15"/>
      <c r="K43" s="15"/>
      <c r="L43" s="15"/>
      <c r="M43" s="15"/>
      <c r="N43" s="15"/>
      <c r="O43" s="25"/>
    </row>
    <row r="44" spans="1:15" ht="12.75" customHeight="1" x14ac:dyDescent="0.2">
      <c r="B44" s="130" t="s">
        <v>18</v>
      </c>
      <c r="C44" s="131"/>
      <c r="D44" s="131"/>
      <c r="E44" s="131"/>
      <c r="F44" s="131"/>
      <c r="G44" s="53"/>
      <c r="H44" s="503"/>
      <c r="I44" s="53"/>
      <c r="J44" s="53"/>
      <c r="K44" s="53"/>
      <c r="L44" s="53"/>
      <c r="M44" s="53"/>
      <c r="N44" s="15">
        <f>N42</f>
        <v>299.52</v>
      </c>
      <c r="O44" s="25">
        <f>N44/$N$46</f>
        <v>8.6507219043603076E-2</v>
      </c>
    </row>
    <row r="45" spans="1:15" ht="12.75" customHeight="1" x14ac:dyDescent="0.2">
      <c r="A45" s="130"/>
      <c r="G45" s="52"/>
      <c r="H45" s="501"/>
      <c r="I45" s="52"/>
      <c r="J45" s="52"/>
      <c r="K45" s="52"/>
      <c r="L45" s="52"/>
      <c r="M45" s="52"/>
      <c r="N45" s="15"/>
      <c r="O45" s="25"/>
    </row>
    <row r="46" spans="1:15" s="132" customFormat="1" ht="12.75" customHeight="1" x14ac:dyDescent="0.2">
      <c r="B46" s="133" t="s">
        <v>20</v>
      </c>
      <c r="C46" s="134"/>
      <c r="D46" s="134"/>
      <c r="E46" s="134"/>
      <c r="F46" s="134"/>
      <c r="G46" s="78"/>
      <c r="H46" s="504"/>
      <c r="I46" s="78"/>
      <c r="J46" s="78"/>
      <c r="K46" s="78"/>
      <c r="L46" s="78"/>
      <c r="M46" s="78"/>
      <c r="N46" s="462">
        <f>N17+N24+N29+N34+N39+N44</f>
        <v>3462.37</v>
      </c>
      <c r="O46" s="77">
        <f>N46/N66</f>
        <v>0.2815491373693591</v>
      </c>
    </row>
    <row r="47" spans="1:15" ht="12.75" customHeight="1" x14ac:dyDescent="0.2">
      <c r="G47" s="52"/>
      <c r="H47" s="501"/>
      <c r="I47" s="52"/>
      <c r="J47" s="52"/>
      <c r="K47" s="52"/>
      <c r="L47" s="52"/>
      <c r="M47" s="52"/>
      <c r="N47" s="52"/>
      <c r="O47" s="19"/>
    </row>
    <row r="48" spans="1:15" ht="12.75" customHeight="1" x14ac:dyDescent="0.2">
      <c r="A48" s="129" t="s">
        <v>169</v>
      </c>
      <c r="B48" s="88" t="s">
        <v>172</v>
      </c>
      <c r="H48" s="505"/>
      <c r="O48" s="61"/>
    </row>
    <row r="49" spans="1:15" ht="12.75" hidden="1" customHeight="1" x14ac:dyDescent="0.2">
      <c r="A49" s="129" t="s">
        <v>845</v>
      </c>
      <c r="B49" s="463" t="s">
        <v>846</v>
      </c>
      <c r="C49" s="463"/>
      <c r="D49" s="463"/>
      <c r="E49" s="463"/>
      <c r="F49" s="463"/>
      <c r="H49" s="505"/>
      <c r="O49" s="61"/>
    </row>
    <row r="50" spans="1:15" ht="12.75" hidden="1" customHeight="1" x14ac:dyDescent="0.2">
      <c r="A50" s="129" t="s">
        <v>847</v>
      </c>
      <c r="B50" s="88" t="s">
        <v>848</v>
      </c>
      <c r="G50" s="97" t="s">
        <v>17</v>
      </c>
      <c r="H50" s="502">
        <v>0</v>
      </c>
      <c r="I50" s="72">
        <f>VLOOKUP(A50,'[1]TAB OGU JUN18'!$A:$G,6,"falso")</f>
        <v>246.47</v>
      </c>
      <c r="J50" s="72">
        <f>VLOOKUP(A50,'[1]TAB OGU JUN18'!$A:$G,4,"falso")</f>
        <v>14.79</v>
      </c>
      <c r="K50" s="15">
        <f>H50*J50</f>
        <v>0</v>
      </c>
      <c r="L50" s="72">
        <f>VLOOKUP(A50,'[1]TAB OGU JUN18'!$A:$G,5,"falso")</f>
        <v>231.68</v>
      </c>
      <c r="M50" s="15">
        <f>H50*L50</f>
        <v>0</v>
      </c>
      <c r="N50" s="15">
        <f>H50*I50</f>
        <v>0</v>
      </c>
      <c r="O50" s="25" t="e">
        <f>N50/N52</f>
        <v>#DIV/0!</v>
      </c>
    </row>
    <row r="51" spans="1:15" ht="12.75" hidden="1" customHeight="1" x14ac:dyDescent="0.2">
      <c r="G51" s="52"/>
      <c r="H51" s="501"/>
      <c r="I51" s="52"/>
      <c r="J51" s="52"/>
      <c r="K51" s="52"/>
      <c r="L51" s="52"/>
      <c r="M51" s="52"/>
      <c r="N51" s="456"/>
      <c r="O51" s="25"/>
    </row>
    <row r="52" spans="1:15" ht="12.75" hidden="1" customHeight="1" x14ac:dyDescent="0.2">
      <c r="B52" s="130" t="s">
        <v>18</v>
      </c>
      <c r="C52" s="131"/>
      <c r="D52" s="131"/>
      <c r="E52" s="131"/>
      <c r="F52" s="131"/>
      <c r="G52" s="53"/>
      <c r="H52" s="503"/>
      <c r="I52" s="53"/>
      <c r="J52" s="53"/>
      <c r="K52" s="53"/>
      <c r="L52" s="53"/>
      <c r="M52" s="53"/>
      <c r="N52" s="15">
        <f>SUM(N50:N50)</f>
        <v>0</v>
      </c>
      <c r="O52" s="25">
        <f>N52/N64</f>
        <v>0</v>
      </c>
    </row>
    <row r="53" spans="1:15" ht="12.75" hidden="1" customHeight="1" x14ac:dyDescent="0.2">
      <c r="B53" s="130"/>
      <c r="G53" s="52"/>
      <c r="H53" s="501"/>
      <c r="I53" s="52"/>
      <c r="J53" s="52"/>
      <c r="K53" s="52"/>
      <c r="L53" s="52"/>
      <c r="M53" s="52"/>
      <c r="N53" s="15"/>
      <c r="O53" s="25"/>
    </row>
    <row r="54" spans="1:15" ht="12.75" hidden="1" customHeight="1" x14ac:dyDescent="0.2">
      <c r="A54" s="98" t="s">
        <v>849</v>
      </c>
      <c r="B54" s="88" t="s">
        <v>850</v>
      </c>
      <c r="G54" s="97"/>
      <c r="H54" s="502"/>
      <c r="I54" s="15"/>
      <c r="J54" s="15"/>
      <c r="K54" s="15"/>
      <c r="L54" s="15"/>
      <c r="M54" s="15"/>
      <c r="N54" s="15"/>
      <c r="O54" s="25"/>
    </row>
    <row r="55" spans="1:15" ht="12.75" hidden="1" customHeight="1" x14ac:dyDescent="0.2">
      <c r="A55" s="98" t="s">
        <v>851</v>
      </c>
      <c r="B55" s="88" t="s">
        <v>852</v>
      </c>
      <c r="G55" s="97" t="s">
        <v>17</v>
      </c>
      <c r="H55" s="502">
        <v>0</v>
      </c>
      <c r="I55" s="72">
        <f>VLOOKUP(A55,'[1]TAB OGU JUN18'!$A:$G,6,"falso")</f>
        <v>308.72000000000003</v>
      </c>
      <c r="J55" s="72">
        <f>VLOOKUP(A55,'[1]TAB OGU JUN18'!$A:$G,4,"falso")</f>
        <v>18.72</v>
      </c>
      <c r="K55" s="15">
        <f>H55*J55</f>
        <v>0</v>
      </c>
      <c r="L55" s="72">
        <f>VLOOKUP(A55,'[1]TAB OGU JUN18'!$A:$G,5,"falso")</f>
        <v>290</v>
      </c>
      <c r="M55" s="15">
        <f>H55*L55</f>
        <v>0</v>
      </c>
      <c r="N55" s="15">
        <f>H55*I55</f>
        <v>0</v>
      </c>
      <c r="O55" s="25" t="e">
        <f>N55/N57</f>
        <v>#DIV/0!</v>
      </c>
    </row>
    <row r="56" spans="1:15" ht="12.75" hidden="1" customHeight="1" x14ac:dyDescent="0.2">
      <c r="B56" s="130"/>
      <c r="G56" s="52"/>
      <c r="H56" s="501"/>
      <c r="I56" s="52"/>
      <c r="J56" s="52"/>
      <c r="K56" s="52"/>
      <c r="L56" s="52"/>
      <c r="M56" s="52"/>
      <c r="N56" s="15"/>
      <c r="O56" s="25"/>
    </row>
    <row r="57" spans="1:15" ht="12.75" hidden="1" customHeight="1" x14ac:dyDescent="0.2">
      <c r="B57" s="130" t="s">
        <v>18</v>
      </c>
      <c r="C57" s="131"/>
      <c r="D57" s="131"/>
      <c r="E57" s="131"/>
      <c r="F57" s="131"/>
      <c r="G57" s="53"/>
      <c r="H57" s="503"/>
      <c r="I57" s="53"/>
      <c r="J57" s="53"/>
      <c r="K57" s="53"/>
      <c r="L57" s="53"/>
      <c r="M57" s="53"/>
      <c r="N57" s="15">
        <f>N55</f>
        <v>0</v>
      </c>
      <c r="O57" s="25">
        <f>N57/N64</f>
        <v>0</v>
      </c>
    </row>
    <row r="58" spans="1:15" ht="12.75" hidden="1" customHeight="1" x14ac:dyDescent="0.2">
      <c r="B58" s="130"/>
      <c r="G58" s="52"/>
      <c r="H58" s="501"/>
      <c r="I58" s="52"/>
      <c r="J58" s="52"/>
      <c r="K58" s="52"/>
      <c r="L58" s="52"/>
      <c r="M58" s="52"/>
      <c r="N58" s="15"/>
      <c r="O58" s="25"/>
    </row>
    <row r="59" spans="1:15" ht="12.75" customHeight="1" x14ac:dyDescent="0.2">
      <c r="A59" s="98" t="s">
        <v>853</v>
      </c>
      <c r="B59" s="88" t="s">
        <v>466</v>
      </c>
      <c r="G59" s="97"/>
      <c r="H59" s="502"/>
      <c r="I59" s="15"/>
      <c r="J59" s="15"/>
      <c r="K59" s="15"/>
      <c r="L59" s="15"/>
      <c r="M59" s="15"/>
      <c r="N59" s="15"/>
      <c r="O59" s="25"/>
    </row>
    <row r="60" spans="1:15" ht="12.75" customHeight="1" x14ac:dyDescent="0.2">
      <c r="A60" s="98" t="s">
        <v>854</v>
      </c>
      <c r="B60" s="88" t="s">
        <v>855</v>
      </c>
      <c r="G60" s="97" t="s">
        <v>31</v>
      </c>
      <c r="H60" s="502">
        <v>4.59</v>
      </c>
      <c r="I60" s="72">
        <f>VLOOKUP(A60,'[1]TAB OGU JUN18'!$A:$G,6,"falso")</f>
        <v>1924.88</v>
      </c>
      <c r="J60" s="72">
        <f>VLOOKUP(A60,'[1]TAB OGU JUN18'!$A:$G,4,"falso")</f>
        <v>74.88</v>
      </c>
      <c r="K60" s="15">
        <f>H60*J60</f>
        <v>343.69919999999996</v>
      </c>
      <c r="L60" s="72">
        <f>VLOOKUP(A60,'[1]TAB OGU JUN18'!$A:$G,5,"falso")</f>
        <v>1850</v>
      </c>
      <c r="M60" s="15">
        <f>H60*L60</f>
        <v>8491.5</v>
      </c>
      <c r="N60" s="15">
        <f>H60*I60</f>
        <v>8835.1992000000009</v>
      </c>
      <c r="O60" s="25">
        <f>N60/N62</f>
        <v>1</v>
      </c>
    </row>
    <row r="61" spans="1:15" ht="12.75" customHeight="1" x14ac:dyDescent="0.2">
      <c r="B61" s="130"/>
      <c r="G61" s="52"/>
      <c r="H61" s="501"/>
      <c r="I61" s="52"/>
      <c r="J61" s="52"/>
      <c r="K61" s="52"/>
      <c r="L61" s="52"/>
      <c r="M61" s="52"/>
      <c r="N61" s="15"/>
      <c r="O61" s="25"/>
    </row>
    <row r="62" spans="1:15" ht="12.75" customHeight="1" x14ac:dyDescent="0.2">
      <c r="B62" s="130" t="s">
        <v>18</v>
      </c>
      <c r="C62" s="131"/>
      <c r="D62" s="131"/>
      <c r="E62" s="131"/>
      <c r="F62" s="131"/>
      <c r="G62" s="53"/>
      <c r="H62" s="503"/>
      <c r="I62" s="53"/>
      <c r="J62" s="53"/>
      <c r="K62" s="53"/>
      <c r="L62" s="53"/>
      <c r="M62" s="53"/>
      <c r="N62" s="15">
        <f>N60</f>
        <v>8835.1992000000009</v>
      </c>
      <c r="O62" s="25">
        <f>N62/N64</f>
        <v>1</v>
      </c>
    </row>
    <row r="63" spans="1:15" ht="12.75" customHeight="1" x14ac:dyDescent="0.2">
      <c r="B63" s="130"/>
      <c r="G63" s="52"/>
      <c r="H63" s="501"/>
      <c r="I63" s="52"/>
      <c r="J63" s="52"/>
      <c r="K63" s="52"/>
      <c r="L63" s="52"/>
      <c r="M63" s="52"/>
      <c r="N63" s="15"/>
      <c r="O63" s="25"/>
    </row>
    <row r="64" spans="1:15" s="132" customFormat="1" ht="12.75" customHeight="1" x14ac:dyDescent="0.2">
      <c r="B64" s="133" t="s">
        <v>20</v>
      </c>
      <c r="C64" s="134"/>
      <c r="D64" s="134"/>
      <c r="E64" s="134"/>
      <c r="F64" s="134"/>
      <c r="G64" s="78"/>
      <c r="H64" s="504"/>
      <c r="I64" s="78"/>
      <c r="J64" s="78"/>
      <c r="K64" s="78"/>
      <c r="L64" s="78"/>
      <c r="M64" s="78"/>
      <c r="N64" s="83">
        <f>N62+N57+N52</f>
        <v>8835.1992000000009</v>
      </c>
      <c r="O64" s="77">
        <f>N64/N66</f>
        <v>0.71845086263064084</v>
      </c>
    </row>
    <row r="65" spans="1:16" ht="7.5" customHeight="1" x14ac:dyDescent="0.2">
      <c r="A65" s="98"/>
      <c r="B65" s="88"/>
      <c r="G65" s="97"/>
      <c r="H65" s="15"/>
      <c r="I65" s="15"/>
      <c r="J65" s="15"/>
      <c r="K65" s="15"/>
      <c r="L65" s="15"/>
      <c r="M65" s="15"/>
      <c r="N65" s="15"/>
      <c r="O65" s="25"/>
    </row>
    <row r="66" spans="1:16" ht="12.75" customHeight="1" x14ac:dyDescent="0.2">
      <c r="A66" s="146"/>
      <c r="B66" s="147" t="s">
        <v>30</v>
      </c>
      <c r="C66" s="146"/>
      <c r="D66" s="146"/>
      <c r="E66" s="146"/>
      <c r="F66" s="146"/>
      <c r="G66" s="146"/>
      <c r="H66" s="148"/>
      <c r="I66" s="146"/>
      <c r="J66" s="146"/>
      <c r="K66" s="207">
        <f>SUM(K12:K65)</f>
        <v>3806.0691999999999</v>
      </c>
      <c r="L66" s="460"/>
      <c r="M66" s="207">
        <f>SUM(M12:M65)</f>
        <v>8491.5</v>
      </c>
      <c r="N66" s="276">
        <f>N46+N64</f>
        <v>12297.569200000002</v>
      </c>
      <c r="O66" s="460"/>
      <c r="P66" s="149"/>
    </row>
    <row r="67" spans="1:16" ht="7.5" customHeight="1" x14ac:dyDescent="0.2">
      <c r="A67" s="98"/>
      <c r="B67" s="88"/>
      <c r="G67" s="97"/>
      <c r="H67" s="15"/>
      <c r="I67" s="15"/>
      <c r="J67" s="15"/>
      <c r="K67" s="15"/>
      <c r="L67" s="15"/>
      <c r="M67" s="15"/>
      <c r="N67" s="15"/>
      <c r="O67" s="25"/>
    </row>
    <row r="68" spans="1:16" ht="12.75" customHeight="1" x14ac:dyDescent="0.2">
      <c r="A68" s="146"/>
      <c r="B68" s="147" t="s">
        <v>265</v>
      </c>
      <c r="C68" s="146"/>
      <c r="D68" s="146"/>
      <c r="E68" s="146"/>
      <c r="F68" s="146"/>
      <c r="G68" s="146"/>
      <c r="H68" s="148"/>
      <c r="I68" s="146"/>
      <c r="J68" s="146"/>
      <c r="K68" s="207">
        <f>K66+(K66*O5)</f>
        <v>4855.7830853599999</v>
      </c>
      <c r="L68" s="460"/>
      <c r="M68" s="207">
        <f>M66+(M66*O7)</f>
        <v>9996.1938000000009</v>
      </c>
      <c r="N68" s="276">
        <f>K68+M68</f>
        <v>14851.97688536</v>
      </c>
      <c r="O68" s="29">
        <f>N68/RESUMO!H95</f>
        <v>2.0509575388446542E-3</v>
      </c>
      <c r="P68" s="149"/>
    </row>
    <row r="71" spans="1:16" ht="12.75" customHeight="1" x14ac:dyDescent="0.2">
      <c r="M71" s="587">
        <f>K66+M66</f>
        <v>12297.5692</v>
      </c>
    </row>
    <row r="72" spans="1:16" s="150" customFormat="1" ht="12.75" customHeight="1" x14ac:dyDescent="0.2">
      <c r="A72" s="51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89"/>
      <c r="N72" s="51"/>
      <c r="O72" s="51"/>
    </row>
    <row r="73" spans="1:16" s="150" customFormat="1" ht="12.75" customHeight="1" x14ac:dyDescent="0.2">
      <c r="A73" s="51"/>
      <c r="B73" s="51"/>
      <c r="C73" s="51"/>
      <c r="D73" s="51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</row>
    <row r="74" spans="1:16" ht="12.75" customHeight="1" x14ac:dyDescent="0.2">
      <c r="M74" s="589"/>
    </row>
    <row r="80" spans="1:16" ht="12.75" customHeight="1" x14ac:dyDescent="0.2">
      <c r="A80" s="88"/>
      <c r="C80" s="184"/>
      <c r="D80" s="184"/>
      <c r="E80" s="184"/>
      <c r="F80" s="184"/>
      <c r="G80" s="184"/>
      <c r="H80" s="184"/>
      <c r="I80" s="184"/>
      <c r="J80" s="184"/>
      <c r="K80" s="184"/>
      <c r="L80" s="184"/>
      <c r="M80" s="184"/>
      <c r="N80" s="184"/>
      <c r="O80" s="459"/>
    </row>
  </sheetData>
  <mergeCells count="3">
    <mergeCell ref="A2:O2"/>
    <mergeCell ref="N4:O4"/>
    <mergeCell ref="A5:B6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legacyDrawingHF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>
    <tabColor theme="9" tint="0.39997558519241921"/>
    <pageSetUpPr fitToPage="1"/>
  </sheetPr>
  <dimension ref="A1:R72"/>
  <sheetViews>
    <sheetView view="pageBreakPreview" zoomScale="90" zoomScaleNormal="90" zoomScaleSheetLayoutView="90" workbookViewId="0">
      <selection activeCell="Q61" sqref="Q61"/>
    </sheetView>
  </sheetViews>
  <sheetFormatPr defaultRowHeight="12.75" customHeight="1" x14ac:dyDescent="0.2"/>
  <cols>
    <col min="1" max="5" width="9.140625" style="51"/>
    <col min="6" max="6" width="42.85546875" style="51" customWidth="1"/>
    <col min="7" max="8" width="11.42578125" style="51" customWidth="1"/>
    <col min="9" max="9" width="13.28515625" style="51" customWidth="1"/>
    <col min="10" max="10" width="9.28515625" style="51" hidden="1" customWidth="1"/>
    <col min="11" max="11" width="14.28515625" style="51" customWidth="1"/>
    <col min="12" max="12" width="9.28515625" style="51" hidden="1" customWidth="1"/>
    <col min="13" max="13" width="14.28515625" style="51" customWidth="1"/>
    <col min="14" max="14" width="17.140625" style="51" customWidth="1"/>
    <col min="15" max="15" width="11.42578125" style="51" customWidth="1"/>
    <col min="16" max="16384" width="9.140625" style="51"/>
  </cols>
  <sheetData>
    <row r="1" spans="1:18" ht="7.5" customHeight="1" x14ac:dyDescent="0.2"/>
    <row r="2" spans="1:18" ht="12.75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8" ht="7.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</row>
    <row r="4" spans="1:18" ht="12.75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8" ht="12.75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8" ht="12.75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8" ht="12.75" customHeight="1" x14ac:dyDescent="0.2">
      <c r="A7" s="253"/>
      <c r="B7" s="253"/>
      <c r="C7" s="260" t="s">
        <v>6</v>
      </c>
      <c r="D7" s="263" t="str">
        <f>RESUMO!A74</f>
        <v>U.C. : 14</v>
      </c>
      <c r="E7" s="258"/>
      <c r="F7" s="258"/>
      <c r="G7" s="260" t="s">
        <v>9</v>
      </c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8" ht="12.75" customHeight="1" x14ac:dyDescent="0.2">
      <c r="A8" s="253"/>
      <c r="B8" s="253"/>
      <c r="C8" s="260"/>
      <c r="D8" s="263"/>
      <c r="E8" s="258"/>
      <c r="F8" s="258"/>
      <c r="G8" s="260"/>
      <c r="J8" s="277"/>
      <c r="K8" s="277"/>
      <c r="L8" s="277"/>
      <c r="M8" s="277" t="s">
        <v>774</v>
      </c>
      <c r="N8" s="261"/>
      <c r="O8" s="234"/>
    </row>
    <row r="9" spans="1:18" ht="12.75" customHeight="1" thickBot="1" x14ac:dyDescent="0.25">
      <c r="A9" s="124"/>
      <c r="B9" s="125"/>
      <c r="C9" s="266" t="s">
        <v>8</v>
      </c>
      <c r="D9" s="267" t="str">
        <f>RESUMO!B74</f>
        <v>ESTAÇÃO ELEVATÓRIA DE ESGOTO - EEE01</v>
      </c>
      <c r="E9" s="268"/>
      <c r="F9" s="268"/>
      <c r="G9" s="266"/>
      <c r="H9" s="123"/>
      <c r="I9" s="278"/>
      <c r="J9" s="278"/>
      <c r="K9" s="278"/>
      <c r="L9" s="278"/>
      <c r="M9" s="278" t="s">
        <v>654</v>
      </c>
      <c r="N9" s="271"/>
      <c r="O9" s="268"/>
    </row>
    <row r="10" spans="1:18" ht="12.75" customHeight="1" thickTop="1" x14ac:dyDescent="0.2">
      <c r="A10" s="126"/>
      <c r="B10" s="126" t="s">
        <v>10</v>
      </c>
      <c r="C10" s="127"/>
      <c r="D10" s="127"/>
      <c r="E10" s="127"/>
      <c r="F10" s="127"/>
      <c r="G10" s="128" t="s">
        <v>11</v>
      </c>
      <c r="H10" s="128" t="s">
        <v>12</v>
      </c>
      <c r="I10" s="128" t="s">
        <v>13</v>
      </c>
      <c r="J10" s="128"/>
      <c r="K10" s="128" t="s">
        <v>212</v>
      </c>
      <c r="L10" s="128"/>
      <c r="M10" s="128" t="s">
        <v>213</v>
      </c>
      <c r="N10" s="128" t="s">
        <v>14</v>
      </c>
      <c r="O10" s="128" t="s">
        <v>15</v>
      </c>
    </row>
    <row r="11" spans="1:18" ht="7.5" customHeight="1" x14ac:dyDescent="0.2">
      <c r="O11" s="61"/>
    </row>
    <row r="12" spans="1:18" ht="12.75" customHeight="1" x14ac:dyDescent="0.2">
      <c r="A12" s="93">
        <f>RESUMO!A80</f>
        <v>6</v>
      </c>
      <c r="B12" s="93" t="str">
        <f>RESUMO!B80</f>
        <v>EQUIPAMENTOS - MATERIAIS</v>
      </c>
      <c r="H12" s="505"/>
      <c r="O12" s="61"/>
    </row>
    <row r="13" spans="1:18" ht="12.75" customHeight="1" x14ac:dyDescent="0.2">
      <c r="A13" s="129">
        <v>30</v>
      </c>
      <c r="B13" s="88" t="s">
        <v>556</v>
      </c>
      <c r="H13" s="505"/>
      <c r="I13" s="491"/>
      <c r="O13" s="61"/>
    </row>
    <row r="14" spans="1:18" ht="12.75" customHeight="1" x14ac:dyDescent="0.2">
      <c r="A14" s="129">
        <v>3002</v>
      </c>
      <c r="B14" s="88" t="s">
        <v>674</v>
      </c>
      <c r="H14" s="505"/>
      <c r="I14" s="491"/>
      <c r="O14" s="61"/>
      <c r="R14" s="61" t="s">
        <v>1409</v>
      </c>
    </row>
    <row r="15" spans="1:18" ht="12.75" customHeight="1" x14ac:dyDescent="0.2">
      <c r="A15" s="129" t="s">
        <v>545</v>
      </c>
      <c r="B15" s="142" t="s">
        <v>794</v>
      </c>
      <c r="G15" s="97" t="s">
        <v>24</v>
      </c>
      <c r="H15" s="502">
        <v>2</v>
      </c>
      <c r="I15" s="489">
        <v>5071</v>
      </c>
      <c r="J15" s="72">
        <v>5071</v>
      </c>
      <c r="K15" s="15"/>
      <c r="L15" s="72">
        <v>5071</v>
      </c>
      <c r="M15" s="15">
        <f t="shared" ref="M15" si="0">H15*L15</f>
        <v>10142</v>
      </c>
      <c r="N15" s="15">
        <f>H15*I15</f>
        <v>10142</v>
      </c>
      <c r="O15" s="25">
        <f>N15/N17</f>
        <v>1</v>
      </c>
    </row>
    <row r="16" spans="1:18" ht="12.75" customHeight="1" x14ac:dyDescent="0.2">
      <c r="B16" s="130"/>
      <c r="G16" s="52"/>
      <c r="H16" s="501"/>
      <c r="I16" s="520"/>
      <c r="J16" s="52"/>
      <c r="K16" s="52"/>
      <c r="L16" s="52"/>
      <c r="M16" s="52"/>
      <c r="N16" s="15"/>
      <c r="O16" s="25"/>
    </row>
    <row r="17" spans="1:16" ht="12.75" customHeight="1" x14ac:dyDescent="0.2">
      <c r="B17" s="130" t="s">
        <v>18</v>
      </c>
      <c r="C17" s="131"/>
      <c r="D17" s="131"/>
      <c r="E17" s="131"/>
      <c r="F17" s="131"/>
      <c r="G17" s="53"/>
      <c r="H17" s="503"/>
      <c r="I17" s="521"/>
      <c r="J17" s="53"/>
      <c r="K17" s="53"/>
      <c r="L17" s="53"/>
      <c r="M17" s="53"/>
      <c r="N17" s="15">
        <f>N15</f>
        <v>10142</v>
      </c>
      <c r="O17" s="25">
        <f>N17/N54</f>
        <v>5.0890053308816095E-2</v>
      </c>
    </row>
    <row r="18" spans="1:16" ht="12.75" customHeight="1" x14ac:dyDescent="0.2">
      <c r="B18" s="130"/>
      <c r="G18" s="52"/>
      <c r="H18" s="501"/>
      <c r="I18" s="520"/>
      <c r="J18" s="52"/>
      <c r="K18" s="52"/>
      <c r="L18" s="52"/>
      <c r="M18" s="52"/>
      <c r="N18" s="15"/>
      <c r="O18" s="25"/>
    </row>
    <row r="19" spans="1:16" ht="12.75" customHeight="1" x14ac:dyDescent="0.2">
      <c r="A19" s="129">
        <v>3003</v>
      </c>
      <c r="B19" s="88" t="s">
        <v>675</v>
      </c>
      <c r="H19" s="505"/>
      <c r="I19" s="491"/>
      <c r="O19" s="61"/>
    </row>
    <row r="20" spans="1:16" ht="12.75" hidden="1" customHeight="1" x14ac:dyDescent="0.2">
      <c r="A20" s="129" t="s">
        <v>545</v>
      </c>
      <c r="B20" s="620" t="s">
        <v>551</v>
      </c>
      <c r="C20" s="619"/>
      <c r="D20" s="619"/>
      <c r="E20" s="619"/>
      <c r="F20" s="619"/>
      <c r="G20" s="97" t="s">
        <v>31</v>
      </c>
      <c r="H20" s="502">
        <v>0</v>
      </c>
      <c r="I20" s="489">
        <v>8785.85</v>
      </c>
      <c r="J20" s="72">
        <v>8785.85</v>
      </c>
      <c r="K20" s="15"/>
      <c r="L20" s="72">
        <v>8785.85</v>
      </c>
      <c r="M20" s="15">
        <f t="shared" ref="M20:M21" si="1">H20*L20</f>
        <v>0</v>
      </c>
      <c r="N20" s="15">
        <f>H20*I20</f>
        <v>0</v>
      </c>
      <c r="O20" s="25">
        <f>N20/N24</f>
        <v>0</v>
      </c>
    </row>
    <row r="21" spans="1:16" ht="12.75" customHeight="1" x14ac:dyDescent="0.2">
      <c r="A21" s="129" t="s">
        <v>545</v>
      </c>
      <c r="B21" s="620" t="s">
        <v>1275</v>
      </c>
      <c r="C21" s="619"/>
      <c r="D21" s="619"/>
      <c r="E21" s="619"/>
      <c r="F21" s="619"/>
      <c r="G21" s="97" t="s">
        <v>31</v>
      </c>
      <c r="H21" s="502">
        <v>1.47</v>
      </c>
      <c r="I21" s="489">
        <v>1333.33</v>
      </c>
      <c r="J21" s="72">
        <v>1333.33</v>
      </c>
      <c r="K21" s="15"/>
      <c r="L21" s="72">
        <v>1333.33</v>
      </c>
      <c r="M21" s="15">
        <f t="shared" si="1"/>
        <v>1959.9950999999999</v>
      </c>
      <c r="N21" s="15">
        <f>H21*I21</f>
        <v>1959.9950999999999</v>
      </c>
      <c r="O21" s="25">
        <f>N21/N24</f>
        <v>1</v>
      </c>
    </row>
    <row r="22" spans="1:16" ht="12.75" hidden="1" customHeight="1" x14ac:dyDescent="0.2">
      <c r="A22" s="129" t="s">
        <v>545</v>
      </c>
      <c r="B22" s="620" t="s">
        <v>1276</v>
      </c>
      <c r="C22" s="619"/>
      <c r="D22" s="619"/>
      <c r="E22" s="619"/>
      <c r="F22" s="619"/>
      <c r="G22" s="97" t="s">
        <v>31</v>
      </c>
      <c r="H22" s="502">
        <v>0</v>
      </c>
      <c r="I22" s="489">
        <v>1333.33</v>
      </c>
      <c r="J22" s="72">
        <v>1333.33</v>
      </c>
      <c r="K22" s="15"/>
      <c r="L22" s="72">
        <v>1333.33</v>
      </c>
      <c r="M22" s="15">
        <f t="shared" ref="M22" si="2">H22*L22</f>
        <v>0</v>
      </c>
      <c r="N22" s="15">
        <f>H22*I22</f>
        <v>0</v>
      </c>
      <c r="O22" s="25">
        <f>N22/N24</f>
        <v>0</v>
      </c>
    </row>
    <row r="23" spans="1:16" ht="12.75" customHeight="1" x14ac:dyDescent="0.2">
      <c r="B23" s="130"/>
      <c r="G23" s="52"/>
      <c r="H23" s="501"/>
      <c r="I23" s="520"/>
      <c r="J23" s="52"/>
      <c r="K23" s="52"/>
      <c r="L23" s="52"/>
      <c r="M23" s="52"/>
      <c r="N23" s="15"/>
      <c r="O23" s="25"/>
    </row>
    <row r="24" spans="1:16" ht="12.75" customHeight="1" x14ac:dyDescent="0.2">
      <c r="B24" s="130" t="s">
        <v>18</v>
      </c>
      <c r="C24" s="131"/>
      <c r="D24" s="131"/>
      <c r="E24" s="131"/>
      <c r="F24" s="131"/>
      <c r="G24" s="53"/>
      <c r="H24" s="503"/>
      <c r="I24" s="521"/>
      <c r="J24" s="53"/>
      <c r="K24" s="53"/>
      <c r="L24" s="53"/>
      <c r="M24" s="53"/>
      <c r="N24" s="48">
        <f>SUM(N20:N22)</f>
        <v>1959.9950999999999</v>
      </c>
      <c r="O24" s="25">
        <f>N24/N54</f>
        <v>9.8347717535021018E-3</v>
      </c>
    </row>
    <row r="25" spans="1:16" ht="12.75" customHeight="1" x14ac:dyDescent="0.2">
      <c r="B25" s="130"/>
      <c r="G25" s="52"/>
      <c r="H25" s="501"/>
      <c r="I25" s="520"/>
      <c r="J25" s="52"/>
      <c r="K25" s="52"/>
      <c r="L25" s="52"/>
      <c r="M25" s="52"/>
      <c r="N25" s="15"/>
      <c r="O25" s="25"/>
    </row>
    <row r="26" spans="1:16" ht="12.75" customHeight="1" x14ac:dyDescent="0.2">
      <c r="A26" s="129"/>
      <c r="B26" s="88" t="s">
        <v>557</v>
      </c>
      <c r="H26" s="505"/>
      <c r="I26" s="491"/>
      <c r="O26" s="61"/>
    </row>
    <row r="27" spans="1:16" ht="12.75" hidden="1" customHeight="1" x14ac:dyDescent="0.2">
      <c r="A27" s="600" t="s">
        <v>545</v>
      </c>
      <c r="B27" s="490" t="s">
        <v>1278</v>
      </c>
      <c r="C27" s="491"/>
      <c r="D27" s="491"/>
      <c r="E27" s="491"/>
      <c r="F27" s="491"/>
      <c r="G27" s="497" t="s">
        <v>24</v>
      </c>
      <c r="H27" s="502">
        <v>0</v>
      </c>
      <c r="I27" s="489">
        <v>605</v>
      </c>
      <c r="J27" s="489">
        <v>605</v>
      </c>
      <c r="K27" s="502"/>
      <c r="L27" s="489">
        <v>605</v>
      </c>
      <c r="M27" s="502">
        <f t="shared" ref="M27" si="3">H27*L27</f>
        <v>0</v>
      </c>
      <c r="N27" s="502">
        <f t="shared" ref="N27" si="4">H27*I27</f>
        <v>0</v>
      </c>
      <c r="O27" s="601">
        <f t="shared" ref="O27:O50" si="5">N27/$N$52</f>
        <v>0</v>
      </c>
      <c r="P27" s="61" t="s">
        <v>1340</v>
      </c>
    </row>
    <row r="28" spans="1:16" ht="12.75" hidden="1" customHeight="1" x14ac:dyDescent="0.2">
      <c r="A28" s="600" t="s">
        <v>545</v>
      </c>
      <c r="B28" s="490" t="s">
        <v>1277</v>
      </c>
      <c r="C28" s="491"/>
      <c r="D28" s="491"/>
      <c r="E28" s="491"/>
      <c r="F28" s="491"/>
      <c r="G28" s="497" t="s">
        <v>24</v>
      </c>
      <c r="H28" s="502">
        <v>0</v>
      </c>
      <c r="I28" s="489">
        <v>700</v>
      </c>
      <c r="J28" s="489">
        <v>700</v>
      </c>
      <c r="K28" s="502"/>
      <c r="L28" s="489">
        <v>700</v>
      </c>
      <c r="M28" s="502">
        <f t="shared" ref="M28" si="6">H28*L28</f>
        <v>0</v>
      </c>
      <c r="N28" s="502">
        <f t="shared" ref="N28" si="7">H28*I28</f>
        <v>0</v>
      </c>
      <c r="O28" s="601">
        <f t="shared" si="5"/>
        <v>0</v>
      </c>
      <c r="P28" s="61" t="s">
        <v>1341</v>
      </c>
    </row>
    <row r="29" spans="1:16" ht="12.75" hidden="1" customHeight="1" x14ac:dyDescent="0.2">
      <c r="A29" s="600" t="s">
        <v>545</v>
      </c>
      <c r="B29" s="490" t="s">
        <v>727</v>
      </c>
      <c r="C29" s="491"/>
      <c r="D29" s="491"/>
      <c r="E29" s="491"/>
      <c r="F29" s="491"/>
      <c r="G29" s="497" t="s">
        <v>24</v>
      </c>
      <c r="H29" s="502">
        <v>0</v>
      </c>
      <c r="I29" s="489">
        <v>1100</v>
      </c>
      <c r="J29" s="489">
        <v>1100</v>
      </c>
      <c r="K29" s="502"/>
      <c r="L29" s="489">
        <v>1100</v>
      </c>
      <c r="M29" s="502">
        <f t="shared" ref="M29" si="8">H29*L29</f>
        <v>0</v>
      </c>
      <c r="N29" s="502">
        <f t="shared" ref="N29" si="9">H29*I29</f>
        <v>0</v>
      </c>
      <c r="O29" s="601">
        <f t="shared" si="5"/>
        <v>0</v>
      </c>
      <c r="P29" s="61" t="s">
        <v>1339</v>
      </c>
    </row>
    <row r="30" spans="1:16" ht="12.75" customHeight="1" x14ac:dyDescent="0.2">
      <c r="A30" s="600" t="s">
        <v>545</v>
      </c>
      <c r="B30" s="490" t="s">
        <v>980</v>
      </c>
      <c r="C30" s="491"/>
      <c r="D30" s="491"/>
      <c r="E30" s="491"/>
      <c r="F30" s="491"/>
      <c r="G30" s="497" t="s">
        <v>24</v>
      </c>
      <c r="H30" s="502">
        <v>1</v>
      </c>
      <c r="I30" s="489">
        <v>650</v>
      </c>
      <c r="J30" s="489">
        <v>650</v>
      </c>
      <c r="K30" s="15"/>
      <c r="L30" s="72">
        <v>650</v>
      </c>
      <c r="M30" s="15">
        <f t="shared" ref="M30:M35" si="10">H30*L30</f>
        <v>650</v>
      </c>
      <c r="N30" s="15">
        <f t="shared" ref="N30:N35" si="11">H30*I30</f>
        <v>650</v>
      </c>
      <c r="O30" s="25">
        <f t="shared" si="5"/>
        <v>3.4724005166333646E-3</v>
      </c>
      <c r="P30" s="61" t="s">
        <v>1342</v>
      </c>
    </row>
    <row r="31" spans="1:16" ht="12.75" customHeight="1" x14ac:dyDescent="0.2">
      <c r="A31" s="129" t="s">
        <v>545</v>
      </c>
      <c r="B31" s="88" t="s">
        <v>856</v>
      </c>
      <c r="G31" s="97" t="s">
        <v>24</v>
      </c>
      <c r="H31" s="502">
        <v>1</v>
      </c>
      <c r="I31" s="489">
        <v>42760</v>
      </c>
      <c r="J31" s="72">
        <v>72760</v>
      </c>
      <c r="K31" s="15"/>
      <c r="L31" s="72">
        <v>42760</v>
      </c>
      <c r="M31" s="15">
        <f t="shared" si="10"/>
        <v>42760</v>
      </c>
      <c r="N31" s="15">
        <f t="shared" si="11"/>
        <v>42760</v>
      </c>
      <c r="O31" s="25">
        <f t="shared" si="5"/>
        <v>0.22843053244806566</v>
      </c>
    </row>
    <row r="32" spans="1:16" ht="12.75" customHeight="1" x14ac:dyDescent="0.2">
      <c r="A32" s="600" t="s">
        <v>545</v>
      </c>
      <c r="B32" s="490" t="s">
        <v>1013</v>
      </c>
      <c r="C32" s="491"/>
      <c r="D32" s="491"/>
      <c r="E32" s="491"/>
      <c r="F32" s="491"/>
      <c r="G32" s="497" t="s">
        <v>24</v>
      </c>
      <c r="H32" s="502">
        <v>1</v>
      </c>
      <c r="I32" s="489">
        <f>(7600+10565)/2</f>
        <v>9082.5</v>
      </c>
      <c r="J32" s="489">
        <v>9082.5</v>
      </c>
      <c r="K32" s="15"/>
      <c r="L32" s="72">
        <v>9082.5</v>
      </c>
      <c r="M32" s="15">
        <f t="shared" si="10"/>
        <v>9082.5</v>
      </c>
      <c r="N32" s="15">
        <f t="shared" si="11"/>
        <v>9082.5</v>
      </c>
      <c r="O32" s="25">
        <f t="shared" si="5"/>
        <v>4.852011952665005E-2</v>
      </c>
      <c r="P32" s="61" t="s">
        <v>1343</v>
      </c>
    </row>
    <row r="33" spans="1:16" ht="12.75" hidden="1" customHeight="1" x14ac:dyDescent="0.2">
      <c r="A33" s="600" t="s">
        <v>545</v>
      </c>
      <c r="B33" s="490" t="s">
        <v>1279</v>
      </c>
      <c r="C33" s="491"/>
      <c r="D33" s="491"/>
      <c r="E33" s="491"/>
      <c r="F33" s="491"/>
      <c r="G33" s="497" t="s">
        <v>24</v>
      </c>
      <c r="H33" s="502">
        <v>0</v>
      </c>
      <c r="I33" s="489">
        <f>(12362+10500)/2</f>
        <v>11431</v>
      </c>
      <c r="J33" s="72">
        <v>11431</v>
      </c>
      <c r="K33" s="15"/>
      <c r="L33" s="72">
        <v>11431</v>
      </c>
      <c r="M33" s="15">
        <f t="shared" ref="M33:M34" si="12">H33*L33</f>
        <v>0</v>
      </c>
      <c r="N33" s="15">
        <f t="shared" ref="N33:N34" si="13">H33*I33</f>
        <v>0</v>
      </c>
      <c r="O33" s="25">
        <f t="shared" si="5"/>
        <v>0</v>
      </c>
      <c r="P33" s="61" t="s">
        <v>1400</v>
      </c>
    </row>
    <row r="34" spans="1:16" ht="12.75" hidden="1" customHeight="1" x14ac:dyDescent="0.2">
      <c r="A34" s="600" t="s">
        <v>545</v>
      </c>
      <c r="B34" s="490" t="s">
        <v>1406</v>
      </c>
      <c r="C34" s="491"/>
      <c r="D34" s="491"/>
      <c r="E34" s="491"/>
      <c r="F34" s="491"/>
      <c r="G34" s="497" t="s">
        <v>24</v>
      </c>
      <c r="H34" s="502">
        <v>0</v>
      </c>
      <c r="I34" s="489">
        <v>9272.92</v>
      </c>
      <c r="J34" s="489">
        <f t="shared" ref="J34" si="14">I34</f>
        <v>9272.92</v>
      </c>
      <c r="K34" s="502"/>
      <c r="L34" s="489">
        <v>9272.92</v>
      </c>
      <c r="M34" s="502">
        <f t="shared" si="12"/>
        <v>0</v>
      </c>
      <c r="N34" s="502">
        <f t="shared" si="13"/>
        <v>0</v>
      </c>
      <c r="O34" s="601">
        <f t="shared" ref="O34" si="15">N34/$N$52</f>
        <v>0</v>
      </c>
      <c r="P34" s="61" t="s">
        <v>1408</v>
      </c>
    </row>
    <row r="35" spans="1:16" ht="12.75" hidden="1" customHeight="1" x14ac:dyDescent="0.2">
      <c r="A35" s="600" t="s">
        <v>545</v>
      </c>
      <c r="B35" s="490" t="s">
        <v>1403</v>
      </c>
      <c r="C35" s="491"/>
      <c r="D35" s="491"/>
      <c r="E35" s="491"/>
      <c r="F35" s="491"/>
      <c r="G35" s="497" t="s">
        <v>24</v>
      </c>
      <c r="H35" s="502">
        <v>2</v>
      </c>
      <c r="I35" s="489">
        <v>11063.304</v>
      </c>
      <c r="J35" s="489">
        <f>I35</f>
        <v>11063.304</v>
      </c>
      <c r="K35" s="502"/>
      <c r="L35" s="489">
        <v>11063.304</v>
      </c>
      <c r="M35" s="502">
        <f t="shared" si="10"/>
        <v>22126.608</v>
      </c>
      <c r="N35" s="502">
        <f t="shared" si="11"/>
        <v>22126.608</v>
      </c>
      <c r="O35" s="601">
        <f t="shared" si="5"/>
        <v>0.11820376161622144</v>
      </c>
      <c r="P35" s="61" t="s">
        <v>1344</v>
      </c>
    </row>
    <row r="36" spans="1:16" ht="12.75" hidden="1" customHeight="1" x14ac:dyDescent="0.2">
      <c r="A36" s="600" t="s">
        <v>545</v>
      </c>
      <c r="B36" s="490" t="s">
        <v>1280</v>
      </c>
      <c r="C36" s="491"/>
      <c r="D36" s="491"/>
      <c r="E36" s="491"/>
      <c r="F36" s="491"/>
      <c r="G36" s="497" t="s">
        <v>24</v>
      </c>
      <c r="H36" s="502">
        <v>0</v>
      </c>
      <c r="I36" s="489">
        <v>24519.3</v>
      </c>
      <c r="J36" s="489">
        <f>I36</f>
        <v>24519.3</v>
      </c>
      <c r="K36" s="502"/>
      <c r="L36" s="489">
        <v>24519.3</v>
      </c>
      <c r="M36" s="502">
        <f t="shared" ref="M36" si="16">H36*L36</f>
        <v>0</v>
      </c>
      <c r="N36" s="502">
        <f t="shared" ref="N36" si="17">H36*I36</f>
        <v>0</v>
      </c>
      <c r="O36" s="601">
        <f t="shared" si="5"/>
        <v>0</v>
      </c>
      <c r="P36" s="61" t="s">
        <v>1408</v>
      </c>
    </row>
    <row r="37" spans="1:16" ht="12.75" hidden="1" customHeight="1" x14ac:dyDescent="0.2">
      <c r="A37" s="600" t="s">
        <v>545</v>
      </c>
      <c r="B37" s="490" t="s">
        <v>1347</v>
      </c>
      <c r="C37" s="491"/>
      <c r="D37" s="491"/>
      <c r="E37" s="491"/>
      <c r="F37" s="491"/>
      <c r="G37" s="497" t="s">
        <v>24</v>
      </c>
      <c r="H37" s="502">
        <v>0</v>
      </c>
      <c r="I37" s="489">
        <v>29964.06</v>
      </c>
      <c r="J37" s="489">
        <f>I37</f>
        <v>29964.06</v>
      </c>
      <c r="K37" s="502"/>
      <c r="L37" s="489">
        <v>29964.06</v>
      </c>
      <c r="M37" s="502">
        <f t="shared" ref="M37" si="18">H37*L37</f>
        <v>0</v>
      </c>
      <c r="N37" s="502">
        <f t="shared" ref="N37" si="19">H37*I37</f>
        <v>0</v>
      </c>
      <c r="O37" s="601">
        <f t="shared" si="5"/>
        <v>0</v>
      </c>
      <c r="P37" s="61" t="s">
        <v>1350</v>
      </c>
    </row>
    <row r="38" spans="1:16" ht="12.75" hidden="1" customHeight="1" x14ac:dyDescent="0.2">
      <c r="A38" s="600" t="s">
        <v>545</v>
      </c>
      <c r="B38" s="490" t="s">
        <v>1281</v>
      </c>
      <c r="C38" s="491"/>
      <c r="D38" s="491"/>
      <c r="E38" s="491"/>
      <c r="F38" s="491"/>
      <c r="G38" s="497" t="s">
        <v>24</v>
      </c>
      <c r="H38" s="502">
        <v>0</v>
      </c>
      <c r="I38" s="489">
        <v>17283.18</v>
      </c>
      <c r="J38" s="489">
        <f>I38</f>
        <v>17283.18</v>
      </c>
      <c r="K38" s="502"/>
      <c r="L38" s="489">
        <v>17283.18</v>
      </c>
      <c r="M38" s="502">
        <f t="shared" ref="M38" si="20">H38*L38</f>
        <v>0</v>
      </c>
      <c r="N38" s="502">
        <f t="shared" ref="N38" si="21">H38*I38</f>
        <v>0</v>
      </c>
      <c r="O38" s="601">
        <f t="shared" si="5"/>
        <v>0</v>
      </c>
      <c r="P38" s="61" t="s">
        <v>1408</v>
      </c>
    </row>
    <row r="39" spans="1:16" ht="12.75" hidden="1" customHeight="1" x14ac:dyDescent="0.2">
      <c r="A39" s="593" t="s">
        <v>545</v>
      </c>
      <c r="B39" s="592" t="s">
        <v>1282</v>
      </c>
      <c r="C39" s="590"/>
      <c r="D39" s="590"/>
      <c r="E39" s="590"/>
      <c r="F39" s="590"/>
      <c r="G39" s="610" t="s">
        <v>24</v>
      </c>
      <c r="H39" s="502">
        <v>0</v>
      </c>
      <c r="I39" s="603"/>
      <c r="J39" s="489"/>
      <c r="K39" s="502"/>
      <c r="L39" s="489"/>
      <c r="M39" s="502">
        <f t="shared" ref="M39:M41" si="22">H39*L39</f>
        <v>0</v>
      </c>
      <c r="N39" s="502">
        <f t="shared" ref="N39:N41" si="23">H39*I39</f>
        <v>0</v>
      </c>
      <c r="O39" s="601">
        <f t="shared" si="5"/>
        <v>0</v>
      </c>
    </row>
    <row r="40" spans="1:16" ht="12.75" hidden="1" customHeight="1" x14ac:dyDescent="0.2">
      <c r="A40" s="593" t="s">
        <v>545</v>
      </c>
      <c r="B40" s="592" t="s">
        <v>1283</v>
      </c>
      <c r="C40" s="590"/>
      <c r="D40" s="590"/>
      <c r="E40" s="590"/>
      <c r="F40" s="590"/>
      <c r="G40" s="610" t="s">
        <v>24</v>
      </c>
      <c r="H40" s="502">
        <v>0</v>
      </c>
      <c r="I40" s="603"/>
      <c r="J40" s="489"/>
      <c r="K40" s="502"/>
      <c r="L40" s="489"/>
      <c r="M40" s="502">
        <f t="shared" si="22"/>
        <v>0</v>
      </c>
      <c r="N40" s="502">
        <f t="shared" si="23"/>
        <v>0</v>
      </c>
      <c r="O40" s="601">
        <f t="shared" si="5"/>
        <v>0</v>
      </c>
    </row>
    <row r="41" spans="1:16" ht="12.75" hidden="1" customHeight="1" x14ac:dyDescent="0.2">
      <c r="A41" s="600" t="s">
        <v>545</v>
      </c>
      <c r="B41" s="490" t="s">
        <v>1407</v>
      </c>
      <c r="C41" s="490"/>
      <c r="D41" s="490"/>
      <c r="E41" s="490"/>
      <c r="F41" s="490"/>
      <c r="G41" s="497" t="s">
        <v>24</v>
      </c>
      <c r="H41" s="502">
        <v>0</v>
      </c>
      <c r="I41" s="489">
        <v>50865.97</v>
      </c>
      <c r="J41" s="489">
        <f t="shared" ref="J41" si="24">I41</f>
        <v>50865.97</v>
      </c>
      <c r="K41" s="502"/>
      <c r="L41" s="489">
        <v>50865.97</v>
      </c>
      <c r="M41" s="502">
        <f t="shared" si="22"/>
        <v>0</v>
      </c>
      <c r="N41" s="502">
        <f t="shared" si="23"/>
        <v>0</v>
      </c>
      <c r="O41" s="601">
        <f t="shared" ref="O41" si="25">N41/$N$52</f>
        <v>0</v>
      </c>
      <c r="P41" s="61" t="s">
        <v>1408</v>
      </c>
    </row>
    <row r="42" spans="1:16" ht="12.75" hidden="1" customHeight="1" x14ac:dyDescent="0.2">
      <c r="A42" s="600" t="s">
        <v>545</v>
      </c>
      <c r="B42" s="490" t="s">
        <v>1284</v>
      </c>
      <c r="C42" s="490"/>
      <c r="D42" s="490"/>
      <c r="E42" s="490"/>
      <c r="F42" s="490"/>
      <c r="G42" s="497" t="s">
        <v>24</v>
      </c>
      <c r="H42" s="502">
        <v>0</v>
      </c>
      <c r="I42" s="489">
        <v>46157.760000000002</v>
      </c>
      <c r="J42" s="489">
        <f t="shared" ref="J42:J50" si="26">I42</f>
        <v>46157.760000000002</v>
      </c>
      <c r="K42" s="502"/>
      <c r="L42" s="489">
        <v>46157.760000000002</v>
      </c>
      <c r="M42" s="502">
        <f t="shared" ref="M42" si="27">H42*L42</f>
        <v>0</v>
      </c>
      <c r="N42" s="502">
        <f t="shared" ref="N42" si="28">H42*I42</f>
        <v>0</v>
      </c>
      <c r="O42" s="601">
        <f t="shared" si="5"/>
        <v>0</v>
      </c>
      <c r="P42" s="61" t="s">
        <v>1408</v>
      </c>
    </row>
    <row r="43" spans="1:16" ht="12.75" hidden="1" customHeight="1" x14ac:dyDescent="0.2">
      <c r="A43" s="600" t="s">
        <v>545</v>
      </c>
      <c r="B43" s="490" t="s">
        <v>1404</v>
      </c>
      <c r="C43" s="491"/>
      <c r="D43" s="491"/>
      <c r="E43" s="491"/>
      <c r="F43" s="491"/>
      <c r="G43" s="497" t="s">
        <v>24</v>
      </c>
      <c r="H43" s="502">
        <v>0</v>
      </c>
      <c r="I43" s="489">
        <v>29584.62</v>
      </c>
      <c r="J43" s="489">
        <f t="shared" si="26"/>
        <v>29584.62</v>
      </c>
      <c r="K43" s="502"/>
      <c r="L43" s="489">
        <v>29584.62</v>
      </c>
      <c r="M43" s="502">
        <f t="shared" ref="M43" si="29">H43*L43</f>
        <v>0</v>
      </c>
      <c r="N43" s="502">
        <f t="shared" ref="N43" si="30">H43*I43</f>
        <v>0</v>
      </c>
      <c r="O43" s="601">
        <f t="shared" si="5"/>
        <v>0</v>
      </c>
      <c r="P43" s="61" t="s">
        <v>1408</v>
      </c>
    </row>
    <row r="44" spans="1:16" ht="12.75" hidden="1" customHeight="1" x14ac:dyDescent="0.2">
      <c r="A44" s="600" t="s">
        <v>545</v>
      </c>
      <c r="B44" s="490" t="s">
        <v>1405</v>
      </c>
      <c r="C44" s="491"/>
      <c r="D44" s="491"/>
      <c r="E44" s="491"/>
      <c r="F44" s="491"/>
      <c r="G44" s="497" t="s">
        <v>24</v>
      </c>
      <c r="H44" s="502">
        <v>0</v>
      </c>
      <c r="I44" s="489">
        <v>29964.06</v>
      </c>
      <c r="J44" s="489">
        <f t="shared" si="26"/>
        <v>29964.06</v>
      </c>
      <c r="K44" s="502"/>
      <c r="L44" s="489">
        <v>29964.06</v>
      </c>
      <c r="M44" s="502">
        <f t="shared" ref="M44" si="31">H44*L44</f>
        <v>0</v>
      </c>
      <c r="N44" s="502">
        <f t="shared" ref="N44" si="32">H44*I44</f>
        <v>0</v>
      </c>
      <c r="O44" s="601">
        <f t="shared" si="5"/>
        <v>0</v>
      </c>
      <c r="P44" s="61" t="s">
        <v>1408</v>
      </c>
    </row>
    <row r="45" spans="1:16" ht="12.75" hidden="1" customHeight="1" x14ac:dyDescent="0.2">
      <c r="A45" s="600" t="s">
        <v>545</v>
      </c>
      <c r="B45" s="490" t="s">
        <v>1401</v>
      </c>
      <c r="C45" s="491"/>
      <c r="D45" s="491"/>
      <c r="E45" s="491"/>
      <c r="F45" s="491"/>
      <c r="G45" s="497" t="s">
        <v>24</v>
      </c>
      <c r="H45" s="502">
        <v>0</v>
      </c>
      <c r="I45" s="489">
        <v>18032.71</v>
      </c>
      <c r="J45" s="489">
        <f t="shared" si="26"/>
        <v>18032.71</v>
      </c>
      <c r="K45" s="502"/>
      <c r="L45" s="489">
        <v>18032.71</v>
      </c>
      <c r="M45" s="502">
        <f t="shared" ref="M45" si="33">H45*L45</f>
        <v>0</v>
      </c>
      <c r="N45" s="502">
        <f t="shared" ref="N45" si="34">H45*I45</f>
        <v>0</v>
      </c>
      <c r="O45" s="601">
        <f t="shared" si="5"/>
        <v>0</v>
      </c>
      <c r="P45" s="61" t="s">
        <v>1408</v>
      </c>
    </row>
    <row r="46" spans="1:16" ht="12.75" hidden="1" customHeight="1" x14ac:dyDescent="0.2">
      <c r="A46" s="600" t="s">
        <v>545</v>
      </c>
      <c r="B46" s="490" t="s">
        <v>1402</v>
      </c>
      <c r="C46" s="491"/>
      <c r="D46" s="491"/>
      <c r="E46" s="491"/>
      <c r="F46" s="491"/>
      <c r="G46" s="497" t="s">
        <v>24</v>
      </c>
      <c r="H46" s="502">
        <v>0</v>
      </c>
      <c r="I46" s="489">
        <v>11867.98</v>
      </c>
      <c r="J46" s="489">
        <f t="shared" si="26"/>
        <v>11867.98</v>
      </c>
      <c r="K46" s="502"/>
      <c r="L46" s="489">
        <v>11867.98</v>
      </c>
      <c r="M46" s="502">
        <f t="shared" ref="M46" si="35">H46*L46</f>
        <v>0</v>
      </c>
      <c r="N46" s="502">
        <f t="shared" ref="N46" si="36">H46*I46</f>
        <v>0</v>
      </c>
      <c r="O46" s="601">
        <f t="shared" si="5"/>
        <v>0</v>
      </c>
      <c r="P46" s="61" t="s">
        <v>1408</v>
      </c>
    </row>
    <row r="47" spans="1:16" ht="12.75" customHeight="1" x14ac:dyDescent="0.2">
      <c r="A47" s="600" t="s">
        <v>545</v>
      </c>
      <c r="B47" s="490" t="s">
        <v>1286</v>
      </c>
      <c r="C47" s="491"/>
      <c r="D47" s="491"/>
      <c r="E47" s="491"/>
      <c r="F47" s="491"/>
      <c r="G47" s="497" t="s">
        <v>24</v>
      </c>
      <c r="H47" s="502">
        <v>2</v>
      </c>
      <c r="I47" s="489">
        <f>112571.28/2</f>
        <v>56285.64</v>
      </c>
      <c r="J47" s="489">
        <f t="shared" si="26"/>
        <v>56285.64</v>
      </c>
      <c r="K47" s="502"/>
      <c r="L47" s="489">
        <v>56285.64</v>
      </c>
      <c r="M47" s="502">
        <f t="shared" ref="M47" si="37">H47*L47</f>
        <v>112571.28</v>
      </c>
      <c r="N47" s="502">
        <f t="shared" ref="N47" si="38">H47*I47</f>
        <v>112571.28</v>
      </c>
      <c r="O47" s="601">
        <f t="shared" si="5"/>
        <v>0.6013731858924295</v>
      </c>
    </row>
    <row r="48" spans="1:16" ht="12.75" hidden="1" customHeight="1" x14ac:dyDescent="0.2">
      <c r="A48" s="593" t="s">
        <v>545</v>
      </c>
      <c r="B48" s="609" t="s">
        <v>1285</v>
      </c>
      <c r="C48" s="590"/>
      <c r="D48" s="590"/>
      <c r="E48" s="590"/>
      <c r="F48" s="590"/>
      <c r="G48" s="610" t="s">
        <v>24</v>
      </c>
      <c r="H48" s="502">
        <v>0</v>
      </c>
      <c r="I48" s="603"/>
      <c r="J48" s="489">
        <f t="shared" si="26"/>
        <v>0</v>
      </c>
      <c r="K48" s="502"/>
      <c r="L48" s="489"/>
      <c r="M48" s="502">
        <f t="shared" ref="M48" si="39">H48*L48</f>
        <v>0</v>
      </c>
      <c r="N48" s="502">
        <f t="shared" ref="N48" si="40">H48*I48</f>
        <v>0</v>
      </c>
      <c r="O48" s="601">
        <f t="shared" si="5"/>
        <v>0</v>
      </c>
    </row>
    <row r="49" spans="1:16" ht="12.75" hidden="1" customHeight="1" x14ac:dyDescent="0.2">
      <c r="A49" s="600" t="s">
        <v>545</v>
      </c>
      <c r="B49" s="594" t="s">
        <v>1345</v>
      </c>
      <c r="C49" s="491"/>
      <c r="D49" s="491"/>
      <c r="E49" s="491"/>
      <c r="F49" s="491"/>
      <c r="G49" s="497" t="s">
        <v>24</v>
      </c>
      <c r="H49" s="502">
        <v>0</v>
      </c>
      <c r="I49" s="489">
        <v>11063.304</v>
      </c>
      <c r="J49" s="489">
        <f t="shared" si="26"/>
        <v>11063.304</v>
      </c>
      <c r="K49" s="502"/>
      <c r="L49" s="489">
        <v>11063.304</v>
      </c>
      <c r="M49" s="502">
        <f t="shared" ref="M49" si="41">H49*L49</f>
        <v>0</v>
      </c>
      <c r="N49" s="502">
        <f t="shared" ref="N49" si="42">H49*I49</f>
        <v>0</v>
      </c>
      <c r="O49" s="601">
        <f t="shared" si="5"/>
        <v>0</v>
      </c>
      <c r="P49" s="61" t="s">
        <v>1348</v>
      </c>
    </row>
    <row r="50" spans="1:16" ht="12.75" hidden="1" customHeight="1" x14ac:dyDescent="0.2">
      <c r="A50" s="600" t="s">
        <v>545</v>
      </c>
      <c r="B50" s="594" t="s">
        <v>1346</v>
      </c>
      <c r="C50" s="491"/>
      <c r="D50" s="491"/>
      <c r="E50" s="491"/>
      <c r="F50" s="491"/>
      <c r="G50" s="497" t="s">
        <v>24</v>
      </c>
      <c r="H50" s="502">
        <v>0</v>
      </c>
      <c r="I50" s="489">
        <v>7652.232</v>
      </c>
      <c r="J50" s="489">
        <f t="shared" si="26"/>
        <v>7652.232</v>
      </c>
      <c r="K50" s="502"/>
      <c r="L50" s="489">
        <v>7652.232</v>
      </c>
      <c r="M50" s="502">
        <f t="shared" ref="M50" si="43">H50*L50</f>
        <v>0</v>
      </c>
      <c r="N50" s="502">
        <f t="shared" ref="N50" si="44">H50*I50</f>
        <v>0</v>
      </c>
      <c r="O50" s="601">
        <f t="shared" si="5"/>
        <v>0</v>
      </c>
      <c r="P50" s="61" t="s">
        <v>1349</v>
      </c>
    </row>
    <row r="51" spans="1:16" ht="12.75" customHeight="1" x14ac:dyDescent="0.2">
      <c r="B51" s="130"/>
      <c r="G51" s="52"/>
      <c r="H51" s="501"/>
      <c r="I51" s="52"/>
      <c r="J51" s="52"/>
      <c r="K51" s="52"/>
      <c r="L51" s="52"/>
      <c r="M51" s="52"/>
      <c r="N51" s="15"/>
      <c r="O51" s="25"/>
    </row>
    <row r="52" spans="1:16" ht="12.75" customHeight="1" x14ac:dyDescent="0.2">
      <c r="B52" s="130" t="s">
        <v>18</v>
      </c>
      <c r="C52" s="131"/>
      <c r="D52" s="131"/>
      <c r="E52" s="131"/>
      <c r="F52" s="131"/>
      <c r="G52" s="53"/>
      <c r="H52" s="503"/>
      <c r="I52" s="53"/>
      <c r="J52" s="53"/>
      <c r="K52" s="53"/>
      <c r="L52" s="53"/>
      <c r="M52" s="53"/>
      <c r="N52" s="15">
        <f>SUM(N27:N48)</f>
        <v>187190.38800000001</v>
      </c>
      <c r="O52" s="25">
        <f>N52/N54</f>
        <v>0.93927517493768176</v>
      </c>
    </row>
    <row r="53" spans="1:16" ht="12.75" customHeight="1" x14ac:dyDescent="0.2">
      <c r="B53" s="130"/>
      <c r="G53" s="52"/>
      <c r="H53" s="501"/>
      <c r="I53" s="52"/>
      <c r="J53" s="52"/>
      <c r="K53" s="52"/>
      <c r="L53" s="52"/>
      <c r="M53" s="52"/>
      <c r="N53" s="15"/>
      <c r="O53" s="25"/>
    </row>
    <row r="54" spans="1:16" s="132" customFormat="1" ht="12.75" customHeight="1" x14ac:dyDescent="0.2">
      <c r="B54" s="133" t="s">
        <v>20</v>
      </c>
      <c r="C54" s="134"/>
      <c r="D54" s="134"/>
      <c r="E54" s="134"/>
      <c r="F54" s="134"/>
      <c r="G54" s="78"/>
      <c r="H54" s="504"/>
      <c r="I54" s="78"/>
      <c r="J54" s="78"/>
      <c r="K54" s="78"/>
      <c r="L54" s="78"/>
      <c r="M54" s="78"/>
      <c r="N54" s="83">
        <f>N17+N24+N52</f>
        <v>199292.38310000001</v>
      </c>
      <c r="O54" s="77">
        <f>N54/N64</f>
        <v>0.99947772409277269</v>
      </c>
    </row>
    <row r="55" spans="1:16" ht="12.75" customHeight="1" x14ac:dyDescent="0.2">
      <c r="B55" s="130"/>
      <c r="G55" s="52"/>
      <c r="H55" s="501"/>
      <c r="I55" s="52"/>
      <c r="J55" s="52"/>
      <c r="K55" s="52"/>
      <c r="L55" s="52"/>
      <c r="M55" s="52"/>
      <c r="N55" s="15"/>
      <c r="O55" s="25"/>
    </row>
    <row r="56" spans="1:16" ht="12.75" customHeight="1" x14ac:dyDescent="0.2">
      <c r="A56" s="129" t="s">
        <v>857</v>
      </c>
      <c r="B56" s="88" t="s">
        <v>858</v>
      </c>
      <c r="H56" s="505"/>
      <c r="O56" s="61"/>
    </row>
    <row r="57" spans="1:16" ht="12.75" customHeight="1" x14ac:dyDescent="0.2">
      <c r="A57" s="129" t="s">
        <v>859</v>
      </c>
      <c r="B57" s="88" t="s">
        <v>860</v>
      </c>
      <c r="C57" s="88"/>
      <c r="D57" s="88"/>
      <c r="E57" s="88"/>
      <c r="F57" s="88"/>
      <c r="H57" s="505"/>
      <c r="O57" s="61"/>
    </row>
    <row r="58" spans="1:16" ht="12.75" customHeight="1" x14ac:dyDescent="0.2">
      <c r="A58" s="129" t="s">
        <v>861</v>
      </c>
      <c r="B58" s="843" t="s">
        <v>862</v>
      </c>
      <c r="C58" s="843"/>
      <c r="D58" s="843"/>
      <c r="E58" s="843"/>
      <c r="F58" s="843"/>
      <c r="G58" s="97" t="s">
        <v>24</v>
      </c>
      <c r="H58" s="502">
        <v>1</v>
      </c>
      <c r="I58" s="72">
        <f>VLOOKUP(A58,'[1]TAB OGU JUN18'!$A:$G,6,"falso")</f>
        <v>104.14</v>
      </c>
      <c r="J58" s="72">
        <f>VLOOKUP(A58,'[1]TAB OGU JUN18'!$A:$G,4,"falso")</f>
        <v>0</v>
      </c>
      <c r="K58" s="15"/>
      <c r="L58" s="72">
        <f>VLOOKUP(A58,'[1]TAB OGU JUN18'!$A:$G,5,"falso")</f>
        <v>104.14</v>
      </c>
      <c r="M58" s="15">
        <f>H58*L58</f>
        <v>104.14</v>
      </c>
      <c r="N58" s="15">
        <f>H58*I58</f>
        <v>104.14</v>
      </c>
      <c r="O58" s="25">
        <f>N58/$N$60</f>
        <v>1</v>
      </c>
    </row>
    <row r="59" spans="1:16" ht="12.75" customHeight="1" x14ac:dyDescent="0.2">
      <c r="B59" s="130"/>
      <c r="G59" s="52"/>
      <c r="H59" s="501"/>
      <c r="I59" s="52"/>
      <c r="J59" s="52"/>
      <c r="K59" s="52"/>
      <c r="L59" s="52"/>
      <c r="M59" s="52"/>
      <c r="N59" s="15"/>
      <c r="O59" s="25"/>
    </row>
    <row r="60" spans="1:16" ht="12.75" customHeight="1" x14ac:dyDescent="0.2">
      <c r="B60" s="130" t="s">
        <v>18</v>
      </c>
      <c r="C60" s="131"/>
      <c r="D60" s="131"/>
      <c r="E60" s="131"/>
      <c r="F60" s="131"/>
      <c r="G60" s="53"/>
      <c r="H60" s="503"/>
      <c r="I60" s="53"/>
      <c r="J60" s="53"/>
      <c r="K60" s="53"/>
      <c r="L60" s="53"/>
      <c r="M60" s="53"/>
      <c r="N60" s="15">
        <f>N58</f>
        <v>104.14</v>
      </c>
      <c r="O60" s="25">
        <f>N60/N62</f>
        <v>1</v>
      </c>
    </row>
    <row r="61" spans="1:16" ht="12.75" customHeight="1" x14ac:dyDescent="0.2">
      <c r="B61" s="130"/>
      <c r="G61" s="52"/>
      <c r="H61" s="501"/>
      <c r="I61" s="52"/>
      <c r="J61" s="52"/>
      <c r="K61" s="52"/>
      <c r="L61" s="52"/>
      <c r="M61" s="52"/>
      <c r="N61" s="15"/>
      <c r="O61" s="25"/>
    </row>
    <row r="62" spans="1:16" s="132" customFormat="1" ht="12.75" customHeight="1" x14ac:dyDescent="0.2">
      <c r="B62" s="133" t="s">
        <v>20</v>
      </c>
      <c r="C62" s="134"/>
      <c r="D62" s="134"/>
      <c r="E62" s="134"/>
      <c r="F62" s="134"/>
      <c r="G62" s="78"/>
      <c r="H62" s="455"/>
      <c r="I62" s="78"/>
      <c r="J62" s="78"/>
      <c r="K62" s="78"/>
      <c r="L62" s="78"/>
      <c r="M62" s="78"/>
      <c r="N62" s="83">
        <f>N60</f>
        <v>104.14</v>
      </c>
      <c r="O62" s="77">
        <f>N62/N64</f>
        <v>5.2227590722719072E-4</v>
      </c>
    </row>
    <row r="63" spans="1:16" ht="8.25" customHeight="1" x14ac:dyDescent="0.2">
      <c r="A63" s="98"/>
      <c r="B63" s="88"/>
      <c r="G63" s="97"/>
      <c r="H63" s="15"/>
      <c r="I63" s="15"/>
      <c r="J63" s="15"/>
      <c r="K63" s="15"/>
      <c r="L63" s="15"/>
      <c r="M63" s="15"/>
      <c r="N63" s="15"/>
      <c r="O63" s="25"/>
    </row>
    <row r="64" spans="1:16" ht="12.75" customHeight="1" x14ac:dyDescent="0.2">
      <c r="A64" s="146"/>
      <c r="B64" s="147" t="s">
        <v>30</v>
      </c>
      <c r="C64" s="146"/>
      <c r="D64" s="146"/>
      <c r="E64" s="146"/>
      <c r="F64" s="146"/>
      <c r="G64" s="146"/>
      <c r="H64" s="148"/>
      <c r="I64" s="146"/>
      <c r="J64" s="146"/>
      <c r="K64" s="207"/>
      <c r="L64" s="460"/>
      <c r="M64" s="207">
        <f>SUM(M13:M63)</f>
        <v>199396.52310000002</v>
      </c>
      <c r="N64" s="276">
        <f>N62+N54</f>
        <v>199396.52310000002</v>
      </c>
      <c r="O64" s="146"/>
      <c r="P64" s="149"/>
    </row>
    <row r="65" spans="1:16" ht="8.25" customHeight="1" x14ac:dyDescent="0.2">
      <c r="A65" s="98"/>
      <c r="B65" s="88"/>
      <c r="G65" s="97"/>
      <c r="H65" s="15"/>
      <c r="I65" s="15"/>
      <c r="J65" s="15"/>
      <c r="K65" s="15"/>
      <c r="L65" s="15"/>
      <c r="M65" s="15"/>
      <c r="N65" s="15"/>
      <c r="O65" s="25"/>
    </row>
    <row r="66" spans="1:16" ht="12.75" customHeight="1" x14ac:dyDescent="0.2">
      <c r="A66" s="146"/>
      <c r="B66" s="147" t="s">
        <v>265</v>
      </c>
      <c r="C66" s="146"/>
      <c r="D66" s="146"/>
      <c r="E66" s="146"/>
      <c r="F66" s="146"/>
      <c r="G66" s="146"/>
      <c r="H66" s="148"/>
      <c r="I66" s="148"/>
      <c r="J66" s="148"/>
      <c r="K66" s="274"/>
      <c r="L66" s="274"/>
      <c r="M66" s="275">
        <f>M64+(M64*O7)</f>
        <v>234729.58699332003</v>
      </c>
      <c r="N66" s="276">
        <f>K66+M66</f>
        <v>234729.58699332003</v>
      </c>
      <c r="O66" s="29">
        <f>N66/RESUMO!H95</f>
        <v>3.2414568090823721E-2</v>
      </c>
      <c r="P66" s="149"/>
    </row>
    <row r="71" spans="1:16" s="150" customFormat="1" ht="12.75" customHeight="1" x14ac:dyDescent="0.2">
      <c r="A71" s="51"/>
      <c r="B71" s="51"/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</row>
    <row r="72" spans="1:16" s="150" customFormat="1" ht="12.75" customHeight="1" x14ac:dyDescent="0.2">
      <c r="A72" s="51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</row>
  </sheetData>
  <mergeCells count="4">
    <mergeCell ref="A2:O2"/>
    <mergeCell ref="N4:O4"/>
    <mergeCell ref="A5:B6"/>
    <mergeCell ref="B58:F58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1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legacyDrawingHF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>
    <tabColor theme="6" tint="0.39997558519241921"/>
    <pageSetUpPr fitToPage="1"/>
  </sheetPr>
  <dimension ref="A1:R99"/>
  <sheetViews>
    <sheetView view="pageBreakPreview" zoomScale="90" zoomScaleNormal="90" zoomScaleSheetLayoutView="90" workbookViewId="0">
      <selection activeCell="S38" sqref="S38"/>
    </sheetView>
  </sheetViews>
  <sheetFormatPr defaultColWidth="11.42578125" defaultRowHeight="11.25" customHeight="1" x14ac:dyDescent="0.2"/>
  <cols>
    <col min="1" max="5" width="11.42578125" style="51"/>
    <col min="6" max="6" width="28.5703125" style="51" customWidth="1"/>
    <col min="7" max="9" width="11.42578125" style="51" customWidth="1"/>
    <col min="10" max="10" width="6" style="51" hidden="1" customWidth="1"/>
    <col min="11" max="11" width="14.28515625" style="51" customWidth="1"/>
    <col min="12" max="12" width="5" style="51" hidden="1" customWidth="1"/>
    <col min="13" max="13" width="14.28515625" style="51" customWidth="1"/>
    <col min="14" max="14" width="17.140625" style="51" customWidth="1"/>
    <col min="15" max="15" width="11.42578125" style="51" customWidth="1"/>
    <col min="16" max="16" width="0" style="51" hidden="1" customWidth="1"/>
    <col min="17" max="16384" width="11.42578125" style="51"/>
  </cols>
  <sheetData>
    <row r="1" spans="1:15" ht="6.75" customHeight="1" x14ac:dyDescent="0.2"/>
    <row r="2" spans="1:15" ht="11.25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5" ht="6.7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</row>
    <row r="4" spans="1:15" ht="11.25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5" ht="11.25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5" ht="11.25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5" ht="11.25" customHeight="1" x14ac:dyDescent="0.2">
      <c r="A7" s="253"/>
      <c r="B7" s="253"/>
      <c r="C7" s="260" t="s">
        <v>6</v>
      </c>
      <c r="D7" s="263" t="str">
        <f>RESUMO!A74</f>
        <v>U.C. : 14</v>
      </c>
      <c r="E7" s="258"/>
      <c r="F7" s="258"/>
      <c r="G7" s="260" t="s">
        <v>9</v>
      </c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5" ht="11.25" customHeight="1" thickBot="1" x14ac:dyDescent="0.25">
      <c r="A8" s="124"/>
      <c r="B8" s="125"/>
      <c r="C8" s="266" t="s">
        <v>8</v>
      </c>
      <c r="D8" s="267" t="str">
        <f>RESUMO!B74</f>
        <v>ESTAÇÃO ELEVATÓRIA DE ESGOTO - EEE01</v>
      </c>
      <c r="E8" s="268"/>
      <c r="F8" s="268"/>
      <c r="G8" s="266"/>
      <c r="H8" s="123"/>
      <c r="I8" s="278"/>
      <c r="J8" s="278"/>
      <c r="K8" s="278"/>
      <c r="L8" s="278"/>
      <c r="M8" s="278" t="s">
        <v>774</v>
      </c>
      <c r="N8" s="271"/>
      <c r="O8" s="268"/>
    </row>
    <row r="9" spans="1:15" ht="11.25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5" ht="6.75" customHeight="1" x14ac:dyDescent="0.2">
      <c r="O10" s="61"/>
    </row>
    <row r="11" spans="1:15" ht="11.25" customHeight="1" x14ac:dyDescent="0.2">
      <c r="A11" s="93">
        <f>RESUMO!A81</f>
        <v>7</v>
      </c>
      <c r="B11" s="93" t="str">
        <f>RESUMO!B81</f>
        <v>LINHA DE RECALQUE - SERVIÇOS</v>
      </c>
      <c r="O11" s="61"/>
    </row>
    <row r="12" spans="1:15" ht="11.25" customHeight="1" x14ac:dyDescent="0.2">
      <c r="A12" s="129" t="s">
        <v>48</v>
      </c>
      <c r="B12" s="88" t="s">
        <v>16</v>
      </c>
      <c r="H12" s="505"/>
      <c r="O12" s="61"/>
    </row>
    <row r="13" spans="1:15" ht="11.25" customHeight="1" x14ac:dyDescent="0.2">
      <c r="A13" s="98" t="s">
        <v>79</v>
      </c>
      <c r="B13" s="88" t="s">
        <v>80</v>
      </c>
      <c r="G13" s="52"/>
      <c r="H13" s="501"/>
      <c r="I13" s="52"/>
      <c r="J13" s="52"/>
      <c r="K13" s="52"/>
      <c r="L13" s="52"/>
      <c r="M13" s="52"/>
      <c r="N13" s="52"/>
      <c r="O13" s="19"/>
    </row>
    <row r="14" spans="1:15" ht="11.25" customHeight="1" x14ac:dyDescent="0.2">
      <c r="A14" s="98" t="s">
        <v>209</v>
      </c>
      <c r="B14" s="88" t="s">
        <v>210</v>
      </c>
      <c r="G14" s="97" t="s">
        <v>17</v>
      </c>
      <c r="H14" s="502">
        <f>'39'!H17</f>
        <v>647.15</v>
      </c>
      <c r="I14" s="72">
        <f>VLOOKUP(A14,'[1]TAB OGU JUN18'!$A:$G,6,"falso")</f>
        <v>1.2</v>
      </c>
      <c r="J14" s="72">
        <f>VLOOKUP(A14,'[1]TAB OGU JUN18'!$A:$G,4,"falso")</f>
        <v>0.82</v>
      </c>
      <c r="K14" s="15">
        <f>H14*J14</f>
        <v>530.6629999999999</v>
      </c>
      <c r="L14" s="72">
        <f>VLOOKUP(A14,'[1]TAB OGU JUN18'!$A:$G,5,"falso")</f>
        <v>0.38</v>
      </c>
      <c r="M14" s="15">
        <f>H14*L14</f>
        <v>245.917</v>
      </c>
      <c r="N14" s="15">
        <f>H14*I14</f>
        <v>776.57999999999993</v>
      </c>
      <c r="O14" s="25">
        <f>N14/N17</f>
        <v>1</v>
      </c>
    </row>
    <row r="15" spans="1:15" ht="11.25" customHeight="1" x14ac:dyDescent="0.2">
      <c r="A15" s="98"/>
      <c r="B15" s="88" t="s">
        <v>211</v>
      </c>
      <c r="G15" s="97"/>
      <c r="H15" s="502"/>
      <c r="I15" s="72"/>
      <c r="J15" s="72"/>
      <c r="K15" s="15"/>
      <c r="L15" s="72"/>
      <c r="M15" s="15"/>
      <c r="N15" s="15"/>
      <c r="O15" s="25"/>
    </row>
    <row r="16" spans="1:15" ht="11.25" customHeight="1" x14ac:dyDescent="0.2">
      <c r="G16" s="52"/>
      <c r="H16" s="501"/>
      <c r="I16" s="52"/>
      <c r="J16" s="52"/>
      <c r="K16" s="52"/>
      <c r="L16" s="52"/>
      <c r="M16" s="52"/>
      <c r="N16" s="52"/>
      <c r="O16" s="19"/>
    </row>
    <row r="17" spans="1:18" ht="11.25" customHeight="1" x14ac:dyDescent="0.2">
      <c r="B17" s="130" t="s">
        <v>18</v>
      </c>
      <c r="C17" s="131"/>
      <c r="D17" s="131"/>
      <c r="E17" s="131"/>
      <c r="F17" s="131"/>
      <c r="G17" s="53"/>
      <c r="H17" s="503"/>
      <c r="I17" s="53"/>
      <c r="J17" s="53"/>
      <c r="K17" s="53"/>
      <c r="L17" s="53"/>
      <c r="M17" s="53"/>
      <c r="N17" s="15">
        <f>N14</f>
        <v>776.57999999999993</v>
      </c>
      <c r="O17" s="25">
        <f>N17/N24</f>
        <v>0.74999999999999989</v>
      </c>
    </row>
    <row r="18" spans="1:18" ht="11.25" customHeight="1" x14ac:dyDescent="0.2">
      <c r="B18" s="130"/>
      <c r="G18" s="52"/>
      <c r="H18" s="501"/>
      <c r="I18" s="52"/>
      <c r="J18" s="52"/>
      <c r="K18" s="52"/>
      <c r="L18" s="52"/>
      <c r="M18" s="52"/>
      <c r="N18" s="15"/>
      <c r="O18" s="25"/>
    </row>
    <row r="19" spans="1:18" ht="12" customHeight="1" x14ac:dyDescent="0.2">
      <c r="A19" s="98" t="s">
        <v>779</v>
      </c>
      <c r="B19" s="88" t="s">
        <v>780</v>
      </c>
      <c r="G19" s="52"/>
      <c r="H19" s="506"/>
      <c r="I19" s="324"/>
      <c r="J19" s="313"/>
      <c r="K19" s="313"/>
      <c r="L19" s="313"/>
      <c r="M19" s="313"/>
      <c r="N19" s="313"/>
      <c r="O19" s="19"/>
      <c r="Q19" s="311"/>
    </row>
    <row r="20" spans="1:18" ht="12" customHeight="1" x14ac:dyDescent="0.2">
      <c r="A20" s="98" t="s">
        <v>782</v>
      </c>
      <c r="B20" s="88" t="s">
        <v>781</v>
      </c>
      <c r="G20" s="97" t="s">
        <v>17</v>
      </c>
      <c r="H20" s="495">
        <f>H14</f>
        <v>647.15</v>
      </c>
      <c r="I20" s="323">
        <f>VLOOKUP(A20,'[1]TAB OGU JUN18'!$A:$G,6,"falso")</f>
        <v>0.4</v>
      </c>
      <c r="J20" s="323">
        <f>VLOOKUP(A20,'[1]TAB OGU JUN18'!$A:$G,4,"falso")</f>
        <v>0.4</v>
      </c>
      <c r="K20" s="308">
        <f>H20*J20</f>
        <v>258.86</v>
      </c>
      <c r="L20" s="323">
        <f>VLOOKUP(A20,'[1]TAB OGU JUN18'!$A:$G,5,"falso")</f>
        <v>0</v>
      </c>
      <c r="M20" s="308"/>
      <c r="N20" s="308">
        <f>H20*I20</f>
        <v>258.86</v>
      </c>
      <c r="O20" s="25">
        <f>N20/N22</f>
        <v>1</v>
      </c>
      <c r="Q20" s="311"/>
      <c r="R20" s="61" t="s">
        <v>1409</v>
      </c>
    </row>
    <row r="21" spans="1:18" ht="12" customHeight="1" x14ac:dyDescent="0.2">
      <c r="G21" s="52"/>
      <c r="H21" s="506"/>
      <c r="I21" s="324"/>
      <c r="J21" s="313"/>
      <c r="K21" s="313"/>
      <c r="L21" s="313"/>
      <c r="M21" s="313"/>
      <c r="N21" s="313"/>
      <c r="O21" s="19"/>
      <c r="Q21" s="311"/>
    </row>
    <row r="22" spans="1:18" ht="12" customHeight="1" x14ac:dyDescent="0.2">
      <c r="B22" s="130" t="s">
        <v>18</v>
      </c>
      <c r="C22" s="131"/>
      <c r="D22" s="131"/>
      <c r="E22" s="131"/>
      <c r="F22" s="131"/>
      <c r="G22" s="53"/>
      <c r="H22" s="507"/>
      <c r="I22" s="325"/>
      <c r="J22" s="326"/>
      <c r="K22" s="326"/>
      <c r="L22" s="326"/>
      <c r="M22" s="326"/>
      <c r="N22" s="308">
        <f>N20</f>
        <v>258.86</v>
      </c>
      <c r="O22" s="25">
        <f>N22/N24</f>
        <v>0.25</v>
      </c>
      <c r="Q22" s="311"/>
    </row>
    <row r="23" spans="1:18" ht="12" customHeight="1" x14ac:dyDescent="0.2">
      <c r="B23" s="130"/>
      <c r="G23" s="52"/>
      <c r="H23" s="506"/>
      <c r="I23" s="324"/>
      <c r="J23" s="313"/>
      <c r="K23" s="313"/>
      <c r="L23" s="313"/>
      <c r="M23" s="313"/>
      <c r="N23" s="308"/>
      <c r="O23" s="25"/>
      <c r="Q23" s="311"/>
    </row>
    <row r="24" spans="1:18" s="132" customFormat="1" ht="11.25" customHeight="1" x14ac:dyDescent="0.2">
      <c r="B24" s="133" t="s">
        <v>20</v>
      </c>
      <c r="C24" s="134"/>
      <c r="D24" s="134"/>
      <c r="E24" s="134"/>
      <c r="F24" s="134"/>
      <c r="G24" s="78"/>
      <c r="H24" s="504"/>
      <c r="I24" s="78"/>
      <c r="J24" s="78"/>
      <c r="K24" s="78"/>
      <c r="L24" s="78"/>
      <c r="M24" s="78"/>
      <c r="N24" s="83">
        <f>N17+N22</f>
        <v>1035.44</v>
      </c>
      <c r="O24" s="77">
        <f>N24/$N$84</f>
        <v>0.14592484964051652</v>
      </c>
    </row>
    <row r="25" spans="1:18" ht="11.25" customHeight="1" x14ac:dyDescent="0.2">
      <c r="G25" s="52"/>
      <c r="H25" s="501"/>
      <c r="I25" s="52"/>
      <c r="J25" s="52"/>
      <c r="K25" s="52"/>
      <c r="L25" s="52"/>
      <c r="M25" s="52"/>
      <c r="N25" s="52"/>
      <c r="O25" s="19"/>
    </row>
    <row r="26" spans="1:18" ht="11.25" customHeight="1" x14ac:dyDescent="0.2">
      <c r="A26" s="129" t="s">
        <v>93</v>
      </c>
      <c r="B26" s="88" t="s">
        <v>96</v>
      </c>
      <c r="H26" s="505"/>
      <c r="O26" s="61"/>
    </row>
    <row r="27" spans="1:18" ht="11.25" customHeight="1" x14ac:dyDescent="0.2">
      <c r="A27" s="129" t="s">
        <v>810</v>
      </c>
      <c r="B27" s="88" t="s">
        <v>811</v>
      </c>
      <c r="H27" s="505"/>
      <c r="O27" s="61"/>
    </row>
    <row r="28" spans="1:18" ht="11.25" customHeight="1" x14ac:dyDescent="0.2">
      <c r="A28" s="129" t="s">
        <v>295</v>
      </c>
      <c r="B28" s="88" t="s">
        <v>1353</v>
      </c>
      <c r="G28" s="97" t="s">
        <v>32</v>
      </c>
      <c r="H28" s="502">
        <f>H14*0.41*1</f>
        <v>265.33149999999995</v>
      </c>
      <c r="I28" s="72">
        <f>VLOOKUP(A28,'[1]TAB OGU JUN18'!$A:$G,6,"falso")</f>
        <v>7.1</v>
      </c>
      <c r="J28" s="72">
        <f>VLOOKUP(A28,'[1]TAB OGU JUN18'!$A:$G,4,"falso")</f>
        <v>7.1</v>
      </c>
      <c r="K28" s="15">
        <f>H28*J28</f>
        <v>1883.8536499999996</v>
      </c>
      <c r="L28" s="72">
        <f>VLOOKUP(A28,'[1]TAB OGU JUN18'!$A:$G,5,"falso")</f>
        <v>0</v>
      </c>
      <c r="M28" s="15"/>
      <c r="N28" s="15">
        <f>H28*I28</f>
        <v>1883.8536499999996</v>
      </c>
      <c r="O28" s="25">
        <f>N28/N30</f>
        <v>1</v>
      </c>
    </row>
    <row r="29" spans="1:18" ht="11.25" customHeight="1" x14ac:dyDescent="0.2">
      <c r="G29" s="52"/>
      <c r="H29" s="501"/>
      <c r="I29" s="52"/>
      <c r="J29" s="52"/>
      <c r="K29" s="52"/>
      <c r="L29" s="52"/>
      <c r="M29" s="52"/>
      <c r="N29" s="456"/>
      <c r="O29" s="25"/>
    </row>
    <row r="30" spans="1:18" ht="11.25" customHeight="1" x14ac:dyDescent="0.2">
      <c r="B30" s="130" t="s">
        <v>18</v>
      </c>
      <c r="C30" s="131"/>
      <c r="D30" s="131"/>
      <c r="E30" s="131"/>
      <c r="F30" s="131"/>
      <c r="G30" s="53"/>
      <c r="H30" s="503"/>
      <c r="I30" s="53"/>
      <c r="J30" s="53"/>
      <c r="K30" s="53"/>
      <c r="L30" s="53"/>
      <c r="M30" s="53"/>
      <c r="N30" s="15">
        <f>SUM(N28:N28)</f>
        <v>1883.8536499999996</v>
      </c>
      <c r="O30" s="25">
        <f>N30/N52</f>
        <v>0.5699173381769157</v>
      </c>
    </row>
    <row r="31" spans="1:18" ht="11.25" customHeight="1" x14ac:dyDescent="0.2">
      <c r="B31" s="130"/>
      <c r="G31" s="52"/>
      <c r="H31" s="501"/>
      <c r="I31" s="52"/>
      <c r="N31" s="15"/>
      <c r="O31" s="25"/>
    </row>
    <row r="32" spans="1:18" ht="11.25" customHeight="1" x14ac:dyDescent="0.2">
      <c r="A32" s="98" t="s">
        <v>101</v>
      </c>
      <c r="B32" s="88" t="s">
        <v>21</v>
      </c>
      <c r="G32" s="97"/>
      <c r="H32" s="502"/>
      <c r="I32" s="15"/>
      <c r="J32" s="15"/>
      <c r="K32" s="15"/>
      <c r="L32" s="15"/>
      <c r="M32" s="15"/>
      <c r="N32" s="15"/>
      <c r="O32" s="25"/>
    </row>
    <row r="33" spans="1:15" ht="11.25" customHeight="1" x14ac:dyDescent="0.2">
      <c r="A33" s="98" t="s">
        <v>103</v>
      </c>
      <c r="B33" s="88" t="s">
        <v>105</v>
      </c>
      <c r="G33" s="97" t="s">
        <v>32</v>
      </c>
      <c r="H33" s="502">
        <f>H28-(H14*((PI()*0.11^2)/4))</f>
        <v>259.18142790054378</v>
      </c>
      <c r="I33" s="72">
        <f>VLOOKUP(A33,'[1]TAB OGU JUN18'!$A:$G,6,"falso")</f>
        <v>1.32</v>
      </c>
      <c r="J33" s="72">
        <f>VLOOKUP(A33,'[1]TAB OGU JUN18'!$A:$G,4,"falso")</f>
        <v>1.32</v>
      </c>
      <c r="K33" s="15">
        <f>H33*J33</f>
        <v>342.11948482871782</v>
      </c>
      <c r="L33" s="72">
        <f>VLOOKUP(A33,'[1]TAB OGU JUN18'!$A:$G,5,"falso")</f>
        <v>0</v>
      </c>
      <c r="M33" s="15"/>
      <c r="N33" s="15">
        <f>H33*I33</f>
        <v>342.11948482871782</v>
      </c>
      <c r="O33" s="25">
        <f>N33/N35</f>
        <v>1</v>
      </c>
    </row>
    <row r="34" spans="1:15" ht="11.25" customHeight="1" x14ac:dyDescent="0.2">
      <c r="B34" s="130"/>
      <c r="G34" s="52"/>
      <c r="H34" s="501"/>
      <c r="I34" s="52"/>
      <c r="J34" s="52"/>
      <c r="K34" s="52"/>
      <c r="L34" s="52"/>
      <c r="M34" s="52"/>
      <c r="N34" s="15"/>
      <c r="O34" s="25"/>
    </row>
    <row r="35" spans="1:15" ht="11.25" customHeight="1" x14ac:dyDescent="0.2">
      <c r="B35" s="130" t="s">
        <v>18</v>
      </c>
      <c r="C35" s="131"/>
      <c r="D35" s="131"/>
      <c r="E35" s="131"/>
      <c r="F35" s="131"/>
      <c r="G35" s="53"/>
      <c r="H35" s="503"/>
      <c r="I35" s="53"/>
      <c r="J35" s="53"/>
      <c r="K35" s="53"/>
      <c r="L35" s="53"/>
      <c r="M35" s="53"/>
      <c r="N35" s="15">
        <f>N33</f>
        <v>342.11948482871782</v>
      </c>
      <c r="O35" s="25">
        <f>N35/N52</f>
        <v>0.1035005166840007</v>
      </c>
    </row>
    <row r="36" spans="1:15" ht="11.25" customHeight="1" x14ac:dyDescent="0.2">
      <c r="B36" s="130"/>
      <c r="G36" s="52"/>
      <c r="H36" s="501"/>
      <c r="I36" s="52"/>
      <c r="J36" s="52"/>
      <c r="K36" s="52"/>
      <c r="L36" s="52"/>
      <c r="M36" s="52"/>
      <c r="N36" s="15"/>
      <c r="O36" s="25"/>
    </row>
    <row r="37" spans="1:15" ht="11.25" customHeight="1" x14ac:dyDescent="0.2">
      <c r="A37" s="98" t="s">
        <v>106</v>
      </c>
      <c r="B37" s="88" t="s">
        <v>109</v>
      </c>
      <c r="G37" s="97"/>
      <c r="H37" s="502"/>
      <c r="I37" s="15"/>
      <c r="J37" s="15"/>
      <c r="K37" s="15"/>
      <c r="L37" s="15"/>
      <c r="M37" s="15"/>
      <c r="N37" s="15"/>
      <c r="O37" s="25"/>
    </row>
    <row r="38" spans="1:15" ht="11.25" customHeight="1" x14ac:dyDescent="0.2">
      <c r="A38" s="98" t="s">
        <v>108</v>
      </c>
      <c r="B38" s="88" t="s">
        <v>105</v>
      </c>
      <c r="G38" s="97" t="s">
        <v>32</v>
      </c>
      <c r="H38" s="502">
        <f>H33</f>
        <v>259.18142790054378</v>
      </c>
      <c r="I38" s="72">
        <f>VLOOKUP(A38,'[1]TAB OGU JUN18'!$A:$G,6,"falso")</f>
        <v>4.05</v>
      </c>
      <c r="J38" s="72">
        <f>VLOOKUP(A38,'[1]TAB OGU JUN18'!$A:$G,4,"falso")</f>
        <v>4.05</v>
      </c>
      <c r="K38" s="15">
        <f>H38*J38</f>
        <v>1049.6847829972023</v>
      </c>
      <c r="L38" s="72">
        <f>VLOOKUP(A38,'[1]TAB OGU JUN18'!$A:$G,5,"falso")</f>
        <v>0</v>
      </c>
      <c r="M38" s="15"/>
      <c r="N38" s="15">
        <f>H38*I38</f>
        <v>1049.6847829972023</v>
      </c>
      <c r="O38" s="25">
        <f>N38/N40</f>
        <v>1</v>
      </c>
    </row>
    <row r="39" spans="1:15" ht="11.25" customHeight="1" x14ac:dyDescent="0.2">
      <c r="B39" s="130"/>
      <c r="G39" s="52"/>
      <c r="H39" s="501"/>
      <c r="I39" s="52"/>
      <c r="J39" s="52"/>
      <c r="K39" s="52"/>
      <c r="L39" s="52"/>
      <c r="M39" s="52"/>
      <c r="N39" s="15"/>
      <c r="O39" s="25"/>
    </row>
    <row r="40" spans="1:15" ht="11.25" customHeight="1" x14ac:dyDescent="0.2">
      <c r="B40" s="130" t="s">
        <v>18</v>
      </c>
      <c r="C40" s="131"/>
      <c r="D40" s="131"/>
      <c r="E40" s="131"/>
      <c r="F40" s="131"/>
      <c r="G40" s="53"/>
      <c r="H40" s="503"/>
      <c r="I40" s="53"/>
      <c r="J40" s="53"/>
      <c r="K40" s="53"/>
      <c r="L40" s="53"/>
      <c r="M40" s="53"/>
      <c r="N40" s="15">
        <f>N38</f>
        <v>1049.6847829972023</v>
      </c>
      <c r="O40" s="25">
        <f>N40/N52</f>
        <v>0.31755840346227487</v>
      </c>
    </row>
    <row r="41" spans="1:15" ht="11.25" customHeight="1" x14ac:dyDescent="0.2">
      <c r="B41" s="130"/>
      <c r="G41" s="52"/>
      <c r="H41" s="501"/>
      <c r="I41" s="52"/>
      <c r="J41" s="52"/>
      <c r="K41" s="52"/>
      <c r="L41" s="52"/>
      <c r="M41" s="52"/>
      <c r="N41" s="15"/>
      <c r="O41" s="25"/>
    </row>
    <row r="42" spans="1:15" ht="11.25" customHeight="1" x14ac:dyDescent="0.2">
      <c r="A42" s="98" t="s">
        <v>110</v>
      </c>
      <c r="B42" s="88" t="s">
        <v>112</v>
      </c>
      <c r="G42" s="52"/>
      <c r="H42" s="501"/>
      <c r="I42" s="52"/>
      <c r="J42" s="52"/>
      <c r="K42" s="52"/>
      <c r="L42" s="52"/>
      <c r="M42" s="52"/>
      <c r="N42" s="52"/>
      <c r="O42" s="19"/>
    </row>
    <row r="43" spans="1:15" ht="11.25" customHeight="1" x14ac:dyDescent="0.2">
      <c r="A43" s="98" t="s">
        <v>111</v>
      </c>
      <c r="B43" s="88" t="s">
        <v>113</v>
      </c>
      <c r="G43" s="97" t="s">
        <v>32</v>
      </c>
      <c r="H43" s="502">
        <f>(H28-H33)</f>
        <v>6.1500720994561675</v>
      </c>
      <c r="I43" s="72">
        <f>VLOOKUP(A43,'[1]TAB OGU JUN18'!$A:$G,6,"falso")</f>
        <v>1.85</v>
      </c>
      <c r="J43" s="72">
        <f>VLOOKUP(A43,'[1]TAB OGU JUN18'!$A:$G,4,"falso")</f>
        <v>1.85</v>
      </c>
      <c r="K43" s="15">
        <f>H43*J43</f>
        <v>11.37763338399391</v>
      </c>
      <c r="L43" s="72">
        <f>VLOOKUP(A43,'[1]TAB OGU JUN18'!$A:$G,5,"falso")</f>
        <v>0</v>
      </c>
      <c r="M43" s="15"/>
      <c r="N43" s="15">
        <f>H43*I43</f>
        <v>11.37763338399391</v>
      </c>
      <c r="O43" s="25">
        <f>N43/N45</f>
        <v>1</v>
      </c>
    </row>
    <row r="44" spans="1:15" ht="11.25" customHeight="1" x14ac:dyDescent="0.2">
      <c r="G44" s="52"/>
      <c r="H44" s="501"/>
      <c r="I44" s="52"/>
      <c r="J44" s="52"/>
      <c r="K44" s="52"/>
      <c r="L44" s="52"/>
      <c r="M44" s="52"/>
      <c r="N44" s="52"/>
      <c r="O44" s="19"/>
    </row>
    <row r="45" spans="1:15" ht="11.25" customHeight="1" x14ac:dyDescent="0.2">
      <c r="B45" s="130" t="s">
        <v>18</v>
      </c>
      <c r="C45" s="131"/>
      <c r="D45" s="131"/>
      <c r="E45" s="131"/>
      <c r="F45" s="131"/>
      <c r="G45" s="53"/>
      <c r="H45" s="503"/>
      <c r="I45" s="53"/>
      <c r="J45" s="53"/>
      <c r="K45" s="53"/>
      <c r="L45" s="53"/>
      <c r="M45" s="53"/>
      <c r="N45" s="15">
        <f>N43</f>
        <v>11.37763338399391</v>
      </c>
      <c r="O45" s="25">
        <f>N45/N52</f>
        <v>3.4420457942466098E-3</v>
      </c>
    </row>
    <row r="46" spans="1:15" ht="11.25" customHeight="1" x14ac:dyDescent="0.2">
      <c r="B46" s="130"/>
      <c r="G46" s="52"/>
      <c r="H46" s="501"/>
      <c r="I46" s="52"/>
      <c r="J46" s="52"/>
      <c r="K46" s="52"/>
      <c r="L46" s="52"/>
      <c r="M46" s="52"/>
      <c r="N46" s="15"/>
      <c r="O46" s="25"/>
    </row>
    <row r="47" spans="1:15" ht="11.25" customHeight="1" x14ac:dyDescent="0.2">
      <c r="A47" s="98" t="s">
        <v>114</v>
      </c>
      <c r="B47" s="88" t="s">
        <v>799</v>
      </c>
      <c r="G47" s="52"/>
      <c r="H47" s="501"/>
      <c r="I47" s="52"/>
      <c r="J47" s="52"/>
      <c r="K47" s="52"/>
      <c r="L47" s="52"/>
      <c r="M47" s="52"/>
      <c r="N47" s="52"/>
      <c r="O47" s="19"/>
    </row>
    <row r="48" spans="1:15" ht="11.25" customHeight="1" x14ac:dyDescent="0.2">
      <c r="A48" s="98" t="s">
        <v>115</v>
      </c>
      <c r="B48" s="88" t="s">
        <v>116</v>
      </c>
      <c r="G48" s="97" t="s">
        <v>180</v>
      </c>
      <c r="H48" s="502">
        <f>H43*3</f>
        <v>18.450216298368503</v>
      </c>
      <c r="I48" s="72">
        <f>VLOOKUP(A48,'[1]TAB OGU JUN18'!$A:$G,6,"falso")</f>
        <v>1</v>
      </c>
      <c r="J48" s="72">
        <f>VLOOKUP(A48,'[1]TAB OGU JUN18'!$A:$G,4,"falso")</f>
        <v>1</v>
      </c>
      <c r="K48" s="15">
        <f>H48*J48</f>
        <v>18.450216298368503</v>
      </c>
      <c r="L48" s="72">
        <f>VLOOKUP(A48,'[1]TAB OGU JUN18'!$A:$G,5,"falso")</f>
        <v>0</v>
      </c>
      <c r="M48" s="15"/>
      <c r="N48" s="15">
        <f>H48*I48</f>
        <v>18.450216298368503</v>
      </c>
      <c r="O48" s="25">
        <f>N48/N50</f>
        <v>1</v>
      </c>
    </row>
    <row r="49" spans="1:15" ht="11.25" customHeight="1" x14ac:dyDescent="0.2">
      <c r="G49" s="52"/>
      <c r="H49" s="501"/>
      <c r="I49" s="52"/>
      <c r="J49" s="52"/>
      <c r="K49" s="52"/>
      <c r="L49" s="52"/>
      <c r="M49" s="52"/>
      <c r="N49" s="52"/>
      <c r="O49" s="19"/>
    </row>
    <row r="50" spans="1:15" ht="11.25" customHeight="1" x14ac:dyDescent="0.2">
      <c r="B50" s="130" t="s">
        <v>18</v>
      </c>
      <c r="C50" s="131"/>
      <c r="D50" s="131"/>
      <c r="E50" s="131"/>
      <c r="F50" s="131"/>
      <c r="G50" s="53"/>
      <c r="H50" s="503"/>
      <c r="I50" s="53"/>
      <c r="J50" s="53"/>
      <c r="K50" s="53"/>
      <c r="L50" s="53"/>
      <c r="M50" s="53"/>
      <c r="N50" s="15">
        <f>N48</f>
        <v>18.450216298368503</v>
      </c>
      <c r="O50" s="25">
        <f>N50/N52</f>
        <v>5.5816958825620697E-3</v>
      </c>
    </row>
    <row r="51" spans="1:15" ht="11.25" customHeight="1" x14ac:dyDescent="0.2">
      <c r="B51" s="130"/>
      <c r="G51" s="52"/>
      <c r="H51" s="501"/>
      <c r="I51" s="52"/>
      <c r="J51" s="52"/>
      <c r="K51" s="52"/>
      <c r="L51" s="52"/>
      <c r="M51" s="52"/>
      <c r="N51" s="15"/>
      <c r="O51" s="25"/>
    </row>
    <row r="52" spans="1:15" s="132" customFormat="1" ht="11.25" customHeight="1" x14ac:dyDescent="0.2">
      <c r="B52" s="133" t="s">
        <v>20</v>
      </c>
      <c r="C52" s="134"/>
      <c r="D52" s="134"/>
      <c r="E52" s="134"/>
      <c r="F52" s="134"/>
      <c r="G52" s="78"/>
      <c r="H52" s="504"/>
      <c r="I52" s="78"/>
      <c r="J52" s="78"/>
      <c r="K52" s="78"/>
      <c r="L52" s="78"/>
      <c r="M52" s="78"/>
      <c r="N52" s="83">
        <f>N50+N45+N40+N35+N30</f>
        <v>3305.4857675082822</v>
      </c>
      <c r="O52" s="77">
        <f>N52/$N$84</f>
        <v>0.46584303640241187</v>
      </c>
    </row>
    <row r="53" spans="1:15" ht="11.25" customHeight="1" x14ac:dyDescent="0.2">
      <c r="B53" s="130"/>
      <c r="G53" s="52"/>
      <c r="H53" s="501"/>
      <c r="I53" s="52"/>
      <c r="J53" s="52"/>
      <c r="K53" s="52"/>
      <c r="L53" s="52"/>
      <c r="M53" s="52"/>
      <c r="N53" s="15"/>
      <c r="O53" s="25"/>
    </row>
    <row r="54" spans="1:15" ht="11.25" customHeight="1" x14ac:dyDescent="0.2">
      <c r="A54" s="129" t="s">
        <v>124</v>
      </c>
      <c r="B54" s="88" t="s">
        <v>121</v>
      </c>
      <c r="H54" s="505"/>
      <c r="O54" s="61"/>
    </row>
    <row r="55" spans="1:15" ht="11.25" customHeight="1" x14ac:dyDescent="0.2">
      <c r="A55" s="129" t="s">
        <v>125</v>
      </c>
      <c r="B55" s="88" t="s">
        <v>122</v>
      </c>
      <c r="H55" s="505"/>
      <c r="O55" s="61"/>
    </row>
    <row r="56" spans="1:15" ht="11.25" customHeight="1" x14ac:dyDescent="0.2">
      <c r="A56" s="129" t="s">
        <v>126</v>
      </c>
      <c r="B56" s="88" t="s">
        <v>189</v>
      </c>
      <c r="G56" s="97" t="s">
        <v>123</v>
      </c>
      <c r="H56" s="502">
        <f>(H28*0.06*1000)/20000</f>
        <v>0.79599449999999983</v>
      </c>
      <c r="I56" s="72">
        <f>VLOOKUP(A56,'[1]TAB OGU JUN18'!$A:$G,6,"falso")</f>
        <v>5.52</v>
      </c>
      <c r="J56" s="72">
        <f>VLOOKUP(A56,'[1]TAB OGU JUN18'!$A:$G,4,"falso")</f>
        <v>5.52</v>
      </c>
      <c r="K56" s="15">
        <f>H56*J56</f>
        <v>4.3938896399999985</v>
      </c>
      <c r="L56" s="72">
        <f>VLOOKUP(A56,'[1]TAB OGU JUN18'!$A:$G,5,"falso")</f>
        <v>0</v>
      </c>
      <c r="M56" s="15"/>
      <c r="N56" s="15">
        <f>H56*I56</f>
        <v>4.3938896399999985</v>
      </c>
      <c r="O56" s="25">
        <f>N56/N58</f>
        <v>1</v>
      </c>
    </row>
    <row r="57" spans="1:15" ht="11.25" customHeight="1" x14ac:dyDescent="0.2">
      <c r="B57" s="130"/>
      <c r="G57" s="52"/>
      <c r="H57" s="501"/>
      <c r="I57" s="52"/>
      <c r="J57" s="52"/>
      <c r="K57" s="52"/>
      <c r="L57" s="52"/>
      <c r="M57" s="52"/>
      <c r="N57" s="15"/>
      <c r="O57" s="25"/>
    </row>
    <row r="58" spans="1:15" ht="11.25" customHeight="1" x14ac:dyDescent="0.2">
      <c r="B58" s="130" t="s">
        <v>18</v>
      </c>
      <c r="C58" s="131"/>
      <c r="D58" s="131"/>
      <c r="E58" s="131"/>
      <c r="F58" s="131"/>
      <c r="G58" s="53"/>
      <c r="H58" s="503"/>
      <c r="I58" s="53"/>
      <c r="J58" s="53"/>
      <c r="K58" s="53"/>
      <c r="L58" s="53"/>
      <c r="M58" s="53"/>
      <c r="N58" s="15">
        <f>N56</f>
        <v>4.3938896399999985</v>
      </c>
      <c r="O58" s="25">
        <f>N58/N60</f>
        <v>1</v>
      </c>
    </row>
    <row r="59" spans="1:15" ht="11.25" customHeight="1" x14ac:dyDescent="0.2">
      <c r="B59" s="130"/>
      <c r="G59" s="52"/>
      <c r="H59" s="501"/>
      <c r="I59" s="52"/>
      <c r="J59" s="52"/>
      <c r="K59" s="52"/>
      <c r="L59" s="52"/>
      <c r="M59" s="52"/>
      <c r="N59" s="15"/>
      <c r="O59" s="25"/>
    </row>
    <row r="60" spans="1:15" s="132" customFormat="1" ht="11.25" customHeight="1" x14ac:dyDescent="0.2">
      <c r="B60" s="133" t="s">
        <v>20</v>
      </c>
      <c r="C60" s="134"/>
      <c r="D60" s="134"/>
      <c r="E60" s="134"/>
      <c r="F60" s="134"/>
      <c r="G60" s="78"/>
      <c r="H60" s="504"/>
      <c r="I60" s="78"/>
      <c r="J60" s="78"/>
      <c r="K60" s="78"/>
      <c r="L60" s="78"/>
      <c r="M60" s="78"/>
      <c r="N60" s="83">
        <f>N58</f>
        <v>4.3938896399999985</v>
      </c>
      <c r="O60" s="77">
        <f>N60/$N$84</f>
        <v>6.1923209944953156E-4</v>
      </c>
    </row>
    <row r="61" spans="1:15" ht="11.25" customHeight="1" x14ac:dyDescent="0.2">
      <c r="B61" s="130"/>
      <c r="G61" s="52"/>
      <c r="H61" s="501"/>
      <c r="I61" s="52"/>
      <c r="J61" s="52"/>
      <c r="K61" s="52"/>
      <c r="L61" s="52"/>
      <c r="M61" s="52"/>
      <c r="N61" s="15"/>
      <c r="O61" s="25"/>
    </row>
    <row r="62" spans="1:15" ht="11.25" customHeight="1" x14ac:dyDescent="0.2">
      <c r="A62" s="129" t="s">
        <v>127</v>
      </c>
      <c r="B62" s="88" t="s">
        <v>130</v>
      </c>
      <c r="H62" s="505"/>
      <c r="O62" s="61"/>
    </row>
    <row r="63" spans="1:15" ht="11.25" customHeight="1" x14ac:dyDescent="0.2">
      <c r="A63" s="129" t="s">
        <v>863</v>
      </c>
      <c r="B63" s="88" t="s">
        <v>864</v>
      </c>
      <c r="H63" s="505"/>
      <c r="O63" s="61"/>
    </row>
    <row r="64" spans="1:15" ht="11.25" hidden="1" customHeight="1" x14ac:dyDescent="0.2">
      <c r="A64" s="129" t="s">
        <v>1292</v>
      </c>
      <c r="B64" s="88" t="s">
        <v>1287</v>
      </c>
      <c r="G64" s="97" t="s">
        <v>17</v>
      </c>
      <c r="H64" s="502">
        <v>0</v>
      </c>
      <c r="I64" s="72">
        <f>VLOOKUP(A64,'[1]TAB OGU JUN18'!$A:$G,6,"falso")</f>
        <v>0.72</v>
      </c>
      <c r="J64" s="72">
        <f>VLOOKUP(A64,'[1]TAB OGU JUN18'!$A:$G,4,"falso")</f>
        <v>0.72</v>
      </c>
      <c r="K64" s="15">
        <f t="shared" ref="K64:K69" si="0">H64*J64</f>
        <v>0</v>
      </c>
      <c r="L64" s="72">
        <f>VLOOKUP(A64,'[1]TAB OGU JUN18'!$A:$G,5,"falso")</f>
        <v>0</v>
      </c>
      <c r="M64" s="15"/>
      <c r="N64" s="15">
        <f t="shared" ref="N64:N69" si="1">H64*I64</f>
        <v>0</v>
      </c>
      <c r="O64" s="25">
        <f>N64/N71</f>
        <v>0</v>
      </c>
    </row>
    <row r="65" spans="1:15" ht="11.25" hidden="1" customHeight="1" x14ac:dyDescent="0.2">
      <c r="A65" s="129" t="s">
        <v>1293</v>
      </c>
      <c r="B65" s="88" t="s">
        <v>1288</v>
      </c>
      <c r="G65" s="97" t="s">
        <v>17</v>
      </c>
      <c r="H65" s="502">
        <v>0</v>
      </c>
      <c r="I65" s="72">
        <f>VLOOKUP(A65,'[1]TAB OGU JUN18'!$A:$G,6,"falso")</f>
        <v>0.82</v>
      </c>
      <c r="J65" s="72">
        <f>VLOOKUP(A65,'[1]TAB OGU JUN18'!$A:$G,4,"falso")</f>
        <v>0.82</v>
      </c>
      <c r="K65" s="15">
        <f t="shared" si="0"/>
        <v>0</v>
      </c>
      <c r="L65" s="72">
        <f>VLOOKUP(A65,'[1]TAB OGU JUN18'!$A:$G,5,"falso")</f>
        <v>0</v>
      </c>
      <c r="M65" s="15"/>
      <c r="N65" s="15">
        <f t="shared" si="1"/>
        <v>0</v>
      </c>
      <c r="O65" s="25">
        <f>N65/N71</f>
        <v>0</v>
      </c>
    </row>
    <row r="66" spans="1:15" ht="11.25" hidden="1" customHeight="1" x14ac:dyDescent="0.2">
      <c r="A66" s="129" t="s">
        <v>1294</v>
      </c>
      <c r="B66" s="88" t="s">
        <v>1289</v>
      </c>
      <c r="G66" s="97" t="s">
        <v>17</v>
      </c>
      <c r="H66" s="502">
        <v>0</v>
      </c>
      <c r="I66" s="72">
        <f>VLOOKUP(A66,'[1]TAB OGU JUN18'!$A:$G,6,"falso")</f>
        <v>0.87</v>
      </c>
      <c r="J66" s="72">
        <f>VLOOKUP(A66,'[1]TAB OGU JUN18'!$A:$G,4,"falso")</f>
        <v>0.87</v>
      </c>
      <c r="K66" s="15">
        <f t="shared" si="0"/>
        <v>0</v>
      </c>
      <c r="L66" s="72">
        <f>VLOOKUP(A66,'[1]TAB OGU JUN18'!$A:$G,5,"falso")</f>
        <v>0</v>
      </c>
      <c r="M66" s="15"/>
      <c r="N66" s="15">
        <f t="shared" si="1"/>
        <v>0</v>
      </c>
      <c r="O66" s="25">
        <f>N66/N71</f>
        <v>0</v>
      </c>
    </row>
    <row r="67" spans="1:15" ht="11.25" customHeight="1" x14ac:dyDescent="0.2">
      <c r="A67" s="129" t="s">
        <v>1295</v>
      </c>
      <c r="B67" s="88" t="s">
        <v>1290</v>
      </c>
      <c r="G67" s="97" t="s">
        <v>17</v>
      </c>
      <c r="H67" s="502">
        <f>H14</f>
        <v>647.15</v>
      </c>
      <c r="I67" s="72">
        <f>VLOOKUP(A67,'[1]TAB OGU JUN18'!$A:$G,6,"falso")</f>
        <v>1.71</v>
      </c>
      <c r="J67" s="72">
        <f>VLOOKUP(A67,'[1]TAB OGU JUN18'!$A:$G,4,"falso")</f>
        <v>1.71</v>
      </c>
      <c r="K67" s="15">
        <f t="shared" si="0"/>
        <v>1106.6264999999999</v>
      </c>
      <c r="L67" s="72">
        <f>VLOOKUP(A67,'[1]TAB OGU JUN18'!$A:$G,5,"falso")</f>
        <v>0</v>
      </c>
      <c r="M67" s="15"/>
      <c r="N67" s="15">
        <f t="shared" si="1"/>
        <v>1106.6264999999999</v>
      </c>
      <c r="O67" s="25">
        <f>N67/N71</f>
        <v>1</v>
      </c>
    </row>
    <row r="68" spans="1:15" ht="11.25" hidden="1" customHeight="1" x14ac:dyDescent="0.2">
      <c r="A68" s="129" t="s">
        <v>1075</v>
      </c>
      <c r="B68" s="88" t="s">
        <v>1076</v>
      </c>
      <c r="G68" s="97" t="s">
        <v>17</v>
      </c>
      <c r="H68" s="502">
        <v>0</v>
      </c>
      <c r="I68" s="72">
        <f>VLOOKUP(A68,'[1]TAB OGU JUN18'!$A:$G,6,"falso")</f>
        <v>1.85</v>
      </c>
      <c r="J68" s="72">
        <f>VLOOKUP(A68,'[1]TAB OGU JUN18'!$A:$G,4,"falso")</f>
        <v>1.85</v>
      </c>
      <c r="K68" s="15">
        <f t="shared" si="0"/>
        <v>0</v>
      </c>
      <c r="L68" s="72">
        <f>VLOOKUP(A68,'[1]TAB OGU JUN18'!$A:$G,5,"falso")</f>
        <v>0</v>
      </c>
      <c r="M68" s="15"/>
      <c r="N68" s="15">
        <f t="shared" si="1"/>
        <v>0</v>
      </c>
      <c r="O68" s="25">
        <f>N68/N71</f>
        <v>0</v>
      </c>
    </row>
    <row r="69" spans="1:15" ht="11.25" hidden="1" customHeight="1" x14ac:dyDescent="0.2">
      <c r="A69" s="129" t="s">
        <v>1296</v>
      </c>
      <c r="B69" s="88" t="s">
        <v>1291</v>
      </c>
      <c r="G69" s="97" t="s">
        <v>17</v>
      </c>
      <c r="H69" s="502">
        <v>0</v>
      </c>
      <c r="I69" s="72">
        <f>VLOOKUP(A69,'[1]TAB OGU JUN18'!$A:$G,6,"falso")</f>
        <v>2.77</v>
      </c>
      <c r="J69" s="72">
        <f>VLOOKUP(A69,'[1]TAB OGU JUN18'!$A:$G,4,"falso")</f>
        <v>2.77</v>
      </c>
      <c r="K69" s="15">
        <f t="shared" si="0"/>
        <v>0</v>
      </c>
      <c r="L69" s="72">
        <f>VLOOKUP(A69,'[1]TAB OGU JUN18'!$A:$G,5,"falso")</f>
        <v>0</v>
      </c>
      <c r="M69" s="15"/>
      <c r="N69" s="15">
        <f t="shared" si="1"/>
        <v>0</v>
      </c>
      <c r="O69" s="25">
        <f>N69/N71</f>
        <v>0</v>
      </c>
    </row>
    <row r="70" spans="1:15" ht="11.25" customHeight="1" x14ac:dyDescent="0.2">
      <c r="B70" s="130"/>
      <c r="G70" s="52"/>
      <c r="H70" s="501"/>
      <c r="I70" s="52"/>
      <c r="J70" s="52"/>
      <c r="K70" s="52"/>
      <c r="L70" s="52"/>
      <c r="M70" s="52"/>
      <c r="N70" s="15"/>
      <c r="O70" s="25"/>
    </row>
    <row r="71" spans="1:15" ht="11.25" customHeight="1" x14ac:dyDescent="0.2">
      <c r="B71" s="130" t="s">
        <v>18</v>
      </c>
      <c r="C71" s="131"/>
      <c r="D71" s="131"/>
      <c r="E71" s="131"/>
      <c r="F71" s="131"/>
      <c r="G71" s="53"/>
      <c r="H71" s="503"/>
      <c r="I71" s="53"/>
      <c r="J71" s="53"/>
      <c r="K71" s="53"/>
      <c r="L71" s="53"/>
      <c r="M71" s="53"/>
      <c r="N71" s="15">
        <f>SUM(N64:N69)</f>
        <v>1106.6264999999999</v>
      </c>
      <c r="O71" s="25">
        <f>N71/N73</f>
        <v>1</v>
      </c>
    </row>
    <row r="72" spans="1:15" ht="11.25" customHeight="1" x14ac:dyDescent="0.2">
      <c r="B72" s="130"/>
      <c r="G72" s="52"/>
      <c r="H72" s="501"/>
      <c r="I72" s="52"/>
      <c r="J72" s="52"/>
      <c r="K72" s="52"/>
      <c r="L72" s="52"/>
      <c r="M72" s="52"/>
      <c r="N72" s="15"/>
      <c r="O72" s="25"/>
    </row>
    <row r="73" spans="1:15" s="132" customFormat="1" ht="11.25" customHeight="1" x14ac:dyDescent="0.2">
      <c r="B73" s="133" t="s">
        <v>20</v>
      </c>
      <c r="C73" s="134"/>
      <c r="D73" s="134"/>
      <c r="E73" s="134"/>
      <c r="F73" s="134"/>
      <c r="G73" s="78"/>
      <c r="H73" s="504"/>
      <c r="I73" s="78"/>
      <c r="J73" s="78"/>
      <c r="K73" s="78"/>
      <c r="L73" s="78"/>
      <c r="M73" s="78"/>
      <c r="N73" s="83">
        <f>N71</f>
        <v>1106.6264999999999</v>
      </c>
      <c r="O73" s="77">
        <f>N73/$N$84</f>
        <v>0.155957183053302</v>
      </c>
    </row>
    <row r="74" spans="1:15" ht="11.25" customHeight="1" x14ac:dyDescent="0.2">
      <c r="B74" s="130"/>
      <c r="G74" s="52"/>
      <c r="H74" s="501"/>
      <c r="I74" s="52"/>
      <c r="J74" s="52"/>
      <c r="K74" s="52"/>
      <c r="L74" s="52"/>
      <c r="M74" s="52"/>
      <c r="N74" s="15"/>
      <c r="O74" s="25"/>
    </row>
    <row r="75" spans="1:15" ht="11.25" customHeight="1" x14ac:dyDescent="0.2">
      <c r="A75" s="98" t="s">
        <v>169</v>
      </c>
      <c r="B75" s="88" t="s">
        <v>172</v>
      </c>
      <c r="G75" s="97"/>
      <c r="H75" s="502"/>
      <c r="I75" s="15"/>
      <c r="J75" s="15"/>
      <c r="K75" s="15"/>
      <c r="L75" s="15"/>
      <c r="M75" s="15"/>
      <c r="N75" s="15"/>
      <c r="O75" s="25"/>
    </row>
    <row r="76" spans="1:15" ht="11.25" customHeight="1" x14ac:dyDescent="0.2">
      <c r="A76" s="98" t="s">
        <v>170</v>
      </c>
      <c r="B76" s="88" t="s">
        <v>173</v>
      </c>
      <c r="G76" s="97"/>
      <c r="H76" s="502"/>
      <c r="I76" s="15"/>
      <c r="J76" s="15"/>
      <c r="K76" s="15"/>
      <c r="L76" s="15"/>
      <c r="M76" s="15"/>
      <c r="N76" s="15"/>
      <c r="O76" s="25"/>
    </row>
    <row r="77" spans="1:15" ht="11.25" customHeight="1" x14ac:dyDescent="0.2">
      <c r="A77" s="98" t="s">
        <v>187</v>
      </c>
      <c r="B77" s="88" t="s">
        <v>223</v>
      </c>
      <c r="G77" s="97" t="s">
        <v>17</v>
      </c>
      <c r="H77" s="502">
        <f>H14</f>
        <v>647.15</v>
      </c>
      <c r="I77" s="72">
        <f>VLOOKUP(A77,'[1]TAB OGU JUN18'!$A:$G,6,"falso")</f>
        <v>1.23</v>
      </c>
      <c r="J77" s="72">
        <f>VLOOKUP(A77,'[1]TAB OGU JUN18'!$A:$G,4,"falso")</f>
        <v>1.23</v>
      </c>
      <c r="K77" s="15">
        <f>H77*J77</f>
        <v>795.99450000000002</v>
      </c>
      <c r="L77" s="72">
        <f>VLOOKUP(A77,'[1]TAB OGU JUN18'!$A:$G,5,"falso")</f>
        <v>0</v>
      </c>
      <c r="M77" s="15"/>
      <c r="N77" s="15">
        <f>H77*I77</f>
        <v>795.99450000000002</v>
      </c>
      <c r="O77" s="25">
        <f>N77/N80</f>
        <v>0.48425196850393704</v>
      </c>
    </row>
    <row r="78" spans="1:15" ht="11.25" customHeight="1" x14ac:dyDescent="0.2">
      <c r="A78" s="98" t="s">
        <v>171</v>
      </c>
      <c r="B78" s="88" t="s">
        <v>174</v>
      </c>
      <c r="G78" s="97" t="s">
        <v>17</v>
      </c>
      <c r="H78" s="502">
        <f>H77</f>
        <v>647.15</v>
      </c>
      <c r="I78" s="72">
        <f>VLOOKUP(A78,'[1]TAB OGU JUN18'!$A:$G,6,"falso")</f>
        <v>1.31</v>
      </c>
      <c r="J78" s="72">
        <f>VLOOKUP(A78,'[1]TAB OGU JUN18'!$A:$G,4,"falso")</f>
        <v>1.1399999999999999</v>
      </c>
      <c r="K78" s="15">
        <f>H78*J78</f>
        <v>737.75099999999986</v>
      </c>
      <c r="L78" s="72">
        <f>VLOOKUP(A78,'[1]TAB OGU JUN18'!$A:$G,5,"falso")</f>
        <v>0.17</v>
      </c>
      <c r="M78" s="15">
        <f>H78*L78</f>
        <v>110.0155</v>
      </c>
      <c r="N78" s="15">
        <f>H78*I78</f>
        <v>847.76649999999995</v>
      </c>
      <c r="O78" s="25">
        <f>N78/N80</f>
        <v>0.51574803149606296</v>
      </c>
    </row>
    <row r="79" spans="1:15" ht="11.25" customHeight="1" x14ac:dyDescent="0.2">
      <c r="B79" s="130"/>
      <c r="G79" s="52"/>
      <c r="H79" s="501"/>
      <c r="I79" s="52"/>
      <c r="J79" s="52"/>
      <c r="K79" s="52"/>
      <c r="L79" s="52"/>
      <c r="M79" s="52"/>
      <c r="N79" s="15"/>
      <c r="O79" s="25"/>
    </row>
    <row r="80" spans="1:15" ht="11.25" customHeight="1" x14ac:dyDescent="0.2">
      <c r="B80" s="130" t="s">
        <v>18</v>
      </c>
      <c r="C80" s="131"/>
      <c r="D80" s="131"/>
      <c r="E80" s="131"/>
      <c r="F80" s="131"/>
      <c r="G80" s="53"/>
      <c r="H80" s="503"/>
      <c r="I80" s="53"/>
      <c r="J80" s="53"/>
      <c r="K80" s="53"/>
      <c r="L80" s="53"/>
      <c r="M80" s="53"/>
      <c r="N80" s="15">
        <f>SUM(N77:N78)</f>
        <v>1643.761</v>
      </c>
      <c r="O80" s="25">
        <f>N80/N82</f>
        <v>1</v>
      </c>
    </row>
    <row r="81" spans="1:16" ht="11.25" customHeight="1" x14ac:dyDescent="0.2">
      <c r="A81" s="98"/>
      <c r="B81" s="88"/>
      <c r="G81" s="97"/>
      <c r="H81" s="502"/>
      <c r="I81" s="15"/>
      <c r="J81" s="15"/>
      <c r="K81" s="15"/>
      <c r="L81" s="15"/>
      <c r="M81" s="15"/>
      <c r="N81" s="15"/>
      <c r="O81" s="25"/>
    </row>
    <row r="82" spans="1:16" s="132" customFormat="1" ht="11.25" customHeight="1" x14ac:dyDescent="0.2">
      <c r="A82" s="145"/>
      <c r="B82" s="133" t="s">
        <v>20</v>
      </c>
      <c r="C82" s="134"/>
      <c r="D82" s="134"/>
      <c r="E82" s="134"/>
      <c r="F82" s="134"/>
      <c r="G82" s="78"/>
      <c r="H82" s="504"/>
      <c r="I82" s="78"/>
      <c r="J82" s="78"/>
      <c r="K82" s="78"/>
      <c r="L82" s="78"/>
      <c r="M82" s="78"/>
      <c r="N82" s="83">
        <f>N80</f>
        <v>1643.761</v>
      </c>
      <c r="O82" s="77">
        <f>N82/$N$84</f>
        <v>0.23165569880431994</v>
      </c>
    </row>
    <row r="83" spans="1:16" ht="6.75" customHeight="1" x14ac:dyDescent="0.2">
      <c r="A83" s="98"/>
      <c r="B83" s="88"/>
      <c r="G83" s="97"/>
      <c r="H83" s="15"/>
      <c r="I83" s="15"/>
      <c r="J83" s="15"/>
      <c r="K83" s="15"/>
      <c r="L83" s="15"/>
      <c r="M83" s="15"/>
      <c r="N83" s="15"/>
      <c r="O83" s="25"/>
    </row>
    <row r="84" spans="1:16" ht="11.25" customHeight="1" x14ac:dyDescent="0.2">
      <c r="A84" s="146"/>
      <c r="B84" s="147" t="s">
        <v>30</v>
      </c>
      <c r="C84" s="146"/>
      <c r="D84" s="146"/>
      <c r="E84" s="146"/>
      <c r="F84" s="146"/>
      <c r="G84" s="146"/>
      <c r="H84" s="148"/>
      <c r="I84" s="146"/>
      <c r="J84" s="146"/>
      <c r="K84" s="207">
        <f>SUM(K14:K83)</f>
        <v>6739.7746571482812</v>
      </c>
      <c r="L84" s="146"/>
      <c r="M84" s="207">
        <f>SUM(M14:M83)</f>
        <v>355.9325</v>
      </c>
      <c r="N84" s="464">
        <f>N24+N52+N60+N82+N73</f>
        <v>7095.7071571482829</v>
      </c>
      <c r="O84" s="146"/>
      <c r="P84" s="149"/>
    </row>
    <row r="85" spans="1:16" ht="6.75" customHeight="1" x14ac:dyDescent="0.2">
      <c r="G85" s="52"/>
      <c r="H85" s="52"/>
      <c r="I85" s="52"/>
      <c r="J85" s="52"/>
      <c r="K85" s="52"/>
      <c r="L85" s="52"/>
      <c r="M85" s="52"/>
      <c r="N85" s="52"/>
      <c r="O85" s="19"/>
    </row>
    <row r="86" spans="1:16" ht="11.25" customHeight="1" x14ac:dyDescent="0.2">
      <c r="A86" s="146"/>
      <c r="B86" s="147" t="s">
        <v>265</v>
      </c>
      <c r="C86" s="146"/>
      <c r="D86" s="146"/>
      <c r="E86" s="146"/>
      <c r="F86" s="146"/>
      <c r="G86" s="146"/>
      <c r="H86" s="148"/>
      <c r="I86" s="146"/>
      <c r="J86" s="146"/>
      <c r="K86" s="207">
        <f>K84+(K84*O5)</f>
        <v>8598.6045075897764</v>
      </c>
      <c r="L86" s="146"/>
      <c r="M86" s="207">
        <f>M84+(M84*O7)</f>
        <v>419.003739</v>
      </c>
      <c r="N86" s="464">
        <f>K86+M86</f>
        <v>9017.6082465897762</v>
      </c>
      <c r="O86" s="29">
        <f>N86/RESUMO!H95</f>
        <v>1.2452706975272622E-3</v>
      </c>
      <c r="P86" s="149"/>
    </row>
    <row r="89" spans="1:16" ht="11.25" customHeight="1" x14ac:dyDescent="0.2">
      <c r="M89" s="589">
        <f>K84+M84</f>
        <v>7095.7071571482811</v>
      </c>
    </row>
    <row r="98" spans="1:15" ht="11.25" customHeight="1" x14ac:dyDescent="0.2">
      <c r="A98" s="150"/>
      <c r="B98" s="150"/>
      <c r="C98" s="150"/>
      <c r="D98" s="150"/>
      <c r="E98" s="150"/>
      <c r="F98" s="150"/>
      <c r="G98" s="150"/>
      <c r="H98" s="150"/>
      <c r="I98" s="150"/>
      <c r="J98" s="150"/>
      <c r="K98" s="150"/>
      <c r="L98" s="150"/>
      <c r="M98" s="150"/>
      <c r="N98" s="211"/>
      <c r="O98" s="211"/>
    </row>
    <row r="99" spans="1:15" ht="11.25" customHeight="1" x14ac:dyDescent="0.2">
      <c r="A99" s="88"/>
      <c r="C99" s="184"/>
      <c r="D99" s="184"/>
      <c r="E99" s="184"/>
      <c r="F99" s="184"/>
      <c r="G99" s="184"/>
      <c r="H99" s="184"/>
      <c r="I99" s="184"/>
      <c r="J99" s="184"/>
      <c r="K99" s="184"/>
      <c r="L99" s="184"/>
      <c r="M99" s="184"/>
      <c r="N99" s="184"/>
      <c r="O99" s="459"/>
    </row>
  </sheetData>
  <mergeCells count="3">
    <mergeCell ref="A2:O2"/>
    <mergeCell ref="N4:O4"/>
    <mergeCell ref="A5:B6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legacyDrawingHF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>
    <tabColor theme="9" tint="0.39997558519241921"/>
    <pageSetUpPr fitToPage="1"/>
  </sheetPr>
  <dimension ref="A1:T55"/>
  <sheetViews>
    <sheetView view="pageBreakPreview" zoomScale="90" zoomScaleNormal="90" zoomScaleSheetLayoutView="90" workbookViewId="0">
      <selection activeCell="R61" sqref="R61"/>
    </sheetView>
  </sheetViews>
  <sheetFormatPr defaultColWidth="11.42578125" defaultRowHeight="12" customHeight="1" x14ac:dyDescent="0.2"/>
  <cols>
    <col min="1" max="4" width="11.42578125" style="51"/>
    <col min="5" max="5" width="11.42578125" style="51" customWidth="1"/>
    <col min="6" max="6" width="28.5703125" style="51" customWidth="1"/>
    <col min="7" max="9" width="11.42578125" style="51" customWidth="1"/>
    <col min="10" max="10" width="8.42578125" style="51" hidden="1" customWidth="1"/>
    <col min="11" max="11" width="11.42578125" style="51" customWidth="1"/>
    <col min="12" max="12" width="8.42578125" style="51" hidden="1" customWidth="1"/>
    <col min="13" max="13" width="11.42578125" style="51" customWidth="1"/>
    <col min="14" max="14" width="17.140625" style="51" customWidth="1"/>
    <col min="15" max="15" width="11.42578125" style="51" customWidth="1"/>
    <col min="16" max="16384" width="11.42578125" style="51"/>
  </cols>
  <sheetData>
    <row r="1" spans="1:16" ht="7.5" customHeight="1" x14ac:dyDescent="0.2"/>
    <row r="2" spans="1:16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6" ht="7.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</row>
    <row r="4" spans="1:16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6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6" ht="12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6" ht="12" customHeight="1" x14ac:dyDescent="0.2">
      <c r="A7" s="253"/>
      <c r="B7" s="253"/>
      <c r="C7" s="260" t="s">
        <v>6</v>
      </c>
      <c r="D7" s="263" t="str">
        <f>RESUMO!A74</f>
        <v>U.C. : 14</v>
      </c>
      <c r="E7" s="258"/>
      <c r="F7" s="258"/>
      <c r="G7" s="260" t="s">
        <v>9</v>
      </c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6" ht="12" customHeight="1" thickBot="1" x14ac:dyDescent="0.25">
      <c r="A8" s="124"/>
      <c r="B8" s="125"/>
      <c r="C8" s="266" t="s">
        <v>8</v>
      </c>
      <c r="D8" s="267" t="str">
        <f>RESUMO!B74</f>
        <v>ESTAÇÃO ELEVATÓRIA DE ESGOTO - EEE01</v>
      </c>
      <c r="E8" s="268"/>
      <c r="F8" s="268"/>
      <c r="G8" s="266"/>
      <c r="H8" s="123"/>
      <c r="I8" s="278"/>
      <c r="J8" s="278"/>
      <c r="K8" s="278"/>
      <c r="L8" s="278"/>
      <c r="M8" s="278" t="s">
        <v>654</v>
      </c>
      <c r="N8" s="271"/>
      <c r="O8" s="268"/>
    </row>
    <row r="9" spans="1:16" ht="12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6" ht="12" customHeight="1" x14ac:dyDescent="0.2">
      <c r="O10" s="61"/>
    </row>
    <row r="11" spans="1:16" ht="12" customHeight="1" x14ac:dyDescent="0.2">
      <c r="A11" s="93">
        <f>RESUMO!A82</f>
        <v>8</v>
      </c>
      <c r="B11" s="93" t="str">
        <f>RESUMO!B82</f>
        <v>LINHA DE RECALQUE - MATERIAIS</v>
      </c>
      <c r="H11" s="505"/>
      <c r="O11" s="61"/>
    </row>
    <row r="12" spans="1:16" ht="12" customHeight="1" x14ac:dyDescent="0.2">
      <c r="A12" s="129" t="s">
        <v>865</v>
      </c>
      <c r="B12" s="88" t="s">
        <v>866</v>
      </c>
      <c r="H12" s="505"/>
      <c r="O12" s="61"/>
    </row>
    <row r="13" spans="1:16" ht="12" customHeight="1" x14ac:dyDescent="0.2">
      <c r="A13" s="494" t="s">
        <v>867</v>
      </c>
      <c r="B13" s="490" t="s">
        <v>868</v>
      </c>
      <c r="C13" s="491"/>
      <c r="D13" s="491"/>
      <c r="E13" s="491"/>
      <c r="G13" s="52"/>
      <c r="H13" s="501"/>
      <c r="I13" s="52"/>
      <c r="J13" s="52"/>
      <c r="K13" s="52"/>
      <c r="L13" s="52"/>
      <c r="M13" s="52"/>
      <c r="N13" s="52"/>
      <c r="O13" s="19"/>
    </row>
    <row r="14" spans="1:16" ht="12" hidden="1" customHeight="1" x14ac:dyDescent="0.2">
      <c r="A14" s="494" t="s">
        <v>1301</v>
      </c>
      <c r="B14" s="490" t="s">
        <v>1297</v>
      </c>
      <c r="C14" s="491"/>
      <c r="D14" s="491"/>
      <c r="E14" s="491"/>
      <c r="F14" s="491"/>
      <c r="G14" s="497" t="s">
        <v>17</v>
      </c>
      <c r="H14" s="502">
        <v>0</v>
      </c>
      <c r="I14" s="489">
        <f>(10.43+12.63)/2</f>
        <v>11.530000000000001</v>
      </c>
      <c r="J14" s="489">
        <v>11.53</v>
      </c>
      <c r="K14" s="502"/>
      <c r="L14" s="489">
        <v>11.53</v>
      </c>
      <c r="M14" s="502">
        <f t="shared" ref="M14" si="0">H14*L14</f>
        <v>0</v>
      </c>
      <c r="N14" s="502">
        <f t="shared" ref="N14" si="1">H14*I14</f>
        <v>0</v>
      </c>
      <c r="O14" s="601">
        <f>N14/$N$47</f>
        <v>0</v>
      </c>
      <c r="P14" s="61" t="s">
        <v>1352</v>
      </c>
    </row>
    <row r="15" spans="1:16" ht="12" hidden="1" customHeight="1" x14ac:dyDescent="0.2">
      <c r="A15" s="494" t="s">
        <v>1302</v>
      </c>
      <c r="B15" s="490" t="s">
        <v>1298</v>
      </c>
      <c r="C15" s="491"/>
      <c r="D15" s="491"/>
      <c r="E15" s="491"/>
      <c r="F15" s="491"/>
      <c r="G15" s="497" t="s">
        <v>17</v>
      </c>
      <c r="H15" s="502">
        <v>0</v>
      </c>
      <c r="I15" s="489">
        <f>(17.82+14.71)/2</f>
        <v>16.265000000000001</v>
      </c>
      <c r="J15" s="489">
        <v>16.27</v>
      </c>
      <c r="K15" s="502"/>
      <c r="L15" s="489">
        <v>16.27</v>
      </c>
      <c r="M15" s="502">
        <f t="shared" ref="M15" si="2">H15*L15</f>
        <v>0</v>
      </c>
      <c r="N15" s="502">
        <f t="shared" ref="N15" si="3">H15*I15</f>
        <v>0</v>
      </c>
      <c r="O15" s="601">
        <f t="shared" ref="O15:O44" si="4">N15/$N$47</f>
        <v>0</v>
      </c>
      <c r="P15" s="61" t="s">
        <v>1352</v>
      </c>
    </row>
    <row r="16" spans="1:16" ht="12" hidden="1" customHeight="1" x14ac:dyDescent="0.2">
      <c r="A16" s="494" t="s">
        <v>1303</v>
      </c>
      <c r="B16" s="490" t="s">
        <v>1299</v>
      </c>
      <c r="C16" s="491"/>
      <c r="D16" s="491"/>
      <c r="E16" s="491"/>
      <c r="F16" s="491"/>
      <c r="G16" s="497" t="s">
        <v>17</v>
      </c>
      <c r="H16" s="502">
        <v>0</v>
      </c>
      <c r="I16" s="489">
        <f>(21.15+25.62)/2</f>
        <v>23.384999999999998</v>
      </c>
      <c r="J16" s="489">
        <v>23.39</v>
      </c>
      <c r="K16" s="502"/>
      <c r="L16" s="489">
        <v>23.39</v>
      </c>
      <c r="M16" s="502">
        <f t="shared" ref="M16" si="5">H16*L16</f>
        <v>0</v>
      </c>
      <c r="N16" s="502">
        <f t="shared" ref="N16" si="6">H16*I16</f>
        <v>0</v>
      </c>
      <c r="O16" s="601">
        <f t="shared" si="4"/>
        <v>0</v>
      </c>
      <c r="P16" s="61" t="s">
        <v>1352</v>
      </c>
    </row>
    <row r="17" spans="1:16" ht="12" customHeight="1" x14ac:dyDescent="0.2">
      <c r="A17" s="494" t="s">
        <v>1304</v>
      </c>
      <c r="B17" s="490" t="s">
        <v>1300</v>
      </c>
      <c r="C17" s="491"/>
      <c r="D17" s="491"/>
      <c r="E17" s="491"/>
      <c r="F17" s="491"/>
      <c r="G17" s="497" t="s">
        <v>17</v>
      </c>
      <c r="H17" s="502">
        <v>647.15</v>
      </c>
      <c r="I17" s="489">
        <f>(38.11+31.48)/2</f>
        <v>34.795000000000002</v>
      </c>
      <c r="J17" s="489">
        <v>34.799999999999997</v>
      </c>
      <c r="K17" s="502"/>
      <c r="L17" s="489">
        <v>34.799999999999997</v>
      </c>
      <c r="M17" s="502">
        <f t="shared" ref="M17" si="7">H17*L17</f>
        <v>22520.819999999996</v>
      </c>
      <c r="N17" s="502">
        <f t="shared" ref="N17" si="8">H17*I17</f>
        <v>22517.58425</v>
      </c>
      <c r="O17" s="601">
        <f t="shared" si="4"/>
        <v>0.99034377202928026</v>
      </c>
      <c r="P17" s="61" t="s">
        <v>1352</v>
      </c>
    </row>
    <row r="18" spans="1:16" ht="12" hidden="1" customHeight="1" x14ac:dyDescent="0.2">
      <c r="A18" s="494" t="s">
        <v>1077</v>
      </c>
      <c r="B18" s="490" t="s">
        <v>1014</v>
      </c>
      <c r="C18" s="491"/>
      <c r="D18" s="491"/>
      <c r="E18" s="491"/>
      <c r="F18" s="491"/>
      <c r="G18" s="497" t="s">
        <v>17</v>
      </c>
      <c r="H18" s="502">
        <v>0</v>
      </c>
      <c r="I18" s="489">
        <f>(40.62+49.2)/2</f>
        <v>44.91</v>
      </c>
      <c r="J18" s="489">
        <f>(40.62+49.2)/2</f>
        <v>44.91</v>
      </c>
      <c r="K18" s="502"/>
      <c r="L18" s="489">
        <f>(40.62+49.2)/2</f>
        <v>44.91</v>
      </c>
      <c r="M18" s="502">
        <f t="shared" ref="M18:M45" si="9">H18*L18</f>
        <v>0</v>
      </c>
      <c r="N18" s="502">
        <f t="shared" ref="N18:N45" si="10">H18*I18</f>
        <v>0</v>
      </c>
      <c r="O18" s="601">
        <f t="shared" si="4"/>
        <v>0</v>
      </c>
      <c r="P18" s="61" t="s">
        <v>1352</v>
      </c>
    </row>
    <row r="19" spans="1:16" ht="12" hidden="1" customHeight="1" x14ac:dyDescent="0.2">
      <c r="A19" s="494" t="s">
        <v>1078</v>
      </c>
      <c r="B19" s="490" t="s">
        <v>1079</v>
      </c>
      <c r="C19" s="491"/>
      <c r="D19" s="491"/>
      <c r="E19" s="491"/>
      <c r="F19" s="491"/>
      <c r="G19" s="497" t="s">
        <v>17</v>
      </c>
      <c r="H19" s="502">
        <v>0</v>
      </c>
      <c r="I19" s="489">
        <f>49.51</f>
        <v>49.51</v>
      </c>
      <c r="J19" s="489">
        <v>49.51</v>
      </c>
      <c r="K19" s="502"/>
      <c r="L19" s="489">
        <v>49.51</v>
      </c>
      <c r="M19" s="502">
        <f t="shared" si="9"/>
        <v>0</v>
      </c>
      <c r="N19" s="502">
        <f t="shared" si="10"/>
        <v>0</v>
      </c>
      <c r="O19" s="601">
        <f t="shared" si="4"/>
        <v>0</v>
      </c>
      <c r="P19" s="61" t="s">
        <v>1351</v>
      </c>
    </row>
    <row r="20" spans="1:16" ht="12" hidden="1" customHeight="1" x14ac:dyDescent="0.2">
      <c r="A20" s="494" t="s">
        <v>1306</v>
      </c>
      <c r="B20" s="490" t="s">
        <v>1305</v>
      </c>
      <c r="C20" s="491"/>
      <c r="D20" s="491"/>
      <c r="E20" s="491"/>
      <c r="F20" s="491"/>
      <c r="G20" s="497" t="s">
        <v>17</v>
      </c>
      <c r="H20" s="502">
        <v>0</v>
      </c>
      <c r="I20" s="489">
        <v>102.44</v>
      </c>
      <c r="J20" s="489">
        <v>102.44</v>
      </c>
      <c r="K20" s="502"/>
      <c r="L20" s="489">
        <v>102.44</v>
      </c>
      <c r="M20" s="502">
        <f t="shared" ref="M20:M29" si="11">H20*L20</f>
        <v>0</v>
      </c>
      <c r="N20" s="502">
        <f t="shared" ref="N20:N29" si="12">H20*I20</f>
        <v>0</v>
      </c>
      <c r="O20" s="601">
        <f t="shared" si="4"/>
        <v>0</v>
      </c>
      <c r="P20" s="61" t="s">
        <v>1351</v>
      </c>
    </row>
    <row r="21" spans="1:16" ht="12" hidden="1" customHeight="1" x14ac:dyDescent="0.2">
      <c r="A21" s="494" t="s">
        <v>545</v>
      </c>
      <c r="B21" s="490" t="s">
        <v>1308</v>
      </c>
      <c r="C21" s="491"/>
      <c r="D21" s="491"/>
      <c r="E21" s="491"/>
      <c r="F21" s="491"/>
      <c r="G21" s="497" t="s">
        <v>24</v>
      </c>
      <c r="H21" s="502">
        <v>0</v>
      </c>
      <c r="I21" s="489">
        <f>(14.42+35.12)/2</f>
        <v>24.77</v>
      </c>
      <c r="J21" s="489">
        <v>24.77</v>
      </c>
      <c r="K21" s="502"/>
      <c r="L21" s="489">
        <v>24.77</v>
      </c>
      <c r="M21" s="502">
        <f t="shared" si="11"/>
        <v>0</v>
      </c>
      <c r="N21" s="502">
        <f t="shared" si="12"/>
        <v>0</v>
      </c>
      <c r="O21" s="601">
        <f t="shared" si="4"/>
        <v>0</v>
      </c>
      <c r="P21" s="61" t="s">
        <v>1352</v>
      </c>
    </row>
    <row r="22" spans="1:16" ht="12" hidden="1" customHeight="1" x14ac:dyDescent="0.2">
      <c r="A22" s="494" t="s">
        <v>545</v>
      </c>
      <c r="B22" s="490" t="s">
        <v>1309</v>
      </c>
      <c r="C22" s="491"/>
      <c r="D22" s="491"/>
      <c r="E22" s="491"/>
      <c r="F22" s="491"/>
      <c r="G22" s="497" t="s">
        <v>24</v>
      </c>
      <c r="H22" s="502">
        <v>0</v>
      </c>
      <c r="I22" s="489">
        <f>(48.34+14.43)/2</f>
        <v>31.385000000000002</v>
      </c>
      <c r="J22" s="489">
        <v>31.39</v>
      </c>
      <c r="K22" s="502"/>
      <c r="L22" s="489">
        <v>31.39</v>
      </c>
      <c r="M22" s="502">
        <f t="shared" ref="M22" si="13">H22*L22</f>
        <v>0</v>
      </c>
      <c r="N22" s="502">
        <f t="shared" ref="N22" si="14">H22*I22</f>
        <v>0</v>
      </c>
      <c r="O22" s="601">
        <f t="shared" si="4"/>
        <v>0</v>
      </c>
      <c r="P22" s="61" t="s">
        <v>1352</v>
      </c>
    </row>
    <row r="23" spans="1:16" ht="12" hidden="1" customHeight="1" x14ac:dyDescent="0.2">
      <c r="A23" s="494" t="s">
        <v>545</v>
      </c>
      <c r="B23" s="490" t="s">
        <v>1310</v>
      </c>
      <c r="C23" s="491"/>
      <c r="D23" s="491"/>
      <c r="E23" s="491"/>
      <c r="F23" s="491"/>
      <c r="G23" s="497" t="s">
        <v>24</v>
      </c>
      <c r="H23" s="502">
        <v>0</v>
      </c>
      <c r="I23" s="489">
        <f>(20.4+46.83)/2</f>
        <v>33.614999999999995</v>
      </c>
      <c r="J23" s="489">
        <v>33.619999999999997</v>
      </c>
      <c r="K23" s="502"/>
      <c r="L23" s="489">
        <v>33.619999999999997</v>
      </c>
      <c r="M23" s="502">
        <f t="shared" si="11"/>
        <v>0</v>
      </c>
      <c r="N23" s="502">
        <f t="shared" si="12"/>
        <v>0</v>
      </c>
      <c r="O23" s="601">
        <f t="shared" si="4"/>
        <v>0</v>
      </c>
      <c r="P23" s="61" t="s">
        <v>1352</v>
      </c>
    </row>
    <row r="24" spans="1:16" ht="12" customHeight="1" x14ac:dyDescent="0.2">
      <c r="A24" s="494" t="s">
        <v>545</v>
      </c>
      <c r="B24" s="490" t="s">
        <v>1311</v>
      </c>
      <c r="C24" s="491"/>
      <c r="D24" s="491"/>
      <c r="E24" s="491"/>
      <c r="F24" s="491"/>
      <c r="G24" s="497" t="s">
        <v>24</v>
      </c>
      <c r="H24" s="502">
        <v>1</v>
      </c>
      <c r="I24" s="489">
        <f>(87.8+61.73)/2</f>
        <v>74.765000000000001</v>
      </c>
      <c r="J24" s="489">
        <v>74.77</v>
      </c>
      <c r="K24" s="502"/>
      <c r="L24" s="489">
        <v>74.77</v>
      </c>
      <c r="M24" s="502">
        <f t="shared" ref="M24" si="15">H24*L24</f>
        <v>74.77</v>
      </c>
      <c r="N24" s="502">
        <f t="shared" ref="N24" si="16">H24*I24</f>
        <v>74.765000000000001</v>
      </c>
      <c r="O24" s="601">
        <f t="shared" si="4"/>
        <v>3.2882324894940333E-3</v>
      </c>
      <c r="P24" s="61" t="s">
        <v>1352</v>
      </c>
    </row>
    <row r="25" spans="1:16" ht="12" hidden="1" customHeight="1" x14ac:dyDescent="0.2">
      <c r="A25" s="494" t="s">
        <v>545</v>
      </c>
      <c r="B25" s="490" t="s">
        <v>1307</v>
      </c>
      <c r="C25" s="491"/>
      <c r="D25" s="491"/>
      <c r="E25" s="491"/>
      <c r="F25" s="491"/>
      <c r="G25" s="497" t="s">
        <v>24</v>
      </c>
      <c r="H25" s="502">
        <v>0</v>
      </c>
      <c r="I25" s="489">
        <f>(65.95+161.75)/2</f>
        <v>113.85</v>
      </c>
      <c r="J25" s="489">
        <v>113.85</v>
      </c>
      <c r="K25" s="502"/>
      <c r="L25" s="489">
        <v>113.85</v>
      </c>
      <c r="M25" s="502">
        <f t="shared" si="11"/>
        <v>0</v>
      </c>
      <c r="N25" s="502">
        <f t="shared" si="12"/>
        <v>0</v>
      </c>
      <c r="O25" s="601">
        <f t="shared" si="4"/>
        <v>0</v>
      </c>
      <c r="P25" s="61" t="s">
        <v>1352</v>
      </c>
    </row>
    <row r="26" spans="1:16" ht="12" hidden="1" customHeight="1" x14ac:dyDescent="0.2">
      <c r="A26" s="494" t="s">
        <v>545</v>
      </c>
      <c r="B26" s="490" t="s">
        <v>1312</v>
      </c>
      <c r="C26" s="491"/>
      <c r="D26" s="491"/>
      <c r="E26" s="491"/>
      <c r="F26" s="491"/>
      <c r="G26" s="497" t="s">
        <v>24</v>
      </c>
      <c r="H26" s="502">
        <v>0</v>
      </c>
      <c r="I26" s="489">
        <f>(29.27+15.19)/2</f>
        <v>22.23</v>
      </c>
      <c r="J26" s="489">
        <v>22.23</v>
      </c>
      <c r="K26" s="502"/>
      <c r="L26" s="489">
        <v>22.23</v>
      </c>
      <c r="M26" s="502">
        <f t="shared" ref="M26" si="17">H26*L26</f>
        <v>0</v>
      </c>
      <c r="N26" s="502">
        <f t="shared" ref="N26" si="18">H26*I26</f>
        <v>0</v>
      </c>
      <c r="O26" s="601">
        <f t="shared" si="4"/>
        <v>0</v>
      </c>
      <c r="P26" s="61" t="s">
        <v>1352</v>
      </c>
    </row>
    <row r="27" spans="1:16" ht="12" hidden="1" customHeight="1" x14ac:dyDescent="0.2">
      <c r="A27" s="494" t="s">
        <v>545</v>
      </c>
      <c r="B27" s="490" t="s">
        <v>1313</v>
      </c>
      <c r="C27" s="491"/>
      <c r="D27" s="491"/>
      <c r="E27" s="491"/>
      <c r="F27" s="491"/>
      <c r="G27" s="497" t="s">
        <v>24</v>
      </c>
      <c r="H27" s="502">
        <v>0</v>
      </c>
      <c r="I27" s="489">
        <f>(15.82+50.2)/2</f>
        <v>33.010000000000005</v>
      </c>
      <c r="J27" s="489">
        <v>33.01</v>
      </c>
      <c r="K27" s="502"/>
      <c r="L27" s="489">
        <v>33.01</v>
      </c>
      <c r="M27" s="502">
        <f t="shared" si="11"/>
        <v>0</v>
      </c>
      <c r="N27" s="502">
        <f t="shared" si="12"/>
        <v>0</v>
      </c>
      <c r="O27" s="601">
        <f t="shared" si="4"/>
        <v>0</v>
      </c>
      <c r="P27" s="61" t="s">
        <v>1352</v>
      </c>
    </row>
    <row r="28" spans="1:16" ht="12" hidden="1" customHeight="1" x14ac:dyDescent="0.2">
      <c r="A28" s="494" t="s">
        <v>545</v>
      </c>
      <c r="B28" s="490" t="s">
        <v>1314</v>
      </c>
      <c r="C28" s="491"/>
      <c r="D28" s="491"/>
      <c r="E28" s="491"/>
      <c r="F28" s="491"/>
      <c r="G28" s="497" t="s">
        <v>24</v>
      </c>
      <c r="H28" s="502">
        <v>0</v>
      </c>
      <c r="I28" s="489">
        <f>(21.3+49.75)/2</f>
        <v>35.524999999999999</v>
      </c>
      <c r="J28" s="489">
        <v>35.53</v>
      </c>
      <c r="K28" s="502"/>
      <c r="L28" s="489">
        <v>35.53</v>
      </c>
      <c r="M28" s="502">
        <f t="shared" ref="M28" si="19">H28*L28</f>
        <v>0</v>
      </c>
      <c r="N28" s="502">
        <f t="shared" ref="N28" si="20">H28*I28</f>
        <v>0</v>
      </c>
      <c r="O28" s="601">
        <f t="shared" si="4"/>
        <v>0</v>
      </c>
      <c r="P28" s="61" t="s">
        <v>1352</v>
      </c>
    </row>
    <row r="29" spans="1:16" ht="12" customHeight="1" x14ac:dyDescent="0.2">
      <c r="A29" s="494" t="s">
        <v>545</v>
      </c>
      <c r="B29" s="490" t="s">
        <v>1315</v>
      </c>
      <c r="C29" s="491"/>
      <c r="D29" s="491"/>
      <c r="E29" s="491"/>
      <c r="F29" s="491"/>
      <c r="G29" s="497" t="s">
        <v>24</v>
      </c>
      <c r="H29" s="502">
        <v>1</v>
      </c>
      <c r="I29" s="489">
        <f>(90.73+65.98)/2</f>
        <v>78.355000000000004</v>
      </c>
      <c r="J29" s="489">
        <v>78.36</v>
      </c>
      <c r="K29" s="502"/>
      <c r="L29" s="489">
        <v>78.36</v>
      </c>
      <c r="M29" s="502">
        <f t="shared" si="11"/>
        <v>78.36</v>
      </c>
      <c r="N29" s="502">
        <f t="shared" si="12"/>
        <v>78.355000000000004</v>
      </c>
      <c r="O29" s="601">
        <f t="shared" si="4"/>
        <v>3.4461239445503244E-3</v>
      </c>
      <c r="P29" s="61" t="s">
        <v>1352</v>
      </c>
    </row>
    <row r="30" spans="1:16" ht="12" hidden="1" customHeight="1" x14ac:dyDescent="0.2">
      <c r="A30" s="494" t="s">
        <v>545</v>
      </c>
      <c r="B30" s="490" t="s">
        <v>1015</v>
      </c>
      <c r="C30" s="491"/>
      <c r="D30" s="491"/>
      <c r="E30" s="491"/>
      <c r="F30" s="491"/>
      <c r="G30" s="497" t="s">
        <v>24</v>
      </c>
      <c r="H30" s="502">
        <v>0</v>
      </c>
      <c r="I30" s="489">
        <f>(78.69+167.32)/2</f>
        <v>123.005</v>
      </c>
      <c r="J30" s="489">
        <v>123.01</v>
      </c>
      <c r="K30" s="502"/>
      <c r="L30" s="489">
        <v>123.01</v>
      </c>
      <c r="M30" s="502">
        <f t="shared" si="9"/>
        <v>0</v>
      </c>
      <c r="N30" s="502">
        <f t="shared" si="10"/>
        <v>0</v>
      </c>
      <c r="O30" s="601">
        <f t="shared" si="4"/>
        <v>0</v>
      </c>
      <c r="P30" s="61" t="s">
        <v>1352</v>
      </c>
    </row>
    <row r="31" spans="1:16" ht="12" hidden="1" customHeight="1" x14ac:dyDescent="0.2">
      <c r="A31" s="494" t="s">
        <v>545</v>
      </c>
      <c r="B31" s="490" t="s">
        <v>1325</v>
      </c>
      <c r="C31" s="491"/>
      <c r="D31" s="491"/>
      <c r="E31" s="491"/>
      <c r="F31" s="491"/>
      <c r="G31" s="497" t="s">
        <v>24</v>
      </c>
      <c r="H31" s="502">
        <v>0</v>
      </c>
      <c r="I31" s="489">
        <f>(316.06+202.29)/2</f>
        <v>259.17500000000001</v>
      </c>
      <c r="J31" s="489">
        <v>259.18</v>
      </c>
      <c r="K31" s="502"/>
      <c r="L31" s="489">
        <v>259.18</v>
      </c>
      <c r="M31" s="502">
        <f t="shared" ref="M31" si="21">H31*L31</f>
        <v>0</v>
      </c>
      <c r="N31" s="502">
        <f t="shared" ref="N31" si="22">H31*I31</f>
        <v>0</v>
      </c>
      <c r="O31" s="601">
        <f t="shared" si="4"/>
        <v>0</v>
      </c>
      <c r="P31" s="61" t="s">
        <v>1352</v>
      </c>
    </row>
    <row r="32" spans="1:16" ht="12" hidden="1" customHeight="1" x14ac:dyDescent="0.2">
      <c r="A32" s="494" t="s">
        <v>545</v>
      </c>
      <c r="B32" s="490" t="s">
        <v>1316</v>
      </c>
      <c r="C32" s="491"/>
      <c r="D32" s="491"/>
      <c r="E32" s="491"/>
      <c r="F32" s="491"/>
      <c r="G32" s="497" t="s">
        <v>24</v>
      </c>
      <c r="H32" s="502">
        <v>0</v>
      </c>
      <c r="I32" s="489">
        <f>(7.24+60.44)/2</f>
        <v>33.839999999999996</v>
      </c>
      <c r="J32" s="489">
        <v>33.840000000000003</v>
      </c>
      <c r="K32" s="502"/>
      <c r="L32" s="489">
        <v>33.840000000000003</v>
      </c>
      <c r="M32" s="502">
        <f t="shared" si="9"/>
        <v>0</v>
      </c>
      <c r="N32" s="502">
        <f t="shared" si="10"/>
        <v>0</v>
      </c>
      <c r="O32" s="601">
        <f t="shared" si="4"/>
        <v>0</v>
      </c>
      <c r="P32" s="61" t="s">
        <v>1352</v>
      </c>
    </row>
    <row r="33" spans="1:20" ht="12" hidden="1" customHeight="1" x14ac:dyDescent="0.2">
      <c r="A33" s="494" t="s">
        <v>545</v>
      </c>
      <c r="B33" s="490" t="s">
        <v>1317</v>
      </c>
      <c r="C33" s="491"/>
      <c r="D33" s="491"/>
      <c r="E33" s="491"/>
      <c r="F33" s="491"/>
      <c r="G33" s="497" t="s">
        <v>24</v>
      </c>
      <c r="H33" s="502">
        <v>0</v>
      </c>
      <c r="I33" s="489">
        <f>(10.54+71.97)/2</f>
        <v>41.254999999999995</v>
      </c>
      <c r="J33" s="489">
        <v>41.26</v>
      </c>
      <c r="K33" s="502"/>
      <c r="L33" s="489">
        <v>41.26</v>
      </c>
      <c r="M33" s="502">
        <f t="shared" ref="M33" si="23">H33*L33</f>
        <v>0</v>
      </c>
      <c r="N33" s="502">
        <f t="shared" ref="N33" si="24">H33*I33</f>
        <v>0</v>
      </c>
      <c r="O33" s="601">
        <f t="shared" si="4"/>
        <v>0</v>
      </c>
      <c r="P33" s="61" t="s">
        <v>1352</v>
      </c>
    </row>
    <row r="34" spans="1:20" ht="12" hidden="1" customHeight="1" x14ac:dyDescent="0.2">
      <c r="A34" s="494" t="s">
        <v>545</v>
      </c>
      <c r="B34" s="490" t="s">
        <v>1318</v>
      </c>
      <c r="C34" s="491"/>
      <c r="D34" s="491"/>
      <c r="E34" s="491"/>
      <c r="F34" s="491"/>
      <c r="G34" s="497" t="s">
        <v>24</v>
      </c>
      <c r="H34" s="502">
        <v>0</v>
      </c>
      <c r="I34" s="489">
        <f>(18.08+75.37)/2</f>
        <v>46.725000000000001</v>
      </c>
      <c r="J34" s="489">
        <v>46.73</v>
      </c>
      <c r="K34" s="502"/>
      <c r="L34" s="489">
        <v>46.73</v>
      </c>
      <c r="M34" s="502">
        <f t="shared" si="9"/>
        <v>0</v>
      </c>
      <c r="N34" s="502">
        <f t="shared" si="10"/>
        <v>0</v>
      </c>
      <c r="O34" s="601">
        <f t="shared" si="4"/>
        <v>0</v>
      </c>
      <c r="P34" s="61" t="s">
        <v>1352</v>
      </c>
    </row>
    <row r="35" spans="1:20" ht="12" customHeight="1" x14ac:dyDescent="0.2">
      <c r="A35" s="494" t="s">
        <v>545</v>
      </c>
      <c r="B35" s="490" t="s">
        <v>1319</v>
      </c>
      <c r="C35" s="491"/>
      <c r="D35" s="491"/>
      <c r="E35" s="491"/>
      <c r="F35" s="491"/>
      <c r="G35" s="497" t="s">
        <v>24</v>
      </c>
      <c r="H35" s="502">
        <v>1</v>
      </c>
      <c r="I35" s="489">
        <f>(26.81+106.06)/2</f>
        <v>66.435000000000002</v>
      </c>
      <c r="J35" s="489">
        <v>66.44</v>
      </c>
      <c r="K35" s="502"/>
      <c r="L35" s="489">
        <v>66.44</v>
      </c>
      <c r="M35" s="502">
        <f t="shared" ref="M35" si="25">H35*L35</f>
        <v>66.44</v>
      </c>
      <c r="N35" s="502">
        <f t="shared" ref="N35" si="26">H35*I35</f>
        <v>66.435000000000002</v>
      </c>
      <c r="O35" s="601">
        <f t="shared" si="4"/>
        <v>2.9218715366753976E-3</v>
      </c>
      <c r="P35" s="61" t="s">
        <v>1352</v>
      </c>
    </row>
    <row r="36" spans="1:20" ht="12" hidden="1" customHeight="1" x14ac:dyDescent="0.2">
      <c r="A36" s="494" t="s">
        <v>545</v>
      </c>
      <c r="B36" s="490" t="s">
        <v>1016</v>
      </c>
      <c r="C36" s="491"/>
      <c r="D36" s="491"/>
      <c r="E36" s="491"/>
      <c r="F36" s="491"/>
      <c r="G36" s="497" t="s">
        <v>24</v>
      </c>
      <c r="H36" s="502">
        <v>0</v>
      </c>
      <c r="I36" s="489">
        <f>(29.82+104.86)/2</f>
        <v>67.34</v>
      </c>
      <c r="J36" s="489">
        <v>67.34</v>
      </c>
      <c r="K36" s="502"/>
      <c r="L36" s="489">
        <v>67.34</v>
      </c>
      <c r="M36" s="502">
        <f t="shared" si="9"/>
        <v>0</v>
      </c>
      <c r="N36" s="502">
        <f t="shared" si="10"/>
        <v>0</v>
      </c>
      <c r="O36" s="601">
        <f t="shared" si="4"/>
        <v>0</v>
      </c>
      <c r="P36" s="61" t="s">
        <v>1352</v>
      </c>
    </row>
    <row r="37" spans="1:20" ht="12" hidden="1" customHeight="1" x14ac:dyDescent="0.2">
      <c r="A37" s="494" t="s">
        <v>545</v>
      </c>
      <c r="B37" s="490" t="s">
        <v>1326</v>
      </c>
      <c r="C37" s="491"/>
      <c r="D37" s="491"/>
      <c r="E37" s="491"/>
      <c r="F37" s="491"/>
      <c r="G37" s="497" t="s">
        <v>24</v>
      </c>
      <c r="H37" s="502">
        <v>0</v>
      </c>
      <c r="I37" s="489">
        <f>(52.73+125.08)/2</f>
        <v>88.905000000000001</v>
      </c>
      <c r="J37" s="489">
        <v>88.91</v>
      </c>
      <c r="K37" s="502"/>
      <c r="L37" s="489">
        <v>88.91</v>
      </c>
      <c r="M37" s="502">
        <f t="shared" ref="M37" si="27">H37*L37</f>
        <v>0</v>
      </c>
      <c r="N37" s="502">
        <f t="shared" ref="N37" si="28">H37*I37</f>
        <v>0</v>
      </c>
      <c r="O37" s="601">
        <f t="shared" si="4"/>
        <v>0</v>
      </c>
      <c r="P37" s="61" t="s">
        <v>1352</v>
      </c>
    </row>
    <row r="38" spans="1:20" ht="12" hidden="1" customHeight="1" x14ac:dyDescent="0.2">
      <c r="A38" s="494" t="s">
        <v>545</v>
      </c>
      <c r="B38" s="490" t="s">
        <v>1324</v>
      </c>
      <c r="C38" s="491"/>
      <c r="D38" s="491"/>
      <c r="E38" s="491"/>
      <c r="F38" s="491"/>
      <c r="G38" s="497" t="s">
        <v>24</v>
      </c>
      <c r="H38" s="502">
        <v>0</v>
      </c>
      <c r="I38" s="489">
        <v>26.84</v>
      </c>
      <c r="J38" s="489">
        <v>26.84</v>
      </c>
      <c r="K38" s="502"/>
      <c r="L38" s="489">
        <v>26.84</v>
      </c>
      <c r="M38" s="502">
        <f t="shared" ref="M38" si="29">H38*L38</f>
        <v>0</v>
      </c>
      <c r="N38" s="502">
        <f t="shared" ref="N38" si="30">H38*I38</f>
        <v>0</v>
      </c>
      <c r="O38" s="601">
        <f t="shared" si="4"/>
        <v>0</v>
      </c>
    </row>
    <row r="39" spans="1:20" ht="12" hidden="1" customHeight="1" x14ac:dyDescent="0.2">
      <c r="A39" s="494" t="s">
        <v>545</v>
      </c>
      <c r="B39" s="490" t="s">
        <v>1321</v>
      </c>
      <c r="C39" s="491"/>
      <c r="D39" s="491"/>
      <c r="E39" s="491"/>
      <c r="F39" s="491"/>
      <c r="G39" s="497" t="s">
        <v>24</v>
      </c>
      <c r="H39" s="502">
        <v>0</v>
      </c>
      <c r="I39" s="489">
        <v>29.45</v>
      </c>
      <c r="J39" s="489">
        <v>29.45</v>
      </c>
      <c r="K39" s="502"/>
      <c r="L39" s="489">
        <v>29.45</v>
      </c>
      <c r="M39" s="502">
        <f t="shared" si="9"/>
        <v>0</v>
      </c>
      <c r="N39" s="502">
        <f t="shared" si="10"/>
        <v>0</v>
      </c>
      <c r="O39" s="601">
        <f t="shared" si="4"/>
        <v>0</v>
      </c>
    </row>
    <row r="40" spans="1:20" ht="12" hidden="1" customHeight="1" x14ac:dyDescent="0.2">
      <c r="A40" s="494" t="s">
        <v>545</v>
      </c>
      <c r="B40" s="490" t="s">
        <v>1323</v>
      </c>
      <c r="C40" s="491"/>
      <c r="D40" s="491"/>
      <c r="E40" s="491"/>
      <c r="F40" s="491"/>
      <c r="G40" s="497" t="s">
        <v>24</v>
      </c>
      <c r="H40" s="502">
        <v>0</v>
      </c>
      <c r="I40" s="489">
        <v>31.85</v>
      </c>
      <c r="J40" s="489">
        <v>31.85</v>
      </c>
      <c r="K40" s="502"/>
      <c r="L40" s="489">
        <v>31.85</v>
      </c>
      <c r="M40" s="502">
        <f t="shared" ref="M40" si="31">H40*L40</f>
        <v>0</v>
      </c>
      <c r="N40" s="502">
        <f t="shared" ref="N40" si="32">H40*I40</f>
        <v>0</v>
      </c>
      <c r="O40" s="601">
        <f t="shared" si="4"/>
        <v>0</v>
      </c>
    </row>
    <row r="41" spans="1:20" ht="12" hidden="1" customHeight="1" x14ac:dyDescent="0.2">
      <c r="A41" s="494" t="s">
        <v>545</v>
      </c>
      <c r="B41" s="490" t="s">
        <v>1320</v>
      </c>
      <c r="C41" s="491"/>
      <c r="D41" s="491"/>
      <c r="E41" s="491"/>
      <c r="F41" s="491"/>
      <c r="G41" s="497" t="s">
        <v>24</v>
      </c>
      <c r="H41" s="502">
        <v>0</v>
      </c>
      <c r="I41" s="489">
        <v>40.25</v>
      </c>
      <c r="J41" s="489">
        <v>40.25</v>
      </c>
      <c r="K41" s="502"/>
      <c r="L41" s="489">
        <v>40.25</v>
      </c>
      <c r="M41" s="502">
        <f t="shared" si="9"/>
        <v>0</v>
      </c>
      <c r="N41" s="502">
        <f t="shared" si="10"/>
        <v>0</v>
      </c>
      <c r="O41" s="601">
        <f t="shared" si="4"/>
        <v>0</v>
      </c>
    </row>
    <row r="42" spans="1:20" ht="12" hidden="1" customHeight="1" x14ac:dyDescent="0.2">
      <c r="A42" s="494" t="s">
        <v>545</v>
      </c>
      <c r="B42" s="490" t="s">
        <v>1327</v>
      </c>
      <c r="C42" s="491"/>
      <c r="D42" s="491"/>
      <c r="E42" s="491"/>
      <c r="F42" s="491"/>
      <c r="G42" s="497" t="s">
        <v>24</v>
      </c>
      <c r="H42" s="502">
        <v>0</v>
      </c>
      <c r="I42" s="489">
        <v>67.290000000000006</v>
      </c>
      <c r="J42" s="489">
        <v>67.290000000000006</v>
      </c>
      <c r="K42" s="502"/>
      <c r="L42" s="489">
        <v>67.290000000000006</v>
      </c>
      <c r="M42" s="502">
        <f t="shared" ref="M42" si="33">H42*L42</f>
        <v>0</v>
      </c>
      <c r="N42" s="502">
        <f t="shared" ref="N42" si="34">H42*I42</f>
        <v>0</v>
      </c>
      <c r="O42" s="601">
        <f t="shared" si="4"/>
        <v>0</v>
      </c>
    </row>
    <row r="43" spans="1:20" ht="12" hidden="1" customHeight="1" x14ac:dyDescent="0.2">
      <c r="A43" s="494" t="s">
        <v>545</v>
      </c>
      <c r="B43" s="490" t="s">
        <v>1080</v>
      </c>
      <c r="C43" s="491"/>
      <c r="D43" s="491"/>
      <c r="E43" s="491"/>
      <c r="F43" s="491"/>
      <c r="G43" s="497" t="s">
        <v>24</v>
      </c>
      <c r="H43" s="502">
        <v>0</v>
      </c>
      <c r="I43" s="489">
        <v>42.98</v>
      </c>
      <c r="J43" s="489">
        <v>42.98</v>
      </c>
      <c r="K43" s="502"/>
      <c r="L43" s="489">
        <v>42.98</v>
      </c>
      <c r="M43" s="502">
        <f t="shared" si="9"/>
        <v>0</v>
      </c>
      <c r="N43" s="502">
        <f t="shared" si="10"/>
        <v>0</v>
      </c>
      <c r="O43" s="601">
        <f t="shared" si="4"/>
        <v>0</v>
      </c>
    </row>
    <row r="44" spans="1:20" ht="12" hidden="1" customHeight="1" x14ac:dyDescent="0.2">
      <c r="A44" s="494" t="s">
        <v>545</v>
      </c>
      <c r="B44" s="490" t="s">
        <v>1322</v>
      </c>
      <c r="C44" s="491"/>
      <c r="D44" s="491"/>
      <c r="E44" s="491"/>
      <c r="F44" s="491"/>
      <c r="G44" s="497" t="s">
        <v>24</v>
      </c>
      <c r="H44" s="502">
        <v>0</v>
      </c>
      <c r="I44" s="489">
        <v>36.42</v>
      </c>
      <c r="J44" s="489">
        <v>36.42</v>
      </c>
      <c r="K44" s="502"/>
      <c r="L44" s="489">
        <v>36.42</v>
      </c>
      <c r="M44" s="502">
        <f t="shared" ref="M44" si="35">H44*L44</f>
        <v>0</v>
      </c>
      <c r="N44" s="502">
        <f t="shared" ref="N44" si="36">H44*I44</f>
        <v>0</v>
      </c>
      <c r="O44" s="601">
        <f t="shared" si="4"/>
        <v>0</v>
      </c>
    </row>
    <row r="45" spans="1:20" s="132" customFormat="1" ht="12" hidden="1" customHeight="1" x14ac:dyDescent="0.2">
      <c r="A45" s="494" t="s">
        <v>545</v>
      </c>
      <c r="B45" s="490" t="s">
        <v>1081</v>
      </c>
      <c r="C45" s="491"/>
      <c r="D45" s="491"/>
      <c r="E45" s="491"/>
      <c r="F45" s="491"/>
      <c r="G45" s="497" t="s">
        <v>24</v>
      </c>
      <c r="H45" s="502">
        <v>0</v>
      </c>
      <c r="I45" s="489">
        <f>(3657.5+1924.5)/2</f>
        <v>2791</v>
      </c>
      <c r="J45" s="489">
        <v>2791</v>
      </c>
      <c r="K45" s="502"/>
      <c r="L45" s="489">
        <v>2791</v>
      </c>
      <c r="M45" s="502">
        <f t="shared" si="9"/>
        <v>0</v>
      </c>
      <c r="N45" s="502">
        <f t="shared" si="10"/>
        <v>0</v>
      </c>
      <c r="O45" s="601">
        <f>N45/$N$47</f>
        <v>0</v>
      </c>
      <c r="P45" s="61" t="s">
        <v>1338</v>
      </c>
      <c r="Q45" s="61"/>
      <c r="R45" s="61"/>
      <c r="S45" s="61"/>
      <c r="T45" s="61"/>
    </row>
    <row r="46" spans="1:20" ht="12.75" x14ac:dyDescent="0.2">
      <c r="G46" s="52"/>
      <c r="H46" s="501"/>
      <c r="I46" s="52"/>
      <c r="J46" s="52"/>
      <c r="K46" s="52"/>
      <c r="L46" s="52"/>
      <c r="M46" s="52"/>
      <c r="N46" s="52"/>
      <c r="O46" s="19"/>
    </row>
    <row r="47" spans="1:20" ht="12" customHeight="1" x14ac:dyDescent="0.2">
      <c r="B47" s="130" t="s">
        <v>18</v>
      </c>
      <c r="C47" s="131"/>
      <c r="D47" s="131"/>
      <c r="E47" s="131"/>
      <c r="F47" s="131"/>
      <c r="G47" s="53"/>
      <c r="H47" s="503"/>
      <c r="I47" s="53"/>
      <c r="J47" s="53"/>
      <c r="K47" s="53"/>
      <c r="L47" s="53"/>
      <c r="M47" s="53"/>
      <c r="N47" s="15">
        <f>SUM(N14:N45)</f>
        <v>22737.13925</v>
      </c>
      <c r="O47" s="25">
        <f>N47/N49</f>
        <v>1</v>
      </c>
      <c r="P47" s="149"/>
    </row>
    <row r="48" spans="1:20" ht="7.5" customHeight="1" x14ac:dyDescent="0.2">
      <c r="B48" s="130"/>
      <c r="G48" s="52"/>
      <c r="H48" s="501"/>
      <c r="I48" s="52"/>
      <c r="J48" s="52"/>
      <c r="K48" s="52"/>
      <c r="L48" s="52"/>
      <c r="M48" s="52"/>
      <c r="N48" s="15"/>
      <c r="O48" s="25"/>
    </row>
    <row r="49" spans="1:16" ht="12" customHeight="1" x14ac:dyDescent="0.2">
      <c r="A49" s="132"/>
      <c r="B49" s="133" t="s">
        <v>20</v>
      </c>
      <c r="C49" s="134"/>
      <c r="D49" s="134"/>
      <c r="E49" s="134"/>
      <c r="F49" s="134"/>
      <c r="G49" s="78"/>
      <c r="H49" s="455"/>
      <c r="I49" s="78"/>
      <c r="J49" s="78"/>
      <c r="K49" s="78"/>
      <c r="L49" s="78"/>
      <c r="M49" s="78"/>
      <c r="N49" s="83">
        <f>N47</f>
        <v>22737.13925</v>
      </c>
      <c r="O49" s="77">
        <f>N49/N51</f>
        <v>1</v>
      </c>
      <c r="P49" s="149"/>
    </row>
    <row r="50" spans="1:16" ht="12" customHeight="1" x14ac:dyDescent="0.2">
      <c r="A50" s="98"/>
      <c r="B50" s="88"/>
      <c r="G50" s="97"/>
      <c r="H50" s="15"/>
      <c r="I50" s="15"/>
      <c r="J50" s="15"/>
      <c r="K50" s="15"/>
      <c r="L50" s="15"/>
      <c r="M50" s="15"/>
      <c r="N50" s="15"/>
      <c r="O50" s="25"/>
    </row>
    <row r="51" spans="1:16" ht="12" customHeight="1" x14ac:dyDescent="0.2">
      <c r="A51" s="146"/>
      <c r="B51" s="147" t="s">
        <v>30</v>
      </c>
      <c r="C51" s="146"/>
      <c r="D51" s="146"/>
      <c r="E51" s="146"/>
      <c r="F51" s="146"/>
      <c r="G51" s="146"/>
      <c r="H51" s="148"/>
      <c r="I51" s="146"/>
      <c r="J51" s="146"/>
      <c r="K51" s="207"/>
      <c r="L51" s="460"/>
      <c r="M51" s="207">
        <f>SUM(M13:M50)</f>
        <v>22740.389999999996</v>
      </c>
      <c r="N51" s="276">
        <f>N49</f>
        <v>22737.13925</v>
      </c>
      <c r="O51" s="146"/>
    </row>
    <row r="52" spans="1:16" ht="12" customHeight="1" x14ac:dyDescent="0.2">
      <c r="A52" s="98"/>
      <c r="B52" s="88"/>
      <c r="G52" s="97"/>
      <c r="H52" s="15"/>
      <c r="I52" s="15"/>
      <c r="J52" s="15"/>
      <c r="K52" s="15"/>
      <c r="L52" s="15"/>
      <c r="M52" s="15"/>
      <c r="N52" s="15"/>
      <c r="O52" s="25"/>
    </row>
    <row r="53" spans="1:16" ht="12" customHeight="1" x14ac:dyDescent="0.2">
      <c r="A53" s="146"/>
      <c r="B53" s="147" t="s">
        <v>265</v>
      </c>
      <c r="C53" s="146"/>
      <c r="D53" s="146"/>
      <c r="E53" s="146"/>
      <c r="F53" s="146"/>
      <c r="G53" s="146"/>
      <c r="H53" s="148"/>
      <c r="I53" s="148"/>
      <c r="J53" s="148"/>
      <c r="K53" s="274"/>
      <c r="L53" s="274"/>
      <c r="M53" s="275">
        <f>M51+(M51*O7)</f>
        <v>26769.987107999994</v>
      </c>
      <c r="N53" s="276">
        <f>K53+M53</f>
        <v>26769.987107999994</v>
      </c>
      <c r="O53" s="29">
        <f>N53/RESUMO!H95</f>
        <v>3.696754128943418E-3</v>
      </c>
    </row>
    <row r="54" spans="1:16" s="150" customFormat="1" ht="12" customHeight="1" x14ac:dyDescent="0.2">
      <c r="A54" s="51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</row>
    <row r="55" spans="1:16" s="150" customFormat="1" ht="12" customHeight="1" x14ac:dyDescent="0.2">
      <c r="A55" s="51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</row>
  </sheetData>
  <mergeCells count="3">
    <mergeCell ref="A2:O2"/>
    <mergeCell ref="N4:O4"/>
    <mergeCell ref="A5:B6"/>
  </mergeCells>
  <printOptions horizontalCentered="1"/>
  <pageMargins left="0.59055118110236227" right="0.59055118110236227" top="0.39370078740157483" bottom="0.59055118110236227" header="0.31496062992125984" footer="0.31496062992125984"/>
  <pageSetup paperSize="9" scale="78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ignoredErrors>
    <ignoredError sqref="I35" formula="1"/>
  </ignoredErrors>
  <legacyDrawingHF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>
    <tabColor theme="6" tint="0.39997558519241921"/>
    <pageSetUpPr fitToPage="1"/>
  </sheetPr>
  <dimension ref="A1:P33"/>
  <sheetViews>
    <sheetView view="pageBreakPreview" zoomScale="90" zoomScaleNormal="90" zoomScaleSheetLayoutView="90" workbookViewId="0">
      <selection activeCell="M28" sqref="M28"/>
    </sheetView>
  </sheetViews>
  <sheetFormatPr defaultColWidth="11.42578125" defaultRowHeight="12" customHeight="1" x14ac:dyDescent="0.2"/>
  <cols>
    <col min="1" max="1" width="11.42578125" style="156"/>
    <col min="2" max="5" width="11.42578125" style="51"/>
    <col min="6" max="6" width="28.5703125" style="51" customWidth="1"/>
    <col min="7" max="9" width="11.42578125" style="51" customWidth="1"/>
    <col min="10" max="10" width="7.7109375" style="51" hidden="1" customWidth="1"/>
    <col min="11" max="11" width="14.28515625" style="51" customWidth="1"/>
    <col min="12" max="12" width="8.7109375" style="51" hidden="1" customWidth="1"/>
    <col min="13" max="13" width="14.28515625" style="51" customWidth="1"/>
    <col min="14" max="14" width="17.140625" style="51" customWidth="1"/>
    <col min="15" max="15" width="11.42578125" style="52" customWidth="1"/>
    <col min="16" max="16384" width="11.42578125" style="51"/>
  </cols>
  <sheetData>
    <row r="1" spans="1:15" ht="7.5" customHeight="1" x14ac:dyDescent="0.2"/>
    <row r="2" spans="1:15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5" ht="7.5" customHeight="1" thickBot="1" x14ac:dyDescent="0.25">
      <c r="A3" s="194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95"/>
    </row>
    <row r="4" spans="1:15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5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5" ht="12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5" ht="12" customHeight="1" x14ac:dyDescent="0.2">
      <c r="A7" s="196"/>
      <c r="B7" s="253"/>
      <c r="C7" s="260" t="s">
        <v>6</v>
      </c>
      <c r="D7" s="263" t="str">
        <f>RESUMO!A74</f>
        <v>U.C. : 14</v>
      </c>
      <c r="E7" s="258"/>
      <c r="F7" s="258"/>
      <c r="G7" s="260" t="s">
        <v>9</v>
      </c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5" ht="12" customHeight="1" thickBot="1" x14ac:dyDescent="0.25">
      <c r="A8" s="197"/>
      <c r="B8" s="125"/>
      <c r="C8" s="266" t="s">
        <v>8</v>
      </c>
      <c r="D8" s="267" t="str">
        <f>RESUMO!B74</f>
        <v>ESTAÇÃO ELEVATÓRIA DE ESGOTO - EEE01</v>
      </c>
      <c r="E8" s="268"/>
      <c r="F8" s="268"/>
      <c r="G8" s="266"/>
      <c r="H8" s="123"/>
      <c r="I8" s="278"/>
      <c r="J8" s="278"/>
      <c r="K8" s="278"/>
      <c r="L8" s="278"/>
      <c r="M8" s="278" t="s">
        <v>777</v>
      </c>
      <c r="N8" s="271"/>
      <c r="O8" s="268"/>
    </row>
    <row r="9" spans="1:15" ht="12" customHeight="1" thickTop="1" x14ac:dyDescent="0.2">
      <c r="A9" s="198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5" ht="7.5" customHeight="1" x14ac:dyDescent="0.2">
      <c r="O10" s="19"/>
    </row>
    <row r="11" spans="1:15" ht="12" customHeight="1" x14ac:dyDescent="0.2">
      <c r="A11" s="93">
        <f>RESUMO!A83</f>
        <v>9</v>
      </c>
      <c r="B11" s="93" t="str">
        <f>RESUMO!B83</f>
        <v>INSTALAÇÕES ELÉTRICAS</v>
      </c>
      <c r="H11" s="491"/>
      <c r="N11" s="52"/>
      <c r="O11" s="19"/>
    </row>
    <row r="12" spans="1:15" ht="11.25" customHeight="1" x14ac:dyDescent="0.2">
      <c r="A12" s="98" t="s">
        <v>424</v>
      </c>
      <c r="B12" s="88" t="s">
        <v>425</v>
      </c>
      <c r="G12" s="97"/>
      <c r="H12" s="495"/>
      <c r="I12" s="308"/>
      <c r="J12" s="308"/>
      <c r="K12" s="308"/>
      <c r="L12" s="308"/>
      <c r="M12" s="308"/>
      <c r="N12" s="308"/>
      <c r="O12" s="185"/>
    </row>
    <row r="13" spans="1:15" ht="11.25" customHeight="1" x14ac:dyDescent="0.2">
      <c r="A13" s="98" t="s">
        <v>683</v>
      </c>
      <c r="B13" s="200" t="s">
        <v>684</v>
      </c>
      <c r="C13" s="153"/>
      <c r="D13" s="153"/>
      <c r="E13" s="153"/>
      <c r="F13" s="153"/>
      <c r="G13" s="97" t="s">
        <v>24</v>
      </c>
      <c r="H13" s="495">
        <v>1</v>
      </c>
      <c r="I13" s="499">
        <f>SUM(K13+M13)</f>
        <v>94838.299999999988</v>
      </c>
      <c r="J13" s="323">
        <v>7283.54</v>
      </c>
      <c r="K13" s="308">
        <f>J13*H13</f>
        <v>7283.54</v>
      </c>
      <c r="L13" s="323">
        <v>87554.76</v>
      </c>
      <c r="M13" s="308">
        <f>L13*H13</f>
        <v>87554.76</v>
      </c>
      <c r="N13" s="308">
        <f>H13*I13</f>
        <v>94838.299999999988</v>
      </c>
      <c r="O13" s="185">
        <f>N13/N15</f>
        <v>1</v>
      </c>
    </row>
    <row r="14" spans="1:15" ht="11.25" customHeight="1" x14ac:dyDescent="0.2">
      <c r="B14" s="130"/>
      <c r="G14" s="52"/>
      <c r="H14" s="506"/>
      <c r="I14" s="313"/>
      <c r="J14" s="313"/>
      <c r="K14" s="313"/>
      <c r="L14" s="313"/>
      <c r="M14" s="313"/>
      <c r="N14" s="308"/>
      <c r="O14" s="185"/>
    </row>
    <row r="15" spans="1:15" ht="11.25" customHeight="1" x14ac:dyDescent="0.2">
      <c r="B15" s="130" t="s">
        <v>18</v>
      </c>
      <c r="C15" s="131"/>
      <c r="D15" s="131"/>
      <c r="E15" s="131"/>
      <c r="F15" s="131"/>
      <c r="G15" s="53"/>
      <c r="H15" s="325"/>
      <c r="I15" s="326"/>
      <c r="J15" s="326"/>
      <c r="K15" s="326"/>
      <c r="L15" s="326"/>
      <c r="M15" s="326"/>
      <c r="N15" s="308">
        <f>SUM(N13:N14)</f>
        <v>94838.299999999988</v>
      </c>
      <c r="O15" s="185">
        <f>N15/N17</f>
        <v>1</v>
      </c>
    </row>
    <row r="16" spans="1:15" ht="11.25" customHeight="1" x14ac:dyDescent="0.2">
      <c r="A16" s="98"/>
      <c r="B16" s="88"/>
      <c r="G16" s="97"/>
      <c r="H16" s="308"/>
      <c r="I16" s="308"/>
      <c r="J16" s="308"/>
      <c r="K16" s="308"/>
      <c r="L16" s="308"/>
      <c r="M16" s="308"/>
      <c r="N16" s="308"/>
      <c r="O16" s="185"/>
    </row>
    <row r="17" spans="1:16" s="132" customFormat="1" ht="11.25" customHeight="1" x14ac:dyDescent="0.2">
      <c r="A17" s="145"/>
      <c r="B17" s="133" t="s">
        <v>20</v>
      </c>
      <c r="C17" s="134"/>
      <c r="D17" s="134"/>
      <c r="E17" s="134"/>
      <c r="F17" s="134"/>
      <c r="G17" s="78"/>
      <c r="H17" s="327"/>
      <c r="I17" s="328"/>
      <c r="J17" s="328"/>
      <c r="K17" s="328"/>
      <c r="L17" s="328"/>
      <c r="M17" s="328"/>
      <c r="N17" s="310">
        <f>N15</f>
        <v>94838.299999999988</v>
      </c>
      <c r="O17" s="186">
        <f>N17/N19</f>
        <v>1</v>
      </c>
    </row>
    <row r="18" spans="1:16" ht="7.5" customHeight="1" x14ac:dyDescent="0.2">
      <c r="A18" s="202"/>
      <c r="B18" s="138"/>
      <c r="C18" s="138"/>
      <c r="D18" s="138"/>
      <c r="E18" s="138"/>
      <c r="F18" s="138"/>
      <c r="G18" s="162"/>
      <c r="H18" s="333"/>
      <c r="I18" s="333"/>
      <c r="J18" s="313"/>
      <c r="K18" s="313"/>
      <c r="L18" s="313"/>
      <c r="M18" s="313"/>
      <c r="N18" s="189"/>
      <c r="O18" s="234"/>
    </row>
    <row r="19" spans="1:16" ht="12" customHeight="1" x14ac:dyDescent="0.2">
      <c r="A19" s="206"/>
      <c r="B19" s="147" t="s">
        <v>30</v>
      </c>
      <c r="C19" s="146"/>
      <c r="D19" s="146"/>
      <c r="E19" s="146"/>
      <c r="F19" s="146"/>
      <c r="G19" s="322"/>
      <c r="H19" s="350"/>
      <c r="I19" s="393"/>
      <c r="J19" s="393"/>
      <c r="K19" s="285">
        <f>SUM(K13:K18)</f>
        <v>7283.54</v>
      </c>
      <c r="L19" s="393"/>
      <c r="M19" s="285">
        <f>SUM(M13:M18)</f>
        <v>87554.76</v>
      </c>
      <c r="N19" s="316">
        <f>N17</f>
        <v>94838.299999999988</v>
      </c>
      <c r="O19" s="29"/>
      <c r="P19" s="149"/>
    </row>
    <row r="20" spans="1:16" ht="7.5" customHeight="1" x14ac:dyDescent="0.2">
      <c r="H20" s="311"/>
      <c r="I20" s="311"/>
      <c r="J20" s="311"/>
      <c r="K20" s="311"/>
      <c r="L20" s="311"/>
      <c r="M20" s="311"/>
      <c r="N20" s="311"/>
      <c r="O20" s="219"/>
      <c r="P20" s="149"/>
    </row>
    <row r="21" spans="1:16" ht="12" customHeight="1" x14ac:dyDescent="0.2">
      <c r="A21" s="206"/>
      <c r="B21" s="147" t="s">
        <v>265</v>
      </c>
      <c r="C21" s="146"/>
      <c r="D21" s="146"/>
      <c r="E21" s="146"/>
      <c r="F21" s="146"/>
      <c r="G21" s="322"/>
      <c r="H21" s="350"/>
      <c r="I21" s="393"/>
      <c r="J21" s="393"/>
      <c r="K21" s="285">
        <f>K19+(K19*O6)</f>
        <v>8574.1832880000002</v>
      </c>
      <c r="L21" s="393"/>
      <c r="M21" s="285">
        <f>M19+(M19*O6)</f>
        <v>103069.46347199999</v>
      </c>
      <c r="N21" s="316">
        <f>N19+(N19*O6)</f>
        <v>111643.64675999999</v>
      </c>
      <c r="O21" s="29">
        <f>N21/RESUMO!H95</f>
        <v>1.5417232382864788E-2</v>
      </c>
      <c r="P21" s="149"/>
    </row>
    <row r="32" spans="1:16" ht="12" customHeight="1" x14ac:dyDescent="0.2">
      <c r="A32" s="208"/>
      <c r="B32" s="150"/>
      <c r="C32" s="150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211"/>
      <c r="O32" s="210"/>
    </row>
    <row r="33" spans="1:15" ht="12" customHeight="1" x14ac:dyDescent="0.2">
      <c r="A33" s="98"/>
      <c r="C33" s="184"/>
      <c r="D33" s="184"/>
      <c r="E33" s="184"/>
      <c r="F33" s="184"/>
      <c r="G33" s="184"/>
      <c r="H33" s="184"/>
      <c r="I33" s="184"/>
      <c r="J33" s="184"/>
      <c r="K33" s="184"/>
      <c r="L33" s="184"/>
      <c r="M33" s="184"/>
      <c r="N33" s="184"/>
      <c r="O33" s="437"/>
    </row>
  </sheetData>
  <mergeCells count="3">
    <mergeCell ref="A2:O2"/>
    <mergeCell ref="N4:O4"/>
    <mergeCell ref="A5:B6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legacyDrawingHF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>
    <tabColor theme="6" tint="0.39997558519241921"/>
    <pageSetUpPr fitToPage="1"/>
  </sheetPr>
  <dimension ref="A1:R63"/>
  <sheetViews>
    <sheetView view="pageBreakPreview" zoomScale="90" zoomScaleNormal="90" zoomScaleSheetLayoutView="90" workbookViewId="0">
      <selection activeCell="Q35" sqref="Q35"/>
    </sheetView>
  </sheetViews>
  <sheetFormatPr defaultColWidth="11.42578125" defaultRowHeight="12" customHeight="1" x14ac:dyDescent="0.2"/>
  <cols>
    <col min="1" max="5" width="11.42578125" style="51"/>
    <col min="6" max="6" width="28.5703125" style="51" customWidth="1"/>
    <col min="7" max="7" width="11.42578125" style="51"/>
    <col min="8" max="9" width="11.42578125" style="51" customWidth="1"/>
    <col min="10" max="10" width="8.42578125" style="51" hidden="1" customWidth="1"/>
    <col min="11" max="11" width="14.28515625" style="51" customWidth="1"/>
    <col min="12" max="12" width="8.42578125" style="51" hidden="1" customWidth="1"/>
    <col min="13" max="13" width="14.28515625" style="51" customWidth="1"/>
    <col min="14" max="14" width="17.28515625" style="51" customWidth="1"/>
    <col min="15" max="15" width="11.42578125" style="51" customWidth="1"/>
    <col min="16" max="16384" width="11.42578125" style="51"/>
  </cols>
  <sheetData>
    <row r="1" spans="1:15" ht="7.5" customHeight="1" x14ac:dyDescent="0.2"/>
    <row r="2" spans="1:15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5" ht="7.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</row>
    <row r="4" spans="1:15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5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5" ht="12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5" ht="12" customHeight="1" x14ac:dyDescent="0.2">
      <c r="A7" s="697"/>
      <c r="B7" s="697"/>
      <c r="C7" s="260" t="s">
        <v>6</v>
      </c>
      <c r="D7" s="263" t="str">
        <f>RESUMO!A84</f>
        <v>U.C. : 14</v>
      </c>
      <c r="E7" s="258"/>
      <c r="F7" s="258"/>
      <c r="G7" s="260" t="s">
        <v>9</v>
      </c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5" ht="12" customHeight="1" thickBot="1" x14ac:dyDescent="0.25">
      <c r="A8" s="124"/>
      <c r="B8" s="125"/>
      <c r="C8" s="266" t="s">
        <v>8</v>
      </c>
      <c r="D8" s="267" t="str">
        <f>RESUMO!B84</f>
        <v>ESTAÇÃO ELEVATÓRIA DE ESGOTO - EEE02</v>
      </c>
      <c r="E8" s="268"/>
      <c r="F8" s="268"/>
      <c r="G8" s="266"/>
      <c r="H8" s="123"/>
      <c r="I8" s="278"/>
      <c r="J8" s="278"/>
      <c r="K8" s="278"/>
      <c r="L8" s="278"/>
      <c r="M8" s="278"/>
      <c r="N8" s="271"/>
      <c r="O8" s="268"/>
    </row>
    <row r="9" spans="1:15" ht="12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5" ht="7.5" customHeight="1" x14ac:dyDescent="0.2">
      <c r="O10" s="61"/>
    </row>
    <row r="11" spans="1:15" ht="12" customHeight="1" x14ac:dyDescent="0.2">
      <c r="A11" s="93">
        <f>RESUMO!A75</f>
        <v>1</v>
      </c>
      <c r="B11" s="93" t="str">
        <f>RESUMO!B75</f>
        <v>URBANIZAÇÃO</v>
      </c>
      <c r="H11" s="61"/>
      <c r="O11" s="61"/>
    </row>
    <row r="12" spans="1:15" ht="12" customHeight="1" x14ac:dyDescent="0.2">
      <c r="A12" s="98" t="s">
        <v>49</v>
      </c>
      <c r="B12" s="88" t="s">
        <v>86</v>
      </c>
      <c r="G12" s="52"/>
      <c r="H12" s="501"/>
      <c r="I12" s="19"/>
      <c r="J12" s="52"/>
      <c r="K12" s="52"/>
      <c r="L12" s="52"/>
      <c r="M12" s="52"/>
      <c r="N12" s="52"/>
      <c r="O12" s="19"/>
    </row>
    <row r="13" spans="1:15" ht="12" customHeight="1" x14ac:dyDescent="0.2">
      <c r="A13" s="98" t="s">
        <v>289</v>
      </c>
      <c r="B13" s="88" t="s">
        <v>667</v>
      </c>
      <c r="G13" s="52"/>
      <c r="H13" s="501"/>
      <c r="I13" s="19"/>
      <c r="J13" s="52"/>
      <c r="K13" s="52"/>
      <c r="L13" s="52"/>
      <c r="M13" s="52"/>
      <c r="N13" s="52"/>
      <c r="O13" s="19"/>
    </row>
    <row r="14" spans="1:15" s="272" customFormat="1" ht="12" customHeight="1" x14ac:dyDescent="0.2">
      <c r="A14" s="98" t="s">
        <v>290</v>
      </c>
      <c r="B14" s="88" t="s">
        <v>668</v>
      </c>
      <c r="C14" s="51"/>
      <c r="D14" s="51"/>
      <c r="E14" s="51"/>
      <c r="F14" s="51"/>
      <c r="G14" s="97" t="s">
        <v>31</v>
      </c>
      <c r="H14" s="502">
        <v>0</v>
      </c>
      <c r="I14" s="72">
        <f>VLOOKUP(A14,'[1]TAB OGU JUN18'!$A:$G,6,"falso")</f>
        <v>0.51</v>
      </c>
      <c r="J14" s="72">
        <f>VLOOKUP(A14,'[1]TAB OGU JUN18'!$A:$G,4,"falso")</f>
        <v>0.51</v>
      </c>
      <c r="K14" s="15">
        <f>H14*J14</f>
        <v>0</v>
      </c>
      <c r="L14" s="72">
        <f>VLOOKUP(A14,'[1]TAB OGU JUN18'!$A:$G,5,"falso")</f>
        <v>0</v>
      </c>
      <c r="M14" s="15"/>
      <c r="N14" s="15">
        <f>H14*I14</f>
        <v>0</v>
      </c>
      <c r="O14" s="25" t="e">
        <f>N14/N16</f>
        <v>#DIV/0!</v>
      </c>
    </row>
    <row r="15" spans="1:15" ht="12" customHeight="1" x14ac:dyDescent="0.2">
      <c r="A15" s="273"/>
      <c r="B15" s="88"/>
      <c r="G15" s="97"/>
      <c r="H15" s="502"/>
      <c r="I15" s="15"/>
      <c r="J15" s="15"/>
      <c r="K15" s="15"/>
      <c r="L15" s="15"/>
      <c r="M15" s="15"/>
      <c r="N15" s="15"/>
      <c r="O15" s="25"/>
    </row>
    <row r="16" spans="1:15" ht="12" customHeight="1" x14ac:dyDescent="0.2">
      <c r="B16" s="130" t="s">
        <v>18</v>
      </c>
      <c r="C16" s="131"/>
      <c r="D16" s="131"/>
      <c r="E16" s="131"/>
      <c r="F16" s="131"/>
      <c r="G16" s="53"/>
      <c r="H16" s="503"/>
      <c r="I16" s="20"/>
      <c r="J16" s="53"/>
      <c r="K16" s="53"/>
      <c r="L16" s="53"/>
      <c r="M16" s="53"/>
      <c r="N16" s="15">
        <f>N14</f>
        <v>0</v>
      </c>
      <c r="O16" s="25" t="e">
        <f>N16/N18</f>
        <v>#DIV/0!</v>
      </c>
    </row>
    <row r="17" spans="1:15" ht="12" customHeight="1" x14ac:dyDescent="0.2">
      <c r="A17" s="130"/>
      <c r="G17" s="52"/>
      <c r="H17" s="501"/>
      <c r="I17" s="19"/>
      <c r="J17" s="52"/>
      <c r="K17" s="52"/>
      <c r="L17" s="52"/>
      <c r="M17" s="52"/>
      <c r="N17" s="15"/>
      <c r="O17" s="25"/>
    </row>
    <row r="18" spans="1:15" s="132" customFormat="1" ht="12" customHeight="1" x14ac:dyDescent="0.2">
      <c r="B18" s="133" t="s">
        <v>20</v>
      </c>
      <c r="C18" s="134"/>
      <c r="D18" s="134"/>
      <c r="E18" s="134"/>
      <c r="F18" s="134"/>
      <c r="G18" s="78"/>
      <c r="H18" s="504"/>
      <c r="I18" s="455"/>
      <c r="J18" s="78"/>
      <c r="K18" s="78"/>
      <c r="L18" s="78"/>
      <c r="M18" s="78"/>
      <c r="N18" s="83">
        <f>N16</f>
        <v>0</v>
      </c>
      <c r="O18" s="77" t="e">
        <f>N18/N55</f>
        <v>#DIV/0!</v>
      </c>
    </row>
    <row r="19" spans="1:15" ht="12" customHeight="1" x14ac:dyDescent="0.2">
      <c r="B19" s="130"/>
      <c r="G19" s="52"/>
      <c r="H19" s="501"/>
      <c r="I19" s="19"/>
      <c r="J19" s="52"/>
      <c r="K19" s="52"/>
      <c r="L19" s="52"/>
      <c r="M19" s="52"/>
      <c r="N19" s="15"/>
      <c r="O19" s="25"/>
    </row>
    <row r="20" spans="1:15" ht="12" customHeight="1" x14ac:dyDescent="0.2">
      <c r="A20" s="98" t="s">
        <v>148</v>
      </c>
      <c r="B20" s="88" t="s">
        <v>27</v>
      </c>
      <c r="G20" s="97"/>
      <c r="H20" s="502"/>
      <c r="I20" s="15"/>
      <c r="J20" s="15"/>
      <c r="K20" s="15"/>
      <c r="L20" s="15"/>
      <c r="M20" s="15"/>
      <c r="N20" s="15"/>
      <c r="O20" s="25"/>
    </row>
    <row r="21" spans="1:15" ht="12" customHeight="1" x14ac:dyDescent="0.2">
      <c r="A21" s="98">
        <v>1002</v>
      </c>
      <c r="B21" s="88" t="s">
        <v>670</v>
      </c>
      <c r="G21" s="97"/>
      <c r="H21" s="502"/>
      <c r="I21" s="15"/>
      <c r="J21" s="15"/>
      <c r="K21" s="15"/>
      <c r="L21" s="15"/>
      <c r="M21" s="15"/>
      <c r="N21" s="15"/>
      <c r="O21" s="25"/>
    </row>
    <row r="22" spans="1:15" s="272" customFormat="1" ht="12" customHeight="1" x14ac:dyDescent="0.2">
      <c r="A22" s="98" t="s">
        <v>795</v>
      </c>
      <c r="B22" s="88" t="s">
        <v>796</v>
      </c>
      <c r="C22" s="51"/>
      <c r="D22" s="51"/>
      <c r="E22" s="51"/>
      <c r="F22" s="51"/>
      <c r="G22" s="97" t="s">
        <v>31</v>
      </c>
      <c r="H22" s="502">
        <v>0</v>
      </c>
      <c r="I22" s="72">
        <f>VLOOKUP(A22,'[1]TAB OGU JUN18'!$A:$G,6,"falso")</f>
        <v>92.73</v>
      </c>
      <c r="J22" s="72">
        <f>VLOOKUP(A22,'[1]TAB OGU JUN18'!$A:$G,4,"falso")</f>
        <v>69.55</v>
      </c>
      <c r="K22" s="15">
        <f>H22*J22</f>
        <v>0</v>
      </c>
      <c r="L22" s="72">
        <f>VLOOKUP(A22,'[1]TAB OGU JUN18'!$A:$G,5,"falso")</f>
        <v>23.18</v>
      </c>
      <c r="M22" s="15">
        <f>H22*L22</f>
        <v>0</v>
      </c>
      <c r="N22" s="15">
        <f t="shared" ref="N22:N24" si="0">H22*I22</f>
        <v>0</v>
      </c>
      <c r="O22" s="25" t="e">
        <f t="shared" ref="O22:O24" si="1">N22/$N$26</f>
        <v>#DIV/0!</v>
      </c>
    </row>
    <row r="23" spans="1:15" s="272" customFormat="1" ht="12" customHeight="1" x14ac:dyDescent="0.2">
      <c r="A23" s="98" t="s">
        <v>356</v>
      </c>
      <c r="B23" s="88" t="s">
        <v>671</v>
      </c>
      <c r="C23" s="51"/>
      <c r="D23" s="51"/>
      <c r="E23" s="51"/>
      <c r="F23" s="51"/>
      <c r="G23" s="97" t="s">
        <v>32</v>
      </c>
      <c r="H23" s="502">
        <v>0</v>
      </c>
      <c r="I23" s="72">
        <f>VLOOKUP(A23,'[1]TAB OGU JUN18'!$A:$G,6,"falso")</f>
        <v>495.59</v>
      </c>
      <c r="J23" s="72">
        <f>VLOOKUP(A23,'[1]TAB OGU JUN18'!$A:$G,4,"falso")</f>
        <v>326.67</v>
      </c>
      <c r="K23" s="15">
        <f>H23*J23</f>
        <v>0</v>
      </c>
      <c r="L23" s="72">
        <f>VLOOKUP(A23,'[1]TAB OGU JUN18'!$A:$G,5,"falso")</f>
        <v>168.92</v>
      </c>
      <c r="M23" s="15">
        <f t="shared" ref="M23:M24" si="2">H23*L23</f>
        <v>0</v>
      </c>
      <c r="N23" s="15">
        <f t="shared" si="0"/>
        <v>0</v>
      </c>
      <c r="O23" s="25" t="e">
        <f t="shared" si="1"/>
        <v>#DIV/0!</v>
      </c>
    </row>
    <row r="24" spans="1:15" s="272" customFormat="1" ht="12" customHeight="1" x14ac:dyDescent="0.2">
      <c r="A24" s="98" t="s">
        <v>357</v>
      </c>
      <c r="B24" s="88" t="s">
        <v>157</v>
      </c>
      <c r="C24" s="51"/>
      <c r="D24" s="51"/>
      <c r="E24" s="51"/>
      <c r="F24" s="51"/>
      <c r="G24" s="97" t="s">
        <v>17</v>
      </c>
      <c r="H24" s="502">
        <v>0</v>
      </c>
      <c r="I24" s="72">
        <f>VLOOKUP(A24,'[1]TAB OGU JUN18'!$A:$G,6,"falso")</f>
        <v>51.34</v>
      </c>
      <c r="J24" s="72">
        <f>VLOOKUP(A24,'[1]TAB OGU JUN18'!$A:$G,4,"falso")</f>
        <v>27.83</v>
      </c>
      <c r="K24" s="15">
        <f>H24*J24</f>
        <v>0</v>
      </c>
      <c r="L24" s="72">
        <f>VLOOKUP(A24,'[1]TAB OGU JUN18'!$A:$G,5,"falso")</f>
        <v>23.51</v>
      </c>
      <c r="M24" s="15">
        <f t="shared" si="2"/>
        <v>0</v>
      </c>
      <c r="N24" s="15">
        <f t="shared" si="0"/>
        <v>0</v>
      </c>
      <c r="O24" s="25" t="e">
        <f t="shared" si="1"/>
        <v>#DIV/0!</v>
      </c>
    </row>
    <row r="25" spans="1:15" ht="12" customHeight="1" x14ac:dyDescent="0.2">
      <c r="A25" s="98"/>
      <c r="B25" s="88"/>
      <c r="G25" s="97"/>
      <c r="H25" s="502"/>
      <c r="I25" s="15"/>
      <c r="J25" s="15"/>
      <c r="K25" s="15"/>
      <c r="L25" s="15"/>
      <c r="M25" s="15"/>
      <c r="N25" s="15"/>
      <c r="O25" s="25"/>
    </row>
    <row r="26" spans="1:15" ht="12" customHeight="1" x14ac:dyDescent="0.2">
      <c r="A26" s="98"/>
      <c r="B26" s="130" t="s">
        <v>18</v>
      </c>
      <c r="C26" s="131"/>
      <c r="D26" s="131"/>
      <c r="E26" s="131"/>
      <c r="F26" s="131"/>
      <c r="G26" s="53"/>
      <c r="H26" s="503"/>
      <c r="I26" s="20"/>
      <c r="J26" s="53"/>
      <c r="K26" s="53"/>
      <c r="L26" s="53"/>
      <c r="M26" s="53"/>
      <c r="N26" s="15">
        <f>SUM(N22:N24)</f>
        <v>0</v>
      </c>
      <c r="O26" s="25" t="e">
        <f>N26/N28</f>
        <v>#DIV/0!</v>
      </c>
    </row>
    <row r="27" spans="1:15" ht="12" customHeight="1" x14ac:dyDescent="0.2">
      <c r="A27" s="98"/>
      <c r="B27" s="88"/>
      <c r="G27" s="97"/>
      <c r="H27" s="502"/>
      <c r="I27" s="15"/>
      <c r="J27" s="15"/>
      <c r="K27" s="15"/>
      <c r="L27" s="15"/>
      <c r="M27" s="15"/>
      <c r="N27" s="15"/>
      <c r="O27" s="25"/>
    </row>
    <row r="28" spans="1:15" s="132" customFormat="1" ht="12" customHeight="1" x14ac:dyDescent="0.2">
      <c r="A28" s="145"/>
      <c r="B28" s="133" t="s">
        <v>20</v>
      </c>
      <c r="C28" s="134"/>
      <c r="D28" s="134"/>
      <c r="E28" s="134"/>
      <c r="F28" s="134"/>
      <c r="G28" s="78"/>
      <c r="H28" s="504"/>
      <c r="I28" s="455"/>
      <c r="J28" s="78"/>
      <c r="K28" s="78"/>
      <c r="L28" s="78"/>
      <c r="M28" s="78"/>
      <c r="N28" s="83">
        <f>N26</f>
        <v>0</v>
      </c>
      <c r="O28" s="77" t="e">
        <f>N28/N55</f>
        <v>#DIV/0!</v>
      </c>
    </row>
    <row r="29" spans="1:15" ht="12" customHeight="1" x14ac:dyDescent="0.2">
      <c r="A29" s="98"/>
      <c r="B29" s="88"/>
      <c r="G29" s="97"/>
      <c r="H29" s="502"/>
      <c r="I29" s="15"/>
      <c r="J29" s="15"/>
      <c r="K29" s="15"/>
      <c r="L29" s="15"/>
      <c r="M29" s="15"/>
      <c r="N29" s="15"/>
      <c r="O29" s="25"/>
    </row>
    <row r="30" spans="1:15" ht="12" customHeight="1" x14ac:dyDescent="0.2">
      <c r="A30" s="98">
        <v>15</v>
      </c>
      <c r="B30" s="88" t="s">
        <v>449</v>
      </c>
      <c r="G30" s="97"/>
      <c r="H30" s="502"/>
      <c r="I30" s="15"/>
      <c r="J30" s="15"/>
      <c r="K30" s="15"/>
      <c r="L30" s="15"/>
      <c r="M30" s="15"/>
      <c r="N30" s="15"/>
      <c r="O30" s="25"/>
    </row>
    <row r="31" spans="1:15" ht="12" customHeight="1" x14ac:dyDescent="0.2">
      <c r="A31" s="98">
        <v>1501</v>
      </c>
      <c r="B31" s="88" t="s">
        <v>607</v>
      </c>
      <c r="G31" s="97"/>
      <c r="H31" s="502"/>
      <c r="I31" s="15"/>
      <c r="J31" s="15"/>
      <c r="K31" s="15"/>
      <c r="L31" s="15"/>
      <c r="M31" s="15"/>
      <c r="N31" s="15"/>
      <c r="O31" s="25"/>
    </row>
    <row r="32" spans="1:15" ht="12" customHeight="1" x14ac:dyDescent="0.2">
      <c r="A32" s="98" t="s">
        <v>891</v>
      </c>
      <c r="B32" s="88" t="s">
        <v>892</v>
      </c>
      <c r="G32" s="97" t="s">
        <v>17</v>
      </c>
      <c r="H32" s="502">
        <v>0</v>
      </c>
      <c r="I32" s="72">
        <f>VLOOKUP(A32,'[1]TAB OGU JUN18'!$A:$G,6,"falso")</f>
        <v>125.74</v>
      </c>
      <c r="J32" s="72">
        <f>VLOOKUP(A32,'[1]TAB OGU JUN18'!$A:$G,4,"falso")</f>
        <v>59.34</v>
      </c>
      <c r="K32" s="15">
        <f>H32*J32</f>
        <v>0</v>
      </c>
      <c r="L32" s="72">
        <f>VLOOKUP(A32,'[1]TAB OGU JUN18'!$A:$G,5,"falso")</f>
        <v>66.400000000000006</v>
      </c>
      <c r="M32" s="15">
        <f>H32*L32</f>
        <v>0</v>
      </c>
      <c r="N32" s="15">
        <f>H32*I32</f>
        <v>0</v>
      </c>
      <c r="O32" s="25" t="e">
        <f>N32/N35</f>
        <v>#DIV/0!</v>
      </c>
    </row>
    <row r="33" spans="1:18" ht="12" customHeight="1" x14ac:dyDescent="0.2">
      <c r="A33" s="98" t="s">
        <v>452</v>
      </c>
      <c r="B33" s="88" t="s">
        <v>608</v>
      </c>
      <c r="G33" s="97" t="s">
        <v>24</v>
      </c>
      <c r="H33" s="502">
        <v>0</v>
      </c>
      <c r="I33" s="72">
        <f>VLOOKUP(A33,'[1]TAB OGU JUN18'!$A:$G,6,"falso")</f>
        <v>5044.21</v>
      </c>
      <c r="J33" s="72">
        <f>VLOOKUP(A33,'[1]TAB OGU JUN18'!$A:$G,4,"falso")</f>
        <v>3216.82</v>
      </c>
      <c r="K33" s="15">
        <f>H33*J33</f>
        <v>0</v>
      </c>
      <c r="L33" s="72">
        <f>VLOOKUP(A33,'[1]TAB OGU JUN18'!$A:$G,5,"falso")</f>
        <v>1827.39</v>
      </c>
      <c r="M33" s="15">
        <f>H33*L33</f>
        <v>0</v>
      </c>
      <c r="N33" s="15">
        <f>H33*I33</f>
        <v>0</v>
      </c>
      <c r="O33" s="25" t="e">
        <f>N33/N35</f>
        <v>#DIV/0!</v>
      </c>
    </row>
    <row r="34" spans="1:18" ht="12" customHeight="1" x14ac:dyDescent="0.2">
      <c r="B34" s="130"/>
      <c r="G34" s="52"/>
      <c r="H34" s="501"/>
      <c r="I34" s="19"/>
      <c r="J34" s="52"/>
      <c r="K34" s="52"/>
      <c r="L34" s="52"/>
      <c r="M34" s="52"/>
      <c r="N34" s="15"/>
      <c r="O34" s="25"/>
    </row>
    <row r="35" spans="1:18" ht="12" customHeight="1" x14ac:dyDescent="0.2">
      <c r="B35" s="130" t="s">
        <v>18</v>
      </c>
      <c r="C35" s="131"/>
      <c r="D35" s="131"/>
      <c r="E35" s="131"/>
      <c r="F35" s="131"/>
      <c r="G35" s="53"/>
      <c r="H35" s="503"/>
      <c r="I35" s="20"/>
      <c r="J35" s="53"/>
      <c r="K35" s="53"/>
      <c r="L35" s="53"/>
      <c r="M35" s="53"/>
      <c r="N35" s="15">
        <f>SUM(N32:N33)</f>
        <v>0</v>
      </c>
      <c r="O35" s="25" t="e">
        <f>N35/N53</f>
        <v>#DIV/0!</v>
      </c>
    </row>
    <row r="36" spans="1:18" ht="12" customHeight="1" x14ac:dyDescent="0.2">
      <c r="A36" s="98"/>
      <c r="B36" s="88"/>
      <c r="G36" s="97"/>
      <c r="H36" s="502"/>
      <c r="I36" s="15"/>
      <c r="J36" s="15"/>
      <c r="K36" s="15"/>
      <c r="L36" s="15"/>
      <c r="M36" s="15"/>
      <c r="N36" s="15"/>
      <c r="O36" s="25"/>
      <c r="R36" s="61" t="s">
        <v>1409</v>
      </c>
    </row>
    <row r="37" spans="1:18" ht="12" customHeight="1" x14ac:dyDescent="0.2">
      <c r="A37" s="98">
        <v>1502</v>
      </c>
      <c r="B37" s="88" t="s">
        <v>453</v>
      </c>
      <c r="G37" s="97"/>
      <c r="H37" s="502"/>
      <c r="I37" s="15"/>
      <c r="J37" s="15"/>
      <c r="K37" s="15"/>
      <c r="L37" s="15"/>
      <c r="M37" s="15"/>
      <c r="N37" s="15"/>
      <c r="O37" s="25"/>
    </row>
    <row r="38" spans="1:18" ht="12" customHeight="1" x14ac:dyDescent="0.2">
      <c r="A38" s="98" t="s">
        <v>454</v>
      </c>
      <c r="B38" s="88" t="s">
        <v>455</v>
      </c>
      <c r="G38" s="97" t="s">
        <v>31</v>
      </c>
      <c r="H38" s="502">
        <v>0</v>
      </c>
      <c r="I38" s="72">
        <f>VLOOKUP(A38,'[1]TAB OGU JUN18'!$A:$G,6,"falso")</f>
        <v>13.25</v>
      </c>
      <c r="J38" s="72">
        <f>VLOOKUP(A38,'[1]TAB OGU JUN18'!$A:$G,4,"falso")</f>
        <v>4.1100000000000003</v>
      </c>
      <c r="K38" s="15">
        <f>H38*J38</f>
        <v>0</v>
      </c>
      <c r="L38" s="72">
        <f>VLOOKUP(A38,'[1]TAB OGU JUN18'!$A:$G,5,"falso")</f>
        <v>9.14</v>
      </c>
      <c r="M38" s="15">
        <f>H38*L38</f>
        <v>0</v>
      </c>
      <c r="N38" s="15">
        <f>H38*I38</f>
        <v>0</v>
      </c>
      <c r="O38" s="25" t="e">
        <f>N38/N41</f>
        <v>#DIV/0!</v>
      </c>
    </row>
    <row r="39" spans="1:18" ht="12" customHeight="1" x14ac:dyDescent="0.2">
      <c r="A39" s="98" t="s">
        <v>456</v>
      </c>
      <c r="B39" s="88" t="s">
        <v>457</v>
      </c>
      <c r="G39" s="97" t="s">
        <v>24</v>
      </c>
      <c r="H39" s="502">
        <v>0</v>
      </c>
      <c r="I39" s="72">
        <f>VLOOKUP(A39,'[1]TAB OGU JUN18'!$A:$G,6,"falso")</f>
        <v>8.4</v>
      </c>
      <c r="J39" s="72">
        <f>VLOOKUP(A39,'[1]TAB OGU JUN18'!$A:$G,4,"falso")</f>
        <v>8.23</v>
      </c>
      <c r="K39" s="15">
        <f>H39*J39</f>
        <v>0</v>
      </c>
      <c r="L39" s="72">
        <f>VLOOKUP(A39,'[1]TAB OGU JUN18'!$A:$G,5,"falso")</f>
        <v>0.17</v>
      </c>
      <c r="M39" s="15">
        <f>H39*L39</f>
        <v>0</v>
      </c>
      <c r="N39" s="15">
        <f>H39*I39</f>
        <v>0</v>
      </c>
      <c r="O39" s="25" t="e">
        <f>N39/N41</f>
        <v>#DIV/0!</v>
      </c>
    </row>
    <row r="40" spans="1:18" ht="12" customHeight="1" x14ac:dyDescent="0.2">
      <c r="B40" s="130"/>
      <c r="G40" s="52"/>
      <c r="H40" s="501"/>
      <c r="I40" s="52"/>
      <c r="J40" s="52"/>
      <c r="K40" s="52"/>
      <c r="L40" s="52"/>
      <c r="M40" s="52"/>
      <c r="N40" s="15"/>
      <c r="O40" s="25"/>
    </row>
    <row r="41" spans="1:18" ht="12" customHeight="1" x14ac:dyDescent="0.2">
      <c r="B41" s="130" t="s">
        <v>18</v>
      </c>
      <c r="C41" s="131"/>
      <c r="D41" s="131"/>
      <c r="E41" s="131"/>
      <c r="F41" s="131"/>
      <c r="G41" s="53"/>
      <c r="H41" s="503"/>
      <c r="I41" s="53"/>
      <c r="J41" s="53"/>
      <c r="K41" s="53"/>
      <c r="L41" s="53"/>
      <c r="M41" s="53"/>
      <c r="N41" s="15">
        <f>SUM(N38:N39)</f>
        <v>0</v>
      </c>
      <c r="O41" s="25" t="e">
        <f>N41/N53</f>
        <v>#DIV/0!</v>
      </c>
    </row>
    <row r="42" spans="1:18" ht="12" customHeight="1" x14ac:dyDescent="0.2">
      <c r="A42" s="98"/>
      <c r="B42" s="88"/>
      <c r="G42" s="97"/>
      <c r="H42" s="502"/>
      <c r="I42" s="15"/>
      <c r="J42" s="15"/>
      <c r="K42" s="15"/>
      <c r="L42" s="15"/>
      <c r="M42" s="15"/>
      <c r="N42" s="15"/>
      <c r="O42" s="25"/>
    </row>
    <row r="43" spans="1:18" ht="12" customHeight="1" x14ac:dyDescent="0.2">
      <c r="A43" s="98">
        <v>1503</v>
      </c>
      <c r="B43" s="88" t="s">
        <v>459</v>
      </c>
      <c r="G43" s="97"/>
      <c r="H43" s="502"/>
      <c r="I43" s="15"/>
      <c r="J43" s="15"/>
      <c r="K43" s="15"/>
      <c r="L43" s="15"/>
      <c r="M43" s="15"/>
      <c r="N43" s="15"/>
      <c r="O43" s="25"/>
    </row>
    <row r="44" spans="1:18" ht="12" customHeight="1" x14ac:dyDescent="0.2">
      <c r="A44" s="98" t="s">
        <v>1004</v>
      </c>
      <c r="B44" s="88" t="s">
        <v>1005</v>
      </c>
      <c r="G44" s="97" t="s">
        <v>17</v>
      </c>
      <c r="H44" s="502">
        <v>0</v>
      </c>
      <c r="I44" s="72">
        <f>VLOOKUP(A44,'[1]TAB OGU JUN18'!$A:$G,6,"falso")</f>
        <v>21.74</v>
      </c>
      <c r="J44" s="72">
        <f>VLOOKUP(A44,'[1]TAB OGU JUN18'!$A:$G,4,"falso")</f>
        <v>13.7</v>
      </c>
      <c r="K44" s="15">
        <f>H44*J44</f>
        <v>0</v>
      </c>
      <c r="L44" s="72">
        <f>VLOOKUP(A44,'[1]TAB OGU JUN18'!$A:$G,5,"falso")</f>
        <v>8.0399999999999991</v>
      </c>
      <c r="M44" s="15">
        <f t="shared" ref="M44:M49" si="3">H44*L44</f>
        <v>0</v>
      </c>
      <c r="N44" s="15">
        <f t="shared" ref="N44:N49" si="4">H44*I44</f>
        <v>0</v>
      </c>
      <c r="O44" s="25" t="e">
        <f>N44/N51</f>
        <v>#DIV/0!</v>
      </c>
    </row>
    <row r="45" spans="1:18" ht="12" hidden="1" customHeight="1" x14ac:dyDescent="0.2">
      <c r="A45" s="98" t="s">
        <v>797</v>
      </c>
      <c r="B45" s="88" t="s">
        <v>798</v>
      </c>
      <c r="G45" s="97" t="s">
        <v>17</v>
      </c>
      <c r="H45" s="502">
        <v>0</v>
      </c>
      <c r="I45" s="72">
        <f>VLOOKUP(A45,'[1]TAB OGU JUN18'!$A:$G,6,"falso")</f>
        <v>31.06</v>
      </c>
      <c r="J45" s="72">
        <f>VLOOKUP(A45,'[1]TAB OGU JUN18'!$A:$G,4,"falso")</f>
        <v>19.02</v>
      </c>
      <c r="K45" s="15">
        <f>H45*J45</f>
        <v>0</v>
      </c>
      <c r="L45" s="72">
        <f>VLOOKUP(A45,'[1]TAB OGU JUN18'!$A:$G,5,"falso")</f>
        <v>12.04</v>
      </c>
      <c r="M45" s="15">
        <f t="shared" si="3"/>
        <v>0</v>
      </c>
      <c r="N45" s="15">
        <f t="shared" si="4"/>
        <v>0</v>
      </c>
      <c r="O45" s="25" t="e">
        <f>N45/N51</f>
        <v>#DIV/0!</v>
      </c>
    </row>
    <row r="46" spans="1:18" ht="12" hidden="1" customHeight="1" x14ac:dyDescent="0.2">
      <c r="A46" s="98" t="s">
        <v>884</v>
      </c>
      <c r="B46" s="88" t="s">
        <v>1041</v>
      </c>
      <c r="G46" s="97" t="s">
        <v>17</v>
      </c>
      <c r="H46" s="502">
        <v>0</v>
      </c>
      <c r="I46" s="72">
        <f>VLOOKUP(A46,'[1]TAB OGU JUN18'!$A:$G,6,"falso")</f>
        <v>37.33</v>
      </c>
      <c r="J46" s="72">
        <f>VLOOKUP(A46,'[1]TAB OGU JUN18'!$A:$G,4,"falso")</f>
        <v>20.66</v>
      </c>
      <c r="K46" s="15">
        <f>H46*J46</f>
        <v>0</v>
      </c>
      <c r="L46" s="72">
        <f>VLOOKUP(A46,'[1]TAB OGU JUN18'!$A:$G,5,"falso")</f>
        <v>16.670000000000002</v>
      </c>
      <c r="M46" s="15">
        <f t="shared" si="3"/>
        <v>0</v>
      </c>
      <c r="N46" s="15">
        <f t="shared" si="4"/>
        <v>0</v>
      </c>
      <c r="O46" s="25" t="e">
        <f>N46/N51</f>
        <v>#DIV/0!</v>
      </c>
    </row>
    <row r="47" spans="1:18" ht="12" hidden="1" customHeight="1" x14ac:dyDescent="0.2">
      <c r="A47" s="98" t="s">
        <v>460</v>
      </c>
      <c r="B47" s="88" t="s">
        <v>1121</v>
      </c>
      <c r="G47" s="97" t="s">
        <v>17</v>
      </c>
      <c r="H47" s="502">
        <v>0</v>
      </c>
      <c r="I47" s="72">
        <f>VLOOKUP(A47,'[1]TAB OGU JUN18'!$A:$G,6,"falso")</f>
        <v>38.76</v>
      </c>
      <c r="J47" s="72">
        <f>VLOOKUP(A47,'[1]TAB OGU JUN18'!$A:$G,4,"falso")</f>
        <v>23.66</v>
      </c>
      <c r="K47" s="15">
        <f>H47*J47</f>
        <v>0</v>
      </c>
      <c r="L47" s="72">
        <f>VLOOKUP(A47,'[1]TAB OGU JUN18'!$A:$G,5,"falso")</f>
        <v>15.1</v>
      </c>
      <c r="M47" s="15">
        <f t="shared" si="3"/>
        <v>0</v>
      </c>
      <c r="N47" s="15">
        <f t="shared" si="4"/>
        <v>0</v>
      </c>
      <c r="O47" s="25" t="e">
        <f>N47/N51</f>
        <v>#DIV/0!</v>
      </c>
    </row>
    <row r="48" spans="1:18" ht="12" hidden="1" customHeight="1" x14ac:dyDescent="0.2">
      <c r="A48" s="98" t="s">
        <v>921</v>
      </c>
      <c r="B48" s="88" t="s">
        <v>1122</v>
      </c>
      <c r="G48" s="97" t="s">
        <v>17</v>
      </c>
      <c r="H48" s="502">
        <v>0</v>
      </c>
      <c r="I48" s="72">
        <f>VLOOKUP(A48,'[1]TAB OGU JUN18'!$A:$G,6,"falso")</f>
        <v>52.18</v>
      </c>
      <c r="J48" s="72">
        <f>VLOOKUP(A48,'[1]TAB OGU JUN18'!$A:$G,4,"falso")</f>
        <v>30.18</v>
      </c>
      <c r="K48" s="15">
        <f>H48*J48</f>
        <v>0</v>
      </c>
      <c r="L48" s="72">
        <f>VLOOKUP(A48,'[1]TAB OGU JUN18'!$A:$G,5,"falso")</f>
        <v>22</v>
      </c>
      <c r="M48" s="15">
        <f t="shared" si="3"/>
        <v>0</v>
      </c>
      <c r="N48" s="15">
        <f t="shared" si="4"/>
        <v>0</v>
      </c>
      <c r="O48" s="25" t="e">
        <f>N48/N51</f>
        <v>#DIV/0!</v>
      </c>
      <c r="P48" s="586"/>
    </row>
    <row r="49" spans="1:15" ht="12" customHeight="1" x14ac:dyDescent="0.2">
      <c r="A49" s="98" t="s">
        <v>1007</v>
      </c>
      <c r="B49" s="88" t="s">
        <v>1006</v>
      </c>
      <c r="G49" s="97" t="s">
        <v>24</v>
      </c>
      <c r="H49" s="502">
        <v>0</v>
      </c>
      <c r="I49" s="72">
        <v>196.15</v>
      </c>
      <c r="J49" s="72">
        <v>43.05</v>
      </c>
      <c r="K49" s="15">
        <f>J49*H49</f>
        <v>0</v>
      </c>
      <c r="L49" s="72">
        <v>153.1</v>
      </c>
      <c r="M49" s="15">
        <f t="shared" si="3"/>
        <v>0</v>
      </c>
      <c r="N49" s="15">
        <f t="shared" si="4"/>
        <v>0</v>
      </c>
      <c r="O49" s="25" t="e">
        <f>N49/N51</f>
        <v>#DIV/0!</v>
      </c>
    </row>
    <row r="50" spans="1:15" ht="12" customHeight="1" x14ac:dyDescent="0.2">
      <c r="A50" s="98"/>
      <c r="B50" s="130"/>
      <c r="G50" s="52"/>
      <c r="H50" s="501"/>
      <c r="I50" s="52"/>
      <c r="J50" s="52"/>
      <c r="K50" s="52"/>
      <c r="L50" s="52"/>
      <c r="M50" s="52"/>
      <c r="N50" s="15"/>
      <c r="O50" s="25"/>
    </row>
    <row r="51" spans="1:15" ht="12" customHeight="1" x14ac:dyDescent="0.2">
      <c r="B51" s="130" t="s">
        <v>18</v>
      </c>
      <c r="C51" s="131"/>
      <c r="D51" s="131"/>
      <c r="E51" s="131"/>
      <c r="F51" s="131"/>
      <c r="G51" s="53"/>
      <c r="H51" s="20"/>
      <c r="I51" s="53"/>
      <c r="J51" s="53"/>
      <c r="K51" s="53"/>
      <c r="L51" s="53"/>
      <c r="M51" s="53"/>
      <c r="N51" s="15">
        <f>SUM(N44:N49)</f>
        <v>0</v>
      </c>
      <c r="O51" s="25" t="e">
        <f>N51/N53</f>
        <v>#DIV/0!</v>
      </c>
    </row>
    <row r="52" spans="1:15" ht="12" customHeight="1" x14ac:dyDescent="0.2">
      <c r="A52" s="98"/>
      <c r="B52" s="88"/>
      <c r="G52" s="97"/>
      <c r="H52" s="15"/>
      <c r="I52" s="15"/>
      <c r="J52" s="15"/>
      <c r="K52" s="15"/>
      <c r="L52" s="15"/>
      <c r="M52" s="15"/>
      <c r="N52" s="15"/>
      <c r="O52" s="25"/>
    </row>
    <row r="53" spans="1:15" s="132" customFormat="1" ht="12" customHeight="1" x14ac:dyDescent="0.2">
      <c r="A53" s="145"/>
      <c r="B53" s="133" t="s">
        <v>20</v>
      </c>
      <c r="C53" s="134"/>
      <c r="D53" s="134"/>
      <c r="E53" s="134"/>
      <c r="F53" s="134"/>
      <c r="G53" s="78"/>
      <c r="H53" s="455"/>
      <c r="I53" s="78"/>
      <c r="J53" s="78"/>
      <c r="K53" s="78"/>
      <c r="L53" s="78"/>
      <c r="M53" s="78"/>
      <c r="N53" s="83">
        <f>N41+N35+N51</f>
        <v>0</v>
      </c>
      <c r="O53" s="77" t="e">
        <f>N53/N55</f>
        <v>#DIV/0!</v>
      </c>
    </row>
    <row r="54" spans="1:15" ht="7.5" customHeight="1" x14ac:dyDescent="0.2">
      <c r="A54" s="98"/>
      <c r="B54" s="88"/>
      <c r="G54" s="97"/>
      <c r="H54" s="15"/>
      <c r="I54" s="15"/>
      <c r="J54" s="15"/>
      <c r="K54" s="15"/>
      <c r="L54" s="15"/>
      <c r="M54" s="15"/>
      <c r="N54" s="15"/>
      <c r="O54" s="25"/>
    </row>
    <row r="55" spans="1:15" ht="12" customHeight="1" x14ac:dyDescent="0.2">
      <c r="A55" s="146"/>
      <c r="B55" s="147" t="s">
        <v>30</v>
      </c>
      <c r="C55" s="146"/>
      <c r="D55" s="146"/>
      <c r="E55" s="146"/>
      <c r="F55" s="146"/>
      <c r="G55" s="146"/>
      <c r="H55" s="148"/>
      <c r="I55" s="148"/>
      <c r="J55" s="148"/>
      <c r="K55" s="274">
        <f>SUM(K12:K54)</f>
        <v>0</v>
      </c>
      <c r="L55" s="274"/>
      <c r="M55" s="275">
        <f>SUM(M12:M54)</f>
        <v>0</v>
      </c>
      <c r="N55" s="276">
        <f>N53+N28+N18</f>
        <v>0</v>
      </c>
      <c r="O55" s="146"/>
    </row>
    <row r="56" spans="1:15" ht="7.5" customHeight="1" x14ac:dyDescent="0.2">
      <c r="A56" s="98"/>
      <c r="B56" s="88"/>
      <c r="G56" s="97"/>
      <c r="H56" s="15"/>
      <c r="I56" s="15"/>
      <c r="J56" s="15"/>
      <c r="K56" s="15"/>
      <c r="L56" s="15"/>
      <c r="M56" s="15"/>
      <c r="N56" s="15"/>
      <c r="O56" s="25"/>
    </row>
    <row r="57" spans="1:15" ht="12" customHeight="1" x14ac:dyDescent="0.2">
      <c r="A57" s="146"/>
      <c r="B57" s="147" t="s">
        <v>265</v>
      </c>
      <c r="C57" s="146"/>
      <c r="D57" s="146"/>
      <c r="E57" s="146"/>
      <c r="F57" s="146"/>
      <c r="G57" s="146"/>
      <c r="H57" s="148"/>
      <c r="I57" s="148"/>
      <c r="J57" s="148"/>
      <c r="K57" s="274">
        <f>K55+(K55*O5)</f>
        <v>0</v>
      </c>
      <c r="L57" s="274"/>
      <c r="M57" s="275">
        <f>M55+(M55*O7)</f>
        <v>0</v>
      </c>
      <c r="N57" s="276">
        <f>K57+M57</f>
        <v>0</v>
      </c>
      <c r="O57" s="29">
        <f>N57/RESUMO!H95</f>
        <v>0</v>
      </c>
    </row>
    <row r="61" spans="1:15" ht="12" customHeight="1" x14ac:dyDescent="0.2">
      <c r="M61" s="311">
        <f>K55+M55</f>
        <v>0</v>
      </c>
    </row>
    <row r="62" spans="1:15" s="150" customFormat="1" ht="12" customHeight="1" x14ac:dyDescent="0.2">
      <c r="A62" s="51"/>
      <c r="B62" s="51"/>
      <c r="C62" s="51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311"/>
      <c r="O62" s="51"/>
    </row>
    <row r="63" spans="1:15" s="150" customFormat="1" ht="12" customHeight="1" x14ac:dyDescent="0.2">
      <c r="A63" s="51"/>
      <c r="B63" s="51"/>
      <c r="C63" s="51"/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</row>
  </sheetData>
  <mergeCells count="3">
    <mergeCell ref="A2:O2"/>
    <mergeCell ref="N4:O4"/>
    <mergeCell ref="A5:B6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legacyDrawingHF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>
    <tabColor theme="6" tint="0.39997558519241921"/>
    <pageSetUpPr fitToPage="1"/>
  </sheetPr>
  <dimension ref="A1:S171"/>
  <sheetViews>
    <sheetView view="pageBreakPreview" zoomScale="85" zoomScaleNormal="85" zoomScaleSheetLayoutView="85" workbookViewId="0">
      <selection activeCell="R28" sqref="R28"/>
    </sheetView>
  </sheetViews>
  <sheetFormatPr defaultColWidth="11.42578125" defaultRowHeight="12.75" customHeight="1" x14ac:dyDescent="0.2"/>
  <cols>
    <col min="1" max="5" width="11.42578125" style="51" customWidth="1"/>
    <col min="6" max="6" width="28.7109375" style="51" customWidth="1"/>
    <col min="7" max="9" width="11.42578125" style="51" customWidth="1"/>
    <col min="10" max="10" width="8" style="51" hidden="1" customWidth="1"/>
    <col min="11" max="11" width="14.28515625" style="51" customWidth="1"/>
    <col min="12" max="12" width="7.42578125" style="51" hidden="1" customWidth="1"/>
    <col min="13" max="13" width="14.28515625" style="51" customWidth="1"/>
    <col min="14" max="14" width="17.140625" style="51" customWidth="1"/>
    <col min="15" max="15" width="11.42578125" style="51" customWidth="1"/>
    <col min="16" max="16" width="6.140625" style="51" bestFit="1" customWidth="1"/>
    <col min="17" max="16384" width="11.42578125" style="51"/>
  </cols>
  <sheetData>
    <row r="1" spans="1:15" ht="8.25" customHeight="1" x14ac:dyDescent="0.2"/>
    <row r="2" spans="1:15" ht="12.75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5" ht="8.2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</row>
    <row r="4" spans="1:15" ht="12.75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5" ht="12.75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5" ht="12.75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5" ht="12.75" customHeight="1" x14ac:dyDescent="0.2">
      <c r="A7" s="697"/>
      <c r="B7" s="697"/>
      <c r="C7" s="260" t="s">
        <v>6</v>
      </c>
      <c r="D7" s="263" t="str">
        <f>RESUMO!A84</f>
        <v>U.C. : 14</v>
      </c>
      <c r="E7" s="258"/>
      <c r="F7" s="258"/>
      <c r="G7" s="260" t="s">
        <v>9</v>
      </c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5" ht="12.75" customHeight="1" thickBot="1" x14ac:dyDescent="0.25">
      <c r="A8" s="124"/>
      <c r="B8" s="125"/>
      <c r="C8" s="266" t="s">
        <v>8</v>
      </c>
      <c r="D8" s="267" t="str">
        <f>RESUMO!B84</f>
        <v>ESTAÇÃO ELEVATÓRIA DE ESGOTO - EEE02</v>
      </c>
      <c r="E8" s="268"/>
      <c r="F8" s="268"/>
      <c r="G8" s="266"/>
      <c r="H8" s="123"/>
      <c r="I8" s="278"/>
      <c r="J8" s="278"/>
      <c r="K8" s="278"/>
      <c r="L8" s="278"/>
      <c r="M8" s="278" t="s">
        <v>774</v>
      </c>
      <c r="N8" s="271"/>
      <c r="O8" s="268"/>
    </row>
    <row r="9" spans="1:15" ht="12.75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5" ht="8.25" customHeight="1" x14ac:dyDescent="0.2"/>
    <row r="11" spans="1:15" ht="12.75" customHeight="1" x14ac:dyDescent="0.2">
      <c r="A11" s="93">
        <f>RESUMO!A76</f>
        <v>2</v>
      </c>
      <c r="B11" s="93" t="str">
        <f>RESUMO!B76</f>
        <v>ESTRUTURA</v>
      </c>
    </row>
    <row r="12" spans="1:15" ht="12.75" customHeight="1" x14ac:dyDescent="0.2">
      <c r="A12" s="129" t="s">
        <v>48</v>
      </c>
      <c r="B12" s="88" t="s">
        <v>16</v>
      </c>
      <c r="H12" s="505"/>
      <c r="O12" s="61"/>
    </row>
    <row r="13" spans="1:15" ht="12.75" customHeight="1" x14ac:dyDescent="0.2">
      <c r="A13" s="98" t="s">
        <v>79</v>
      </c>
      <c r="B13" s="88" t="s">
        <v>80</v>
      </c>
      <c r="G13" s="52"/>
      <c r="H13" s="501"/>
      <c r="I13" s="52"/>
      <c r="J13" s="52"/>
      <c r="K13" s="52"/>
      <c r="L13" s="52"/>
      <c r="M13" s="52"/>
      <c r="N13" s="52"/>
      <c r="O13" s="19"/>
    </row>
    <row r="14" spans="1:15" ht="12.75" customHeight="1" x14ac:dyDescent="0.2">
      <c r="A14" s="98" t="s">
        <v>286</v>
      </c>
      <c r="B14" s="88" t="s">
        <v>636</v>
      </c>
      <c r="G14" s="97" t="s">
        <v>31</v>
      </c>
      <c r="H14" s="502">
        <v>0</v>
      </c>
      <c r="I14" s="72">
        <f>VLOOKUP(A14,'[1]TAB OGU JUN18'!$A:$G,6,"falso")</f>
        <v>16.329999999999998</v>
      </c>
      <c r="J14" s="72">
        <f>VLOOKUP(A14,'[1]TAB OGU JUN18'!$A:$G,4,"falso")</f>
        <v>9.6300000000000008</v>
      </c>
      <c r="K14" s="15">
        <f>H14*J14</f>
        <v>0</v>
      </c>
      <c r="L14" s="72">
        <f>VLOOKUP(A14,'[1]TAB OGU JUN18'!$A:$G,5,"falso")</f>
        <v>6.7</v>
      </c>
      <c r="M14" s="15">
        <f>H14*L14</f>
        <v>0</v>
      </c>
      <c r="N14" s="15">
        <f>H14*I14</f>
        <v>0</v>
      </c>
      <c r="O14" s="25" t="e">
        <f>N14/N16</f>
        <v>#DIV/0!</v>
      </c>
    </row>
    <row r="15" spans="1:15" ht="12.75" customHeight="1" x14ac:dyDescent="0.2">
      <c r="G15" s="52"/>
      <c r="H15" s="501"/>
      <c r="I15" s="52"/>
      <c r="J15" s="52"/>
      <c r="K15" s="52"/>
      <c r="L15" s="52"/>
      <c r="M15" s="52"/>
      <c r="N15" s="52"/>
      <c r="O15" s="19"/>
    </row>
    <row r="16" spans="1:15" ht="12.75" customHeight="1" x14ac:dyDescent="0.2">
      <c r="B16" s="130" t="s">
        <v>18</v>
      </c>
      <c r="C16" s="131"/>
      <c r="D16" s="131"/>
      <c r="E16" s="131"/>
      <c r="F16" s="131"/>
      <c r="G16" s="53"/>
      <c r="H16" s="503"/>
      <c r="I16" s="53"/>
      <c r="J16" s="53"/>
      <c r="K16" s="53"/>
      <c r="L16" s="53"/>
      <c r="M16" s="53"/>
      <c r="N16" s="15">
        <f>N14</f>
        <v>0</v>
      </c>
      <c r="O16" s="25" t="e">
        <f>N16/N28</f>
        <v>#DIV/0!</v>
      </c>
    </row>
    <row r="17" spans="1:17" ht="12.75" customHeight="1" x14ac:dyDescent="0.2">
      <c r="B17" s="130"/>
      <c r="G17" s="52"/>
      <c r="H17" s="501"/>
      <c r="I17" s="52"/>
      <c r="J17" s="52"/>
      <c r="K17" s="52"/>
      <c r="L17" s="52"/>
      <c r="M17" s="52"/>
      <c r="N17" s="15"/>
      <c r="O17" s="25"/>
    </row>
    <row r="18" spans="1:17" ht="12" customHeight="1" x14ac:dyDescent="0.2">
      <c r="A18" s="129" t="s">
        <v>779</v>
      </c>
      <c r="B18" s="88" t="s">
        <v>780</v>
      </c>
      <c r="H18" s="501"/>
      <c r="N18" s="303"/>
      <c r="O18" s="187"/>
    </row>
    <row r="19" spans="1:17" ht="12" customHeight="1" x14ac:dyDescent="0.2">
      <c r="A19" s="140" t="s">
        <v>789</v>
      </c>
      <c r="B19" s="142" t="s">
        <v>636</v>
      </c>
      <c r="C19" s="153"/>
      <c r="D19" s="153"/>
      <c r="E19" s="153"/>
      <c r="F19" s="153"/>
      <c r="G19" s="97" t="s">
        <v>31</v>
      </c>
      <c r="H19" s="495">
        <f>H14</f>
        <v>0</v>
      </c>
      <c r="I19" s="323">
        <f>VLOOKUP(A19,'[1]TAB OGU JUN18'!$A:$G,6,"falso")</f>
        <v>0.47</v>
      </c>
      <c r="J19" s="323">
        <f>VLOOKUP(A19,'[1]TAB OGU JUN18'!$A:$G,4,"falso")</f>
        <v>0.47</v>
      </c>
      <c r="K19" s="308">
        <f>H19*J19</f>
        <v>0</v>
      </c>
      <c r="L19" s="323">
        <f>VLOOKUP(A19,'[1]TAB OGU JUN18'!$A:$G,5,"falso")</f>
        <v>0</v>
      </c>
      <c r="M19" s="308"/>
      <c r="N19" s="308">
        <f>H19*I19</f>
        <v>0</v>
      </c>
      <c r="O19" s="185" t="e">
        <f>N19/N21</f>
        <v>#DIV/0!</v>
      </c>
    </row>
    <row r="20" spans="1:17" ht="12" customHeight="1" x14ac:dyDescent="0.2">
      <c r="A20" s="156"/>
      <c r="G20" s="52"/>
      <c r="H20" s="506"/>
      <c r="I20" s="313"/>
      <c r="J20" s="313"/>
      <c r="K20" s="313"/>
      <c r="L20" s="313"/>
      <c r="M20" s="313"/>
      <c r="N20" s="309"/>
      <c r="O20" s="185"/>
    </row>
    <row r="21" spans="1:17" ht="12" customHeight="1" x14ac:dyDescent="0.2">
      <c r="A21" s="156"/>
      <c r="B21" s="130" t="s">
        <v>18</v>
      </c>
      <c r="C21" s="131"/>
      <c r="D21" s="131"/>
      <c r="E21" s="131"/>
      <c r="F21" s="131"/>
      <c r="G21" s="53"/>
      <c r="H21" s="507"/>
      <c r="I21" s="326"/>
      <c r="J21" s="326"/>
      <c r="K21" s="326"/>
      <c r="L21" s="326"/>
      <c r="M21" s="326"/>
      <c r="N21" s="308">
        <f>SUM(N19:N19)</f>
        <v>0</v>
      </c>
      <c r="O21" s="185" t="e">
        <f>N21/N28</f>
        <v>#DIV/0!</v>
      </c>
    </row>
    <row r="22" spans="1:17" ht="12" customHeight="1" x14ac:dyDescent="0.2">
      <c r="A22" s="156"/>
      <c r="B22" s="130"/>
      <c r="G22" s="52"/>
      <c r="H22" s="506"/>
      <c r="I22" s="313"/>
      <c r="J22" s="313"/>
      <c r="K22" s="313"/>
      <c r="L22" s="313"/>
      <c r="M22" s="313"/>
      <c r="N22" s="308"/>
      <c r="O22" s="185"/>
    </row>
    <row r="23" spans="1:17" ht="12" customHeight="1" x14ac:dyDescent="0.2">
      <c r="A23" s="98" t="s">
        <v>783</v>
      </c>
      <c r="B23" s="88" t="s">
        <v>785</v>
      </c>
      <c r="G23" s="52"/>
      <c r="H23" s="506"/>
      <c r="I23" s="324"/>
      <c r="J23" s="313"/>
      <c r="K23" s="313"/>
      <c r="L23" s="313"/>
      <c r="M23" s="313"/>
      <c r="N23" s="313"/>
      <c r="O23" s="19"/>
      <c r="Q23" s="311"/>
    </row>
    <row r="24" spans="1:17" ht="12" customHeight="1" x14ac:dyDescent="0.2">
      <c r="A24" s="98" t="s">
        <v>784</v>
      </c>
      <c r="B24" s="88" t="s">
        <v>786</v>
      </c>
      <c r="G24" s="97" t="s">
        <v>753</v>
      </c>
      <c r="H24" s="495">
        <v>0</v>
      </c>
      <c r="I24" s="323">
        <f>VLOOKUP(A24,'[1]TAB OGU JUN18'!$A:$G,6,"falso")</f>
        <v>2.23</v>
      </c>
      <c r="J24" s="323">
        <f>VLOOKUP(A24,'[1]TAB OGU JUN18'!$A:$G,4,"falso")</f>
        <v>2.23</v>
      </c>
      <c r="K24" s="308">
        <f>H24*J24</f>
        <v>0</v>
      </c>
      <c r="L24" s="323">
        <f>VLOOKUP(A24,'[1]TAB OGU JUN18'!$A:$G,5,"falso")</f>
        <v>0</v>
      </c>
      <c r="M24" s="308"/>
      <c r="N24" s="308">
        <f>H24*I24</f>
        <v>0</v>
      </c>
      <c r="O24" s="25" t="e">
        <f>N24/N26</f>
        <v>#DIV/0!</v>
      </c>
      <c r="Q24" s="311"/>
    </row>
    <row r="25" spans="1:17" ht="12" customHeight="1" x14ac:dyDescent="0.2">
      <c r="G25" s="52"/>
      <c r="H25" s="506"/>
      <c r="I25" s="324"/>
      <c r="J25" s="313"/>
      <c r="K25" s="313"/>
      <c r="L25" s="313"/>
      <c r="M25" s="313"/>
      <c r="N25" s="313"/>
      <c r="O25" s="19"/>
      <c r="Q25" s="311"/>
    </row>
    <row r="26" spans="1:17" ht="12" customHeight="1" x14ac:dyDescent="0.2">
      <c r="B26" s="130" t="s">
        <v>18</v>
      </c>
      <c r="C26" s="131"/>
      <c r="D26" s="131"/>
      <c r="E26" s="131"/>
      <c r="F26" s="131"/>
      <c r="G26" s="53"/>
      <c r="H26" s="507"/>
      <c r="I26" s="325"/>
      <c r="J26" s="326"/>
      <c r="K26" s="326"/>
      <c r="L26" s="326"/>
      <c r="M26" s="326"/>
      <c r="N26" s="308">
        <f>N24</f>
        <v>0</v>
      </c>
      <c r="O26" s="25" t="e">
        <f>N26/N28</f>
        <v>#DIV/0!</v>
      </c>
      <c r="Q26" s="311"/>
    </row>
    <row r="27" spans="1:17" ht="12" customHeight="1" x14ac:dyDescent="0.2">
      <c r="B27" s="130"/>
      <c r="G27" s="52"/>
      <c r="H27" s="506"/>
      <c r="I27" s="324"/>
      <c r="J27" s="313"/>
      <c r="K27" s="313"/>
      <c r="L27" s="313"/>
      <c r="M27" s="313"/>
      <c r="N27" s="308"/>
      <c r="O27" s="25"/>
      <c r="Q27" s="311"/>
    </row>
    <row r="28" spans="1:17" s="132" customFormat="1" ht="12.75" customHeight="1" x14ac:dyDescent="0.2">
      <c r="B28" s="133" t="s">
        <v>20</v>
      </c>
      <c r="C28" s="134"/>
      <c r="D28" s="134"/>
      <c r="E28" s="134"/>
      <c r="F28" s="134"/>
      <c r="G28" s="78"/>
      <c r="H28" s="504"/>
      <c r="I28" s="78"/>
      <c r="J28" s="78"/>
      <c r="K28" s="78"/>
      <c r="L28" s="78"/>
      <c r="M28" s="78"/>
      <c r="N28" s="83">
        <f>N16+N21+N26</f>
        <v>0</v>
      </c>
      <c r="O28" s="77" t="e">
        <f>N28/$N$157</f>
        <v>#DIV/0!</v>
      </c>
    </row>
    <row r="29" spans="1:17" ht="12.75" customHeight="1" x14ac:dyDescent="0.2">
      <c r="G29" s="52"/>
      <c r="H29" s="501"/>
      <c r="I29" s="52"/>
      <c r="J29" s="52"/>
      <c r="K29" s="52"/>
      <c r="L29" s="52"/>
      <c r="M29" s="52"/>
      <c r="N29" s="52"/>
      <c r="O29" s="19"/>
    </row>
    <row r="30" spans="1:17" ht="12.75" customHeight="1" x14ac:dyDescent="0.2">
      <c r="A30" s="129" t="s">
        <v>93</v>
      </c>
      <c r="B30" s="88" t="s">
        <v>96</v>
      </c>
      <c r="H30" s="505"/>
      <c r="O30" s="61"/>
    </row>
    <row r="31" spans="1:17" ht="12.75" customHeight="1" x14ac:dyDescent="0.2">
      <c r="A31" s="129" t="s">
        <v>810</v>
      </c>
      <c r="B31" s="843" t="s">
        <v>1415</v>
      </c>
      <c r="C31" s="843"/>
      <c r="D31" s="843"/>
      <c r="E31" s="843"/>
      <c r="F31" s="843"/>
      <c r="H31" s="505"/>
      <c r="O31" s="61"/>
    </row>
    <row r="32" spans="1:17" ht="12.75" customHeight="1" x14ac:dyDescent="0.2">
      <c r="A32" s="129"/>
      <c r="B32" s="130" t="s">
        <v>1414</v>
      </c>
      <c r="C32" s="699"/>
      <c r="D32" s="699"/>
      <c r="E32" s="699"/>
      <c r="F32" s="699"/>
      <c r="H32" s="505"/>
      <c r="O32" s="61"/>
    </row>
    <row r="33" spans="1:19" ht="12.75" customHeight="1" x14ac:dyDescent="0.2">
      <c r="A33" s="129" t="s">
        <v>295</v>
      </c>
      <c r="B33" s="88" t="s">
        <v>229</v>
      </c>
      <c r="G33" s="97" t="s">
        <v>32</v>
      </c>
      <c r="H33" s="502">
        <v>0</v>
      </c>
      <c r="I33" s="72">
        <f>VLOOKUP(A33,'[1]TAB OGU JUN18'!$A:$G,6,"falso")</f>
        <v>7.1</v>
      </c>
      <c r="J33" s="72">
        <f>VLOOKUP(A33,'[1]TAB OGU JUN18'!$A:$G,4,"falso")</f>
        <v>7.1</v>
      </c>
      <c r="K33" s="15">
        <f>H33*J33</f>
        <v>0</v>
      </c>
      <c r="L33" s="72">
        <f>VLOOKUP(A33,'[1]TAB OGU JUN18'!$A:$G,5,"falso")</f>
        <v>0</v>
      </c>
      <c r="M33" s="15"/>
      <c r="N33" s="15">
        <f>H33*I33</f>
        <v>0</v>
      </c>
      <c r="O33" s="25" t="e">
        <f>N33/N36</f>
        <v>#DIV/0!</v>
      </c>
    </row>
    <row r="34" spans="1:19" ht="12.75" customHeight="1" x14ac:dyDescent="0.2">
      <c r="A34" s="129" t="s">
        <v>296</v>
      </c>
      <c r="B34" s="88" t="s">
        <v>558</v>
      </c>
      <c r="G34" s="97" t="s">
        <v>32</v>
      </c>
      <c r="H34" s="502">
        <v>0</v>
      </c>
      <c r="I34" s="72">
        <f>VLOOKUP(A34,'[1]TAB OGU JUN18'!$A:$G,6,"falso")</f>
        <v>2.2400000000000002</v>
      </c>
      <c r="J34" s="72">
        <f>VLOOKUP(A34,'[1]TAB OGU JUN18'!$A:$G,4,"falso")</f>
        <v>2.2400000000000002</v>
      </c>
      <c r="K34" s="15">
        <f>H34*J34</f>
        <v>0</v>
      </c>
      <c r="L34" s="72">
        <f>VLOOKUP(A34,'[1]TAB OGU JUN18'!$A:$G,5,"falso")</f>
        <v>0</v>
      </c>
      <c r="M34" s="15"/>
      <c r="N34" s="15">
        <f>H34*I34</f>
        <v>0</v>
      </c>
      <c r="O34" s="25" t="e">
        <f>N34/N36</f>
        <v>#DIV/0!</v>
      </c>
    </row>
    <row r="35" spans="1:19" ht="12.75" customHeight="1" x14ac:dyDescent="0.2">
      <c r="G35" s="52"/>
      <c r="H35" s="501"/>
      <c r="I35" s="52"/>
      <c r="J35" s="52"/>
      <c r="K35" s="52"/>
      <c r="L35" s="52"/>
      <c r="M35" s="52"/>
      <c r="N35" s="456"/>
      <c r="O35" s="25"/>
    </row>
    <row r="36" spans="1:19" ht="12.75" customHeight="1" x14ac:dyDescent="0.2">
      <c r="B36" s="130" t="s">
        <v>18</v>
      </c>
      <c r="C36" s="131"/>
      <c r="D36" s="131"/>
      <c r="E36" s="131"/>
      <c r="F36" s="131"/>
      <c r="G36" s="53"/>
      <c r="H36" s="503"/>
      <c r="I36" s="53"/>
      <c r="J36" s="53"/>
      <c r="K36" s="53"/>
      <c r="L36" s="53"/>
      <c r="M36" s="53"/>
      <c r="N36" s="15">
        <f>SUM(N33:N34)</f>
        <v>0</v>
      </c>
      <c r="O36" s="25" t="e">
        <f>N36/N60</f>
        <v>#DIV/0!</v>
      </c>
      <c r="S36" s="61" t="s">
        <v>1409</v>
      </c>
    </row>
    <row r="37" spans="1:19" ht="12.75" customHeight="1" x14ac:dyDescent="0.2">
      <c r="B37" s="130"/>
      <c r="G37" s="52"/>
      <c r="H37" s="501"/>
      <c r="I37" s="52"/>
      <c r="J37" s="52"/>
      <c r="K37" s="52"/>
      <c r="L37" s="52"/>
      <c r="M37" s="52"/>
      <c r="N37" s="15"/>
      <c r="O37" s="25"/>
    </row>
    <row r="38" spans="1:19" ht="12.75" customHeight="1" x14ac:dyDescent="0.2">
      <c r="A38" s="98" t="s">
        <v>101</v>
      </c>
      <c r="B38" s="88" t="s">
        <v>21</v>
      </c>
      <c r="G38" s="97"/>
      <c r="H38" s="502"/>
      <c r="I38" s="15"/>
      <c r="J38" s="15"/>
      <c r="K38" s="15"/>
      <c r="L38" s="15"/>
      <c r="M38" s="15"/>
      <c r="N38" s="15"/>
      <c r="O38" s="25"/>
    </row>
    <row r="39" spans="1:19" ht="12.75" customHeight="1" x14ac:dyDescent="0.2">
      <c r="A39" s="98" t="s">
        <v>102</v>
      </c>
      <c r="B39" s="88" t="s">
        <v>104</v>
      </c>
      <c r="G39" s="97" t="s">
        <v>32</v>
      </c>
      <c r="H39" s="502">
        <v>0</v>
      </c>
      <c r="I39" s="72">
        <f>VLOOKUP(A39,'[1]TAB OGU JUN18'!$A:$G,6,"falso")</f>
        <v>7.4</v>
      </c>
      <c r="J39" s="72">
        <f>VLOOKUP(A39,'[1]TAB OGU JUN18'!$A:$G,4,"falso")</f>
        <v>7.4</v>
      </c>
      <c r="K39" s="15">
        <f>H39*J39</f>
        <v>0</v>
      </c>
      <c r="L39" s="72">
        <f>VLOOKUP(A39,'[1]TAB OGU JUN18'!$A:$G,5,"falso")</f>
        <v>0</v>
      </c>
      <c r="M39" s="15"/>
      <c r="N39" s="15">
        <f>H39*I39</f>
        <v>0</v>
      </c>
      <c r="O39" s="25" t="e">
        <f>N39/N42</f>
        <v>#DIV/0!</v>
      </c>
    </row>
    <row r="40" spans="1:19" ht="12.75" customHeight="1" x14ac:dyDescent="0.2">
      <c r="A40" s="98" t="s">
        <v>103</v>
      </c>
      <c r="B40" s="88" t="s">
        <v>105</v>
      </c>
      <c r="G40" s="97" t="s">
        <v>32</v>
      </c>
      <c r="H40" s="502">
        <v>0</v>
      </c>
      <c r="I40" s="72">
        <f>VLOOKUP(A40,'[1]TAB OGU JUN18'!$A:$G,6,"falso")</f>
        <v>1.32</v>
      </c>
      <c r="J40" s="72">
        <f>VLOOKUP(A40,'[1]TAB OGU JUN18'!$A:$G,4,"falso")</f>
        <v>1.32</v>
      </c>
      <c r="K40" s="15">
        <f>H40*J40</f>
        <v>0</v>
      </c>
      <c r="L40" s="72">
        <f>VLOOKUP(A40,'[1]TAB OGU JUN18'!$A:$G,5,"falso")</f>
        <v>0</v>
      </c>
      <c r="M40" s="15"/>
      <c r="N40" s="15">
        <f>H40*I40</f>
        <v>0</v>
      </c>
      <c r="O40" s="25" t="e">
        <f>N40/N42</f>
        <v>#DIV/0!</v>
      </c>
    </row>
    <row r="41" spans="1:19" ht="12.75" customHeight="1" x14ac:dyDescent="0.2">
      <c r="B41" s="130"/>
      <c r="G41" s="52"/>
      <c r="H41" s="501"/>
      <c r="I41" s="52"/>
      <c r="J41" s="52"/>
      <c r="K41" s="52"/>
      <c r="L41" s="52"/>
      <c r="M41" s="52"/>
      <c r="N41" s="15"/>
      <c r="O41" s="25"/>
    </row>
    <row r="42" spans="1:19" ht="12.75" customHeight="1" x14ac:dyDescent="0.2">
      <c r="B42" s="130" t="s">
        <v>18</v>
      </c>
      <c r="C42" s="131"/>
      <c r="D42" s="131"/>
      <c r="E42" s="131"/>
      <c r="F42" s="131"/>
      <c r="G42" s="53"/>
      <c r="H42" s="503"/>
      <c r="I42" s="53"/>
      <c r="J42" s="53"/>
      <c r="K42" s="53"/>
      <c r="L42" s="53"/>
      <c r="M42" s="53"/>
      <c r="N42" s="15">
        <f>SUM(N39:N40)</f>
        <v>0</v>
      </c>
      <c r="O42" s="25" t="e">
        <f>N42/N60</f>
        <v>#DIV/0!</v>
      </c>
    </row>
    <row r="43" spans="1:19" ht="12.75" customHeight="1" x14ac:dyDescent="0.2">
      <c r="B43" s="130"/>
      <c r="G43" s="52"/>
      <c r="H43" s="501"/>
      <c r="I43" s="52"/>
      <c r="J43" s="52"/>
      <c r="K43" s="52"/>
      <c r="L43" s="52"/>
      <c r="M43" s="52"/>
      <c r="N43" s="15"/>
      <c r="O43" s="25"/>
    </row>
    <row r="44" spans="1:19" ht="12.75" customHeight="1" x14ac:dyDescent="0.2">
      <c r="A44" s="98" t="s">
        <v>106</v>
      </c>
      <c r="B44" s="88" t="s">
        <v>109</v>
      </c>
      <c r="G44" s="97"/>
      <c r="H44" s="502"/>
      <c r="I44" s="15"/>
      <c r="J44" s="15"/>
      <c r="K44" s="15"/>
      <c r="L44" s="15"/>
      <c r="M44" s="15"/>
      <c r="N44" s="15"/>
      <c r="O44" s="25"/>
    </row>
    <row r="45" spans="1:19" ht="12.75" customHeight="1" x14ac:dyDescent="0.2">
      <c r="A45" s="98" t="s">
        <v>107</v>
      </c>
      <c r="B45" s="88" t="s">
        <v>104</v>
      </c>
      <c r="G45" s="97" t="s">
        <v>32</v>
      </c>
      <c r="H45" s="502">
        <f>H39</f>
        <v>0</v>
      </c>
      <c r="I45" s="72">
        <f>VLOOKUP(A45,'[1]TAB OGU JUN18'!$A:$G,6,"falso")</f>
        <v>20.56</v>
      </c>
      <c r="J45" s="72">
        <f>VLOOKUP(A45,'[1]TAB OGU JUN18'!$A:$G,4,"falso")</f>
        <v>20.56</v>
      </c>
      <c r="K45" s="15">
        <f>H45*J45</f>
        <v>0</v>
      </c>
      <c r="L45" s="72">
        <f>VLOOKUP(A45,'[1]TAB OGU JUN18'!$A:$G,5,"falso")</f>
        <v>0</v>
      </c>
      <c r="M45" s="15"/>
      <c r="N45" s="15">
        <f>H45*I45</f>
        <v>0</v>
      </c>
      <c r="O45" s="25" t="e">
        <f>N45/N48</f>
        <v>#DIV/0!</v>
      </c>
    </row>
    <row r="46" spans="1:19" ht="12.75" customHeight="1" x14ac:dyDescent="0.2">
      <c r="A46" s="98" t="s">
        <v>108</v>
      </c>
      <c r="B46" s="88" t="s">
        <v>105</v>
      </c>
      <c r="G46" s="97" t="s">
        <v>32</v>
      </c>
      <c r="H46" s="502">
        <f>H40</f>
        <v>0</v>
      </c>
      <c r="I46" s="72">
        <f>VLOOKUP(A46,'[1]TAB OGU JUN18'!$A:$G,6,"falso")</f>
        <v>4.05</v>
      </c>
      <c r="J46" s="72">
        <f>VLOOKUP(A46,'[1]TAB OGU JUN18'!$A:$G,4,"falso")</f>
        <v>4.05</v>
      </c>
      <c r="K46" s="15">
        <f>H46*J46</f>
        <v>0</v>
      </c>
      <c r="L46" s="72">
        <f>VLOOKUP(A46,'[1]TAB OGU JUN18'!$A:$G,5,"falso")</f>
        <v>0</v>
      </c>
      <c r="M46" s="15"/>
      <c r="N46" s="15">
        <f>H46*I46</f>
        <v>0</v>
      </c>
      <c r="O46" s="25" t="e">
        <f>N46/N48</f>
        <v>#DIV/0!</v>
      </c>
    </row>
    <row r="47" spans="1:19" ht="12.75" customHeight="1" x14ac:dyDescent="0.2">
      <c r="B47" s="130"/>
      <c r="G47" s="52"/>
      <c r="H47" s="501"/>
      <c r="I47" s="52"/>
      <c r="J47" s="52"/>
      <c r="K47" s="52"/>
      <c r="L47" s="52"/>
      <c r="M47" s="52"/>
      <c r="N47" s="15"/>
      <c r="O47" s="25"/>
    </row>
    <row r="48" spans="1:19" ht="12.75" customHeight="1" x14ac:dyDescent="0.2">
      <c r="B48" s="130" t="s">
        <v>18</v>
      </c>
      <c r="C48" s="131"/>
      <c r="D48" s="131"/>
      <c r="E48" s="131"/>
      <c r="F48" s="131"/>
      <c r="G48" s="53"/>
      <c r="H48" s="503"/>
      <c r="I48" s="53"/>
      <c r="J48" s="53"/>
      <c r="K48" s="53"/>
      <c r="L48" s="53"/>
      <c r="M48" s="53"/>
      <c r="N48" s="15">
        <f>SUM(N45:N46)</f>
        <v>0</v>
      </c>
      <c r="O48" s="25" t="e">
        <f>N48/N60</f>
        <v>#DIV/0!</v>
      </c>
    </row>
    <row r="49" spans="1:15" ht="12.75" customHeight="1" x14ac:dyDescent="0.2">
      <c r="B49" s="130"/>
      <c r="G49" s="52"/>
      <c r="H49" s="501"/>
      <c r="I49" s="52"/>
      <c r="J49" s="52"/>
      <c r="K49" s="52"/>
      <c r="L49" s="52"/>
      <c r="M49" s="52"/>
      <c r="N49" s="15"/>
      <c r="O49" s="25"/>
    </row>
    <row r="50" spans="1:15" ht="12.75" customHeight="1" x14ac:dyDescent="0.2">
      <c r="A50" s="98" t="s">
        <v>110</v>
      </c>
      <c r="B50" s="88" t="s">
        <v>112</v>
      </c>
      <c r="G50" s="52"/>
      <c r="H50" s="501"/>
      <c r="I50" s="52"/>
      <c r="J50" s="52"/>
      <c r="K50" s="52"/>
      <c r="L50" s="52"/>
      <c r="M50" s="52"/>
      <c r="N50" s="52"/>
      <c r="O50" s="19"/>
    </row>
    <row r="51" spans="1:15" ht="12.75" customHeight="1" x14ac:dyDescent="0.2">
      <c r="A51" s="98" t="s">
        <v>111</v>
      </c>
      <c r="B51" s="88" t="s">
        <v>113</v>
      </c>
      <c r="G51" s="97" t="s">
        <v>32</v>
      </c>
      <c r="H51" s="502">
        <f>(H33+H34)-(H39+H40)</f>
        <v>0</v>
      </c>
      <c r="I51" s="72">
        <f>VLOOKUP(A51,'[1]TAB OGU JUN18'!$A:$G,6,"falso")</f>
        <v>1.85</v>
      </c>
      <c r="J51" s="72">
        <f>VLOOKUP(A51,'[1]TAB OGU JUN18'!$A:$G,4,"falso")</f>
        <v>1.85</v>
      </c>
      <c r="K51" s="15">
        <f>H51*J51</f>
        <v>0</v>
      </c>
      <c r="L51" s="72">
        <f>VLOOKUP(A51,'[1]TAB OGU JUN18'!$A:$G,5,"falso")</f>
        <v>0</v>
      </c>
      <c r="M51" s="15"/>
      <c r="N51" s="15">
        <f>H51*I51</f>
        <v>0</v>
      </c>
      <c r="O51" s="25" t="e">
        <f>N51/N53</f>
        <v>#DIV/0!</v>
      </c>
    </row>
    <row r="52" spans="1:15" ht="12.75" customHeight="1" x14ac:dyDescent="0.2">
      <c r="G52" s="52"/>
      <c r="H52" s="501"/>
      <c r="I52" s="52"/>
      <c r="J52" s="52"/>
      <c r="K52" s="52"/>
      <c r="L52" s="52"/>
      <c r="M52" s="52"/>
      <c r="N52" s="52"/>
      <c r="O52" s="19"/>
    </row>
    <row r="53" spans="1:15" ht="12.75" customHeight="1" x14ac:dyDescent="0.2">
      <c r="B53" s="130" t="s">
        <v>18</v>
      </c>
      <c r="C53" s="131"/>
      <c r="D53" s="131"/>
      <c r="E53" s="131"/>
      <c r="F53" s="131"/>
      <c r="G53" s="53"/>
      <c r="H53" s="503"/>
      <c r="I53" s="53"/>
      <c r="J53" s="53"/>
      <c r="K53" s="53"/>
      <c r="L53" s="53"/>
      <c r="M53" s="53"/>
      <c r="N53" s="15">
        <f>N51</f>
        <v>0</v>
      </c>
      <c r="O53" s="25" t="e">
        <f>N53/N60</f>
        <v>#DIV/0!</v>
      </c>
    </row>
    <row r="54" spans="1:15" ht="12.75" customHeight="1" x14ac:dyDescent="0.2">
      <c r="B54" s="130"/>
      <c r="G54" s="52"/>
      <c r="H54" s="501"/>
      <c r="I54" s="52"/>
      <c r="J54" s="52"/>
      <c r="K54" s="52"/>
      <c r="L54" s="52"/>
      <c r="M54" s="52"/>
      <c r="N54" s="15"/>
      <c r="O54" s="25"/>
    </row>
    <row r="55" spans="1:15" ht="12.75" customHeight="1" x14ac:dyDescent="0.2">
      <c r="A55" s="98" t="s">
        <v>114</v>
      </c>
      <c r="B55" s="88" t="s">
        <v>799</v>
      </c>
      <c r="G55" s="52"/>
      <c r="H55" s="501"/>
      <c r="I55" s="52"/>
      <c r="J55" s="52"/>
      <c r="K55" s="52"/>
      <c r="L55" s="52"/>
      <c r="M55" s="52"/>
      <c r="N55" s="52"/>
      <c r="O55" s="19"/>
    </row>
    <row r="56" spans="1:15" ht="12.75" customHeight="1" x14ac:dyDescent="0.2">
      <c r="A56" s="98" t="s">
        <v>115</v>
      </c>
      <c r="B56" s="88" t="s">
        <v>116</v>
      </c>
      <c r="G56" s="97" t="s">
        <v>180</v>
      </c>
      <c r="H56" s="502">
        <f>H51*3</f>
        <v>0</v>
      </c>
      <c r="I56" s="72">
        <f>VLOOKUP(A56,'[1]TAB OGU JUN18'!$A:$G,6,"falso")</f>
        <v>1</v>
      </c>
      <c r="J56" s="72">
        <f>VLOOKUP(A56,'[1]TAB OGU JUN18'!$A:$G,4,"falso")</f>
        <v>1</v>
      </c>
      <c r="K56" s="15">
        <f>H56*J56</f>
        <v>0</v>
      </c>
      <c r="L56" s="72">
        <f>VLOOKUP(A56,'[1]TAB OGU JUN18'!$A:$G,5,"falso")</f>
        <v>0</v>
      </c>
      <c r="M56" s="15"/>
      <c r="N56" s="15">
        <f>H56*I56</f>
        <v>0</v>
      </c>
      <c r="O56" s="25" t="e">
        <f>N56/N58</f>
        <v>#DIV/0!</v>
      </c>
    </row>
    <row r="57" spans="1:15" ht="12.75" customHeight="1" x14ac:dyDescent="0.2">
      <c r="G57" s="52"/>
      <c r="H57" s="501"/>
      <c r="I57" s="52"/>
      <c r="J57" s="52"/>
      <c r="K57" s="52"/>
      <c r="L57" s="52"/>
      <c r="M57" s="52"/>
      <c r="N57" s="52"/>
      <c r="O57" s="19"/>
    </row>
    <row r="58" spans="1:15" ht="12.75" customHeight="1" x14ac:dyDescent="0.2">
      <c r="B58" s="130" t="s">
        <v>18</v>
      </c>
      <c r="C58" s="131"/>
      <c r="D58" s="131"/>
      <c r="E58" s="131"/>
      <c r="F58" s="131"/>
      <c r="G58" s="53"/>
      <c r="H58" s="503"/>
      <c r="I58" s="53"/>
      <c r="J58" s="53"/>
      <c r="K58" s="53"/>
      <c r="L58" s="53"/>
      <c r="M58" s="53"/>
      <c r="N58" s="15">
        <f>N56</f>
        <v>0</v>
      </c>
      <c r="O58" s="25" t="e">
        <f>N58/N60</f>
        <v>#DIV/0!</v>
      </c>
    </row>
    <row r="59" spans="1:15" ht="12.75" customHeight="1" x14ac:dyDescent="0.2">
      <c r="B59" s="130"/>
      <c r="G59" s="52"/>
      <c r="H59" s="501"/>
      <c r="I59" s="52"/>
      <c r="J59" s="52"/>
      <c r="K59" s="52"/>
      <c r="L59" s="52"/>
      <c r="M59" s="52"/>
      <c r="N59" s="15"/>
      <c r="O59" s="25"/>
    </row>
    <row r="60" spans="1:15" s="132" customFormat="1" ht="12.75" customHeight="1" x14ac:dyDescent="0.2">
      <c r="B60" s="133" t="s">
        <v>20</v>
      </c>
      <c r="C60" s="134"/>
      <c r="D60" s="134"/>
      <c r="E60" s="134"/>
      <c r="F60" s="134"/>
      <c r="G60" s="78"/>
      <c r="H60" s="504"/>
      <c r="I60" s="78"/>
      <c r="J60" s="78"/>
      <c r="K60" s="78"/>
      <c r="L60" s="78"/>
      <c r="M60" s="78"/>
      <c r="N60" s="83">
        <f>N58+N53+N48+N42+N36</f>
        <v>0</v>
      </c>
      <c r="O60" s="77" t="e">
        <f>N60/$N$157</f>
        <v>#DIV/0!</v>
      </c>
    </row>
    <row r="61" spans="1:15" ht="12.75" customHeight="1" x14ac:dyDescent="0.2">
      <c r="B61" s="130"/>
      <c r="G61" s="52"/>
      <c r="H61" s="501"/>
      <c r="I61" s="52"/>
      <c r="J61" s="52"/>
      <c r="K61" s="52"/>
      <c r="L61" s="52"/>
      <c r="M61" s="52"/>
      <c r="N61" s="15"/>
      <c r="O61" s="25"/>
    </row>
    <row r="62" spans="1:15" ht="12.75" customHeight="1" x14ac:dyDescent="0.2">
      <c r="A62" s="129" t="s">
        <v>117</v>
      </c>
      <c r="B62" s="88" t="s">
        <v>22</v>
      </c>
      <c r="H62" s="505"/>
      <c r="O62" s="61"/>
    </row>
    <row r="63" spans="1:15" ht="12.75" customHeight="1" x14ac:dyDescent="0.2">
      <c r="A63" s="129" t="s">
        <v>118</v>
      </c>
      <c r="B63" s="88" t="s">
        <v>23</v>
      </c>
      <c r="H63" s="505"/>
      <c r="O63" s="61"/>
    </row>
    <row r="64" spans="1:15" ht="12.75" customHeight="1" x14ac:dyDescent="0.2">
      <c r="A64" s="129" t="s">
        <v>119</v>
      </c>
      <c r="B64" s="88" t="s">
        <v>120</v>
      </c>
      <c r="G64" s="97" t="s">
        <v>31</v>
      </c>
      <c r="H64" s="502">
        <v>0</v>
      </c>
      <c r="I64" s="72">
        <f>VLOOKUP(A64,'[1]TAB OGU JUN18'!$A:$G,6,"falso")</f>
        <v>14.81</v>
      </c>
      <c r="J64" s="72">
        <f>VLOOKUP(A64,'[1]TAB OGU JUN18'!$A:$G,4,"falso")</f>
        <v>13.63</v>
      </c>
      <c r="K64" s="15">
        <f>H64*J64</f>
        <v>0</v>
      </c>
      <c r="L64" s="72">
        <f>VLOOKUP(A64,'[1]TAB OGU JUN18'!$A:$G,5,"falso")</f>
        <v>1.18</v>
      </c>
      <c r="M64" s="15">
        <f>H64*L64</f>
        <v>0</v>
      </c>
      <c r="N64" s="15">
        <f>H64*I64</f>
        <v>0</v>
      </c>
      <c r="O64" s="25" t="e">
        <f>N64/N67</f>
        <v>#DIV/0!</v>
      </c>
    </row>
    <row r="65" spans="1:16" ht="12.75" customHeight="1" x14ac:dyDescent="0.2">
      <c r="A65" s="129" t="s">
        <v>224</v>
      </c>
      <c r="B65" s="88" t="s">
        <v>225</v>
      </c>
      <c r="G65" s="97" t="s">
        <v>31</v>
      </c>
      <c r="H65" s="502">
        <v>0</v>
      </c>
      <c r="I65" s="72">
        <f>VLOOKUP(A65,'[1]TAB OGU JUN18'!$A:$G,6,"falso")</f>
        <v>23.06</v>
      </c>
      <c r="J65" s="72">
        <f>VLOOKUP(A65,'[1]TAB OGU JUN18'!$A:$G,4,"falso")</f>
        <v>22.37</v>
      </c>
      <c r="K65" s="15">
        <f>H65*J65</f>
        <v>0</v>
      </c>
      <c r="L65" s="72">
        <f>VLOOKUP(A65,'[1]TAB OGU JUN18'!$A:$G,5,"falso")</f>
        <v>0.69</v>
      </c>
      <c r="M65" s="15">
        <f>H65*L65</f>
        <v>0</v>
      </c>
      <c r="N65" s="15">
        <f>H65*I65</f>
        <v>0</v>
      </c>
      <c r="O65" s="25" t="e">
        <f>N65/N67</f>
        <v>#DIV/0!</v>
      </c>
    </row>
    <row r="66" spans="1:16" ht="12.75" customHeight="1" x14ac:dyDescent="0.2">
      <c r="B66" s="130"/>
      <c r="G66" s="52"/>
      <c r="H66" s="501"/>
      <c r="I66" s="52"/>
      <c r="J66" s="52"/>
      <c r="K66" s="52"/>
      <c r="L66" s="52"/>
      <c r="M66" s="52"/>
      <c r="N66" s="15"/>
      <c r="O66" s="25"/>
    </row>
    <row r="67" spans="1:16" ht="12.75" customHeight="1" x14ac:dyDescent="0.2">
      <c r="B67" s="130" t="s">
        <v>18</v>
      </c>
      <c r="C67" s="131"/>
      <c r="D67" s="131"/>
      <c r="E67" s="131"/>
      <c r="F67" s="131"/>
      <c r="G67" s="53"/>
      <c r="H67" s="503"/>
      <c r="I67" s="53"/>
      <c r="J67" s="53"/>
      <c r="K67" s="53"/>
      <c r="L67" s="53"/>
      <c r="M67" s="53"/>
      <c r="N67" s="15">
        <f>SUM(N64:N65)</f>
        <v>0</v>
      </c>
      <c r="O67" s="25" t="e">
        <f>N67/N69</f>
        <v>#DIV/0!</v>
      </c>
    </row>
    <row r="68" spans="1:16" ht="12.75" customHeight="1" x14ac:dyDescent="0.2">
      <c r="B68" s="130"/>
      <c r="G68" s="52"/>
      <c r="H68" s="501"/>
      <c r="I68" s="52"/>
      <c r="J68" s="52"/>
      <c r="K68" s="52"/>
      <c r="L68" s="52"/>
      <c r="M68" s="52"/>
      <c r="N68" s="15"/>
      <c r="O68" s="25"/>
    </row>
    <row r="69" spans="1:16" s="132" customFormat="1" ht="12.75" customHeight="1" x14ac:dyDescent="0.2">
      <c r="B69" s="133" t="s">
        <v>20</v>
      </c>
      <c r="C69" s="134"/>
      <c r="D69" s="134"/>
      <c r="E69" s="134"/>
      <c r="F69" s="134"/>
      <c r="G69" s="78"/>
      <c r="H69" s="504"/>
      <c r="I69" s="78"/>
      <c r="J69" s="78"/>
      <c r="K69" s="78"/>
      <c r="L69" s="78"/>
      <c r="M69" s="78"/>
      <c r="N69" s="83">
        <f>N67</f>
        <v>0</v>
      </c>
      <c r="O69" s="77" t="e">
        <f>N69/$N$157</f>
        <v>#DIV/0!</v>
      </c>
    </row>
    <row r="70" spans="1:16" ht="12.75" customHeight="1" x14ac:dyDescent="0.2">
      <c r="B70" s="130"/>
      <c r="G70" s="52"/>
      <c r="H70" s="501"/>
      <c r="I70" s="52"/>
      <c r="J70" s="52"/>
      <c r="K70" s="52"/>
      <c r="L70" s="52"/>
      <c r="M70" s="52"/>
      <c r="N70" s="15"/>
      <c r="O70" s="25"/>
    </row>
    <row r="71" spans="1:16" ht="12.75" customHeight="1" x14ac:dyDescent="0.2">
      <c r="A71" s="129" t="s">
        <v>124</v>
      </c>
      <c r="B71" s="88" t="s">
        <v>121</v>
      </c>
      <c r="H71" s="505"/>
      <c r="O71" s="61"/>
    </row>
    <row r="72" spans="1:16" ht="12.75" customHeight="1" x14ac:dyDescent="0.2">
      <c r="A72" s="129" t="s">
        <v>125</v>
      </c>
      <c r="B72" s="88" t="s">
        <v>122</v>
      </c>
      <c r="H72" s="505"/>
      <c r="O72" s="61"/>
    </row>
    <row r="73" spans="1:16" ht="12.75" customHeight="1" x14ac:dyDescent="0.2">
      <c r="A73" s="129" t="s">
        <v>126</v>
      </c>
      <c r="B73" s="88" t="s">
        <v>189</v>
      </c>
      <c r="G73" s="97" t="s">
        <v>123</v>
      </c>
      <c r="H73" s="502">
        <f>((H33+H34)*0.1*1000)/20000</f>
        <v>0</v>
      </c>
      <c r="I73" s="72">
        <f>VLOOKUP(A73,'[1]TAB OGU JUN18'!$A:$G,6,"falso")</f>
        <v>5.52</v>
      </c>
      <c r="J73" s="72">
        <f>VLOOKUP(A73,'[1]TAB OGU JUN18'!$A:$G,4,"falso")</f>
        <v>5.52</v>
      </c>
      <c r="K73" s="15">
        <f>H73*J73</f>
        <v>0</v>
      </c>
      <c r="L73" s="72">
        <f>VLOOKUP(A73,'[1]TAB OGU JUN18'!$A:$G,5,"falso")</f>
        <v>0</v>
      </c>
      <c r="M73" s="15"/>
      <c r="N73" s="15">
        <f>H73*I73</f>
        <v>0</v>
      </c>
      <c r="O73" s="25" t="e">
        <f>N73/N75</f>
        <v>#DIV/0!</v>
      </c>
    </row>
    <row r="74" spans="1:16" ht="12.75" customHeight="1" x14ac:dyDescent="0.2">
      <c r="B74" s="130"/>
      <c r="G74" s="52"/>
      <c r="H74" s="501"/>
      <c r="I74" s="52"/>
      <c r="J74" s="52"/>
      <c r="K74" s="52"/>
      <c r="L74" s="52"/>
      <c r="M74" s="52"/>
      <c r="N74" s="15"/>
      <c r="O74" s="25"/>
    </row>
    <row r="75" spans="1:16" ht="12.75" customHeight="1" x14ac:dyDescent="0.2">
      <c r="B75" s="130" t="s">
        <v>18</v>
      </c>
      <c r="C75" s="131"/>
      <c r="D75" s="131"/>
      <c r="E75" s="131"/>
      <c r="F75" s="131"/>
      <c r="G75" s="53"/>
      <c r="H75" s="503"/>
      <c r="I75" s="53"/>
      <c r="J75" s="53"/>
      <c r="K75" s="53"/>
      <c r="L75" s="53"/>
      <c r="M75" s="53"/>
      <c r="N75" s="15">
        <f>N73</f>
        <v>0</v>
      </c>
      <c r="O75" s="25" t="e">
        <f>N75/N77</f>
        <v>#DIV/0!</v>
      </c>
    </row>
    <row r="76" spans="1:16" ht="12.75" customHeight="1" x14ac:dyDescent="0.2">
      <c r="B76" s="130"/>
      <c r="G76" s="52"/>
      <c r="H76" s="501"/>
      <c r="I76" s="52"/>
      <c r="J76" s="52"/>
      <c r="K76" s="52"/>
      <c r="L76" s="52"/>
      <c r="M76" s="52"/>
      <c r="N76" s="15"/>
      <c r="O76" s="25"/>
    </row>
    <row r="77" spans="1:16" s="132" customFormat="1" ht="12.75" customHeight="1" x14ac:dyDescent="0.2">
      <c r="B77" s="133" t="s">
        <v>20</v>
      </c>
      <c r="C77" s="134"/>
      <c r="D77" s="134"/>
      <c r="E77" s="134"/>
      <c r="F77" s="134"/>
      <c r="G77" s="78"/>
      <c r="H77" s="504"/>
      <c r="I77" s="78"/>
      <c r="J77" s="78"/>
      <c r="K77" s="78"/>
      <c r="L77" s="78"/>
      <c r="M77" s="78"/>
      <c r="N77" s="83">
        <f>N75</f>
        <v>0</v>
      </c>
      <c r="O77" s="77" t="e">
        <f>N77/$N$157</f>
        <v>#DIV/0!</v>
      </c>
      <c r="P77" s="51"/>
    </row>
    <row r="78" spans="1:16" ht="12.75" customHeight="1" x14ac:dyDescent="0.2">
      <c r="B78" s="130"/>
      <c r="G78" s="52"/>
      <c r="H78" s="501"/>
      <c r="I78" s="52"/>
      <c r="J78" s="52"/>
      <c r="K78" s="52"/>
      <c r="L78" s="52"/>
      <c r="M78" s="52"/>
      <c r="N78" s="15"/>
      <c r="O78" s="25"/>
    </row>
    <row r="79" spans="1:16" ht="12.75" customHeight="1" x14ac:dyDescent="0.2">
      <c r="A79" s="129" t="s">
        <v>308</v>
      </c>
      <c r="B79" s="88" t="s">
        <v>309</v>
      </c>
      <c r="H79" s="505"/>
      <c r="O79" s="61"/>
    </row>
    <row r="80" spans="1:16" ht="12.75" customHeight="1" x14ac:dyDescent="0.2">
      <c r="A80" s="129" t="s">
        <v>310</v>
      </c>
      <c r="B80" s="88" t="s">
        <v>311</v>
      </c>
      <c r="H80" s="505"/>
      <c r="O80" s="61"/>
    </row>
    <row r="81" spans="1:16" ht="12.75" customHeight="1" x14ac:dyDescent="0.2">
      <c r="A81" s="129" t="s">
        <v>812</v>
      </c>
      <c r="B81" s="88" t="s">
        <v>990</v>
      </c>
      <c r="G81" s="97" t="s">
        <v>17</v>
      </c>
      <c r="H81" s="502">
        <v>0</v>
      </c>
      <c r="I81" s="72">
        <v>55.06</v>
      </c>
      <c r="J81" s="72">
        <v>18.72</v>
      </c>
      <c r="K81" s="15">
        <f>J81*H81</f>
        <v>0</v>
      </c>
      <c r="L81" s="72">
        <v>36.340000000000003</v>
      </c>
      <c r="M81" s="15">
        <f>H81*L81</f>
        <v>0</v>
      </c>
      <c r="N81" s="15">
        <f>H81*I81</f>
        <v>0</v>
      </c>
      <c r="O81" s="25" t="e">
        <f>N81/$N$83</f>
        <v>#DIV/0!</v>
      </c>
      <c r="P81" s="129" t="s">
        <v>813</v>
      </c>
    </row>
    <row r="82" spans="1:16" ht="12.75" customHeight="1" x14ac:dyDescent="0.2">
      <c r="B82" s="130"/>
      <c r="G82" s="52"/>
      <c r="H82" s="501"/>
      <c r="I82" s="52"/>
      <c r="J82" s="52"/>
      <c r="K82" s="52"/>
      <c r="L82" s="52"/>
      <c r="M82" s="52"/>
      <c r="N82" s="15"/>
      <c r="O82" s="25"/>
    </row>
    <row r="83" spans="1:16" ht="12.75" customHeight="1" x14ac:dyDescent="0.2">
      <c r="B83" s="130" t="s">
        <v>18</v>
      </c>
      <c r="C83" s="131"/>
      <c r="D83" s="131"/>
      <c r="E83" s="131"/>
      <c r="F83" s="131"/>
      <c r="G83" s="53"/>
      <c r="H83" s="503"/>
      <c r="I83" s="53"/>
      <c r="J83" s="53"/>
      <c r="K83" s="53"/>
      <c r="L83" s="53"/>
      <c r="M83" s="53"/>
      <c r="N83" s="15">
        <f>N81</f>
        <v>0</v>
      </c>
      <c r="O83" s="25" t="e">
        <f>N83/$N$132</f>
        <v>#DIV/0!</v>
      </c>
    </row>
    <row r="84" spans="1:16" ht="12.75" customHeight="1" x14ac:dyDescent="0.2">
      <c r="B84" s="130"/>
      <c r="G84" s="52"/>
      <c r="H84" s="501"/>
      <c r="I84" s="52"/>
      <c r="J84" s="52"/>
      <c r="K84" s="52"/>
      <c r="L84" s="52"/>
      <c r="M84" s="52"/>
      <c r="N84" s="15"/>
      <c r="O84" s="25"/>
    </row>
    <row r="85" spans="1:16" ht="12.75" customHeight="1" x14ac:dyDescent="0.2">
      <c r="A85" s="129" t="s">
        <v>626</v>
      </c>
      <c r="B85" s="88" t="s">
        <v>627</v>
      </c>
      <c r="H85" s="505"/>
      <c r="O85" s="61"/>
    </row>
    <row r="86" spans="1:16" ht="12.75" customHeight="1" x14ac:dyDescent="0.2">
      <c r="A86" s="129" t="s">
        <v>628</v>
      </c>
      <c r="B86" s="88" t="s">
        <v>629</v>
      </c>
      <c r="G86" s="97" t="s">
        <v>24</v>
      </c>
      <c r="H86" s="502">
        <v>0</v>
      </c>
      <c r="I86" s="72">
        <f>VLOOKUP(A86,'[1]TAB OGU JUN18'!$A:$G,6,"falso")</f>
        <v>59.33</v>
      </c>
      <c r="J86" s="72">
        <f>VLOOKUP(A86,'[1]TAB OGU JUN18'!$A:$G,4,"falso")</f>
        <v>59.33</v>
      </c>
      <c r="K86" s="15">
        <f>H86*J86</f>
        <v>0</v>
      </c>
      <c r="L86" s="72">
        <f>VLOOKUP(A86,'[1]TAB OGU JUN18'!$A:$G,5,"falso")</f>
        <v>0</v>
      </c>
      <c r="M86" s="15"/>
      <c r="N86" s="15">
        <f>H86*I86</f>
        <v>0</v>
      </c>
      <c r="O86" s="25" t="e">
        <f>N86/N88</f>
        <v>#DIV/0!</v>
      </c>
      <c r="P86" s="51">
        <v>90808</v>
      </c>
    </row>
    <row r="87" spans="1:16" ht="12.75" customHeight="1" x14ac:dyDescent="0.2">
      <c r="B87" s="130"/>
      <c r="G87" s="52"/>
      <c r="H87" s="501"/>
      <c r="I87" s="52"/>
      <c r="J87" s="52"/>
      <c r="K87" s="52"/>
      <c r="L87" s="52"/>
      <c r="M87" s="52"/>
      <c r="N87" s="15"/>
      <c r="O87" s="25"/>
    </row>
    <row r="88" spans="1:16" ht="12.75" customHeight="1" x14ac:dyDescent="0.2">
      <c r="B88" s="130" t="s">
        <v>18</v>
      </c>
      <c r="C88" s="131"/>
      <c r="D88" s="131"/>
      <c r="E88" s="131"/>
      <c r="F88" s="131"/>
      <c r="G88" s="53"/>
      <c r="H88" s="503"/>
      <c r="I88" s="53"/>
      <c r="J88" s="53"/>
      <c r="K88" s="53"/>
      <c r="L88" s="53"/>
      <c r="M88" s="53"/>
      <c r="N88" s="15">
        <f>N86</f>
        <v>0</v>
      </c>
      <c r="O88" s="25" t="e">
        <f>N88/$N$132</f>
        <v>#DIV/0!</v>
      </c>
    </row>
    <row r="89" spans="1:16" ht="12.75" customHeight="1" x14ac:dyDescent="0.2">
      <c r="B89" s="130"/>
      <c r="G89" s="52"/>
      <c r="H89" s="501"/>
      <c r="I89" s="52"/>
      <c r="J89" s="52"/>
      <c r="K89" s="52"/>
      <c r="L89" s="52"/>
      <c r="M89" s="52"/>
      <c r="N89" s="15"/>
      <c r="O89" s="25"/>
    </row>
    <row r="90" spans="1:16" ht="12.75" customHeight="1" x14ac:dyDescent="0.2">
      <c r="A90" s="98" t="s">
        <v>679</v>
      </c>
      <c r="B90" s="88" t="s">
        <v>681</v>
      </c>
      <c r="G90" s="97"/>
      <c r="H90" s="502"/>
      <c r="I90" s="15"/>
      <c r="J90" s="15"/>
      <c r="K90" s="15"/>
      <c r="L90" s="15"/>
      <c r="M90" s="15"/>
      <c r="N90" s="15"/>
      <c r="O90" s="25"/>
    </row>
    <row r="91" spans="1:16" ht="12.75" customHeight="1" x14ac:dyDescent="0.2">
      <c r="A91" s="98" t="s">
        <v>814</v>
      </c>
      <c r="B91" s="88" t="s">
        <v>815</v>
      </c>
      <c r="G91" s="97" t="s">
        <v>31</v>
      </c>
      <c r="H91" s="502">
        <v>0</v>
      </c>
      <c r="I91" s="72">
        <f>VLOOKUP(A91,'[1]TAB OGU JUN18'!$A:$G,6,"falso")</f>
        <v>53.59</v>
      </c>
      <c r="J91" s="72">
        <f>VLOOKUP(A91,'[1]TAB OGU JUN18'!$A:$G,4,"falso")</f>
        <v>41.18</v>
      </c>
      <c r="K91" s="15">
        <f>H91*J91</f>
        <v>0</v>
      </c>
      <c r="L91" s="72">
        <f>VLOOKUP(A91,'[1]TAB OGU JUN18'!$A:$G,5,"falso")</f>
        <v>12.41</v>
      </c>
      <c r="M91" s="15">
        <f>H91*L91</f>
        <v>0</v>
      </c>
      <c r="N91" s="15">
        <f>H91*I91</f>
        <v>0</v>
      </c>
      <c r="O91" s="25" t="e">
        <f>N91/N93</f>
        <v>#DIV/0!</v>
      </c>
    </row>
    <row r="92" spans="1:16" ht="12.75" customHeight="1" x14ac:dyDescent="0.2">
      <c r="B92" s="130"/>
      <c r="G92" s="52"/>
      <c r="H92" s="501"/>
      <c r="I92" s="52"/>
      <c r="J92" s="52"/>
      <c r="K92" s="52"/>
      <c r="L92" s="52"/>
      <c r="M92" s="52"/>
      <c r="N92" s="15"/>
      <c r="O92" s="25"/>
    </row>
    <row r="93" spans="1:16" ht="12.75" customHeight="1" x14ac:dyDescent="0.2">
      <c r="B93" s="130" t="s">
        <v>18</v>
      </c>
      <c r="C93" s="131"/>
      <c r="D93" s="131"/>
      <c r="E93" s="131"/>
      <c r="F93" s="131"/>
      <c r="G93" s="53"/>
      <c r="H93" s="503"/>
      <c r="I93" s="53"/>
      <c r="J93" s="53"/>
      <c r="K93" s="53"/>
      <c r="L93" s="53"/>
      <c r="M93" s="53"/>
      <c r="N93" s="15">
        <f>N91</f>
        <v>0</v>
      </c>
      <c r="O93" s="25" t="e">
        <f>N93/$N$132</f>
        <v>#DIV/0!</v>
      </c>
    </row>
    <row r="94" spans="1:16" ht="12.75" customHeight="1" x14ac:dyDescent="0.2">
      <c r="B94" s="130"/>
      <c r="G94" s="52"/>
      <c r="H94" s="501"/>
      <c r="I94" s="52"/>
      <c r="J94" s="52"/>
      <c r="K94" s="52"/>
      <c r="L94" s="52"/>
      <c r="M94" s="52"/>
      <c r="N94" s="15"/>
      <c r="O94" s="25"/>
    </row>
    <row r="95" spans="1:16" ht="12.75" customHeight="1" x14ac:dyDescent="0.2">
      <c r="A95" s="129" t="s">
        <v>314</v>
      </c>
      <c r="B95" s="88" t="s">
        <v>315</v>
      </c>
      <c r="H95" s="505"/>
      <c r="O95" s="61"/>
    </row>
    <row r="96" spans="1:16" ht="12.75" customHeight="1" x14ac:dyDescent="0.2">
      <c r="A96" s="129" t="s">
        <v>316</v>
      </c>
      <c r="B96" s="88" t="s">
        <v>317</v>
      </c>
      <c r="G96" s="97" t="s">
        <v>31</v>
      </c>
      <c r="H96" s="502">
        <v>0</v>
      </c>
      <c r="I96" s="72">
        <f>VLOOKUP(A96,'[1]TAB OGU JUN18'!$A:$G,6,"falso")</f>
        <v>69.709999999999994</v>
      </c>
      <c r="J96" s="72">
        <f>VLOOKUP(A96,'[1]TAB OGU JUN18'!$A:$G,4,"falso")</f>
        <v>41.18</v>
      </c>
      <c r="K96" s="15">
        <f>H96*J96</f>
        <v>0</v>
      </c>
      <c r="L96" s="72">
        <f>VLOOKUP(A96,'[1]TAB OGU JUN18'!$A:$G,5,"falso")</f>
        <v>28.53</v>
      </c>
      <c r="M96" s="15">
        <f>H96*L96</f>
        <v>0</v>
      </c>
      <c r="N96" s="15">
        <f>H96*I96</f>
        <v>0</v>
      </c>
      <c r="O96" s="25" t="e">
        <f>N96/N98</f>
        <v>#DIV/0!</v>
      </c>
    </row>
    <row r="97" spans="1:15" ht="12.75" customHeight="1" x14ac:dyDescent="0.2">
      <c r="B97" s="130"/>
      <c r="G97" s="52"/>
      <c r="H97" s="501"/>
      <c r="I97" s="52"/>
      <c r="J97" s="52"/>
      <c r="K97" s="52"/>
      <c r="L97" s="52"/>
      <c r="M97" s="52"/>
      <c r="N97" s="15"/>
      <c r="O97" s="25"/>
    </row>
    <row r="98" spans="1:15" ht="12.75" customHeight="1" x14ac:dyDescent="0.2">
      <c r="B98" s="130" t="s">
        <v>18</v>
      </c>
      <c r="C98" s="131"/>
      <c r="D98" s="131"/>
      <c r="E98" s="131"/>
      <c r="F98" s="131"/>
      <c r="G98" s="53"/>
      <c r="H98" s="503"/>
      <c r="I98" s="53"/>
      <c r="J98" s="53"/>
      <c r="K98" s="53"/>
      <c r="L98" s="53"/>
      <c r="M98" s="53"/>
      <c r="N98" s="15">
        <f>N96</f>
        <v>0</v>
      </c>
      <c r="O98" s="25" t="e">
        <f>N98/$N$132</f>
        <v>#DIV/0!</v>
      </c>
    </row>
    <row r="99" spans="1:15" ht="12.75" customHeight="1" x14ac:dyDescent="0.2">
      <c r="B99" s="130"/>
      <c r="G99" s="52"/>
      <c r="H99" s="501"/>
      <c r="I99" s="52"/>
      <c r="J99" s="52"/>
      <c r="K99" s="52"/>
      <c r="L99" s="52"/>
      <c r="M99" s="52"/>
      <c r="N99" s="15"/>
      <c r="O99" s="25"/>
    </row>
    <row r="100" spans="1:15" ht="12.75" customHeight="1" x14ac:dyDescent="0.2">
      <c r="A100" s="98" t="s">
        <v>321</v>
      </c>
      <c r="B100" s="88" t="s">
        <v>322</v>
      </c>
      <c r="G100" s="97"/>
      <c r="H100" s="502"/>
      <c r="I100" s="15"/>
      <c r="J100" s="15"/>
      <c r="K100" s="15"/>
      <c r="L100" s="15"/>
      <c r="M100" s="15"/>
      <c r="N100" s="15"/>
      <c r="O100" s="25"/>
    </row>
    <row r="101" spans="1:15" ht="12.75" customHeight="1" x14ac:dyDescent="0.2">
      <c r="A101" s="98" t="s">
        <v>323</v>
      </c>
      <c r="B101" s="88" t="s">
        <v>324</v>
      </c>
      <c r="G101" s="97" t="s">
        <v>325</v>
      </c>
      <c r="H101" s="502">
        <v>0</v>
      </c>
      <c r="I101" s="72">
        <f>VLOOKUP(A101,'[1]TAB OGU JUN18'!$A:$G,6,"falso")</f>
        <v>5.01</v>
      </c>
      <c r="J101" s="72">
        <f>VLOOKUP(A101,'[1]TAB OGU JUN18'!$A:$G,4,"falso")</f>
        <v>2.4500000000000002</v>
      </c>
      <c r="K101" s="15">
        <f>H101*J101</f>
        <v>0</v>
      </c>
      <c r="L101" s="72">
        <f>VLOOKUP(A101,'[1]TAB OGU JUN18'!$A:$G,5,"falso")</f>
        <v>2.56</v>
      </c>
      <c r="M101" s="15">
        <f>H101*L101</f>
        <v>0</v>
      </c>
      <c r="N101" s="15">
        <f>H101*I101</f>
        <v>0</v>
      </c>
      <c r="O101" s="25" t="e">
        <f>N101/N104</f>
        <v>#DIV/0!</v>
      </c>
    </row>
    <row r="102" spans="1:15" ht="12.75" customHeight="1" x14ac:dyDescent="0.2">
      <c r="A102" s="98" t="s">
        <v>326</v>
      </c>
      <c r="B102" s="88" t="s">
        <v>327</v>
      </c>
      <c r="G102" s="97" t="s">
        <v>325</v>
      </c>
      <c r="H102" s="502">
        <v>0</v>
      </c>
      <c r="I102" s="72">
        <f>VLOOKUP(A102,'[1]TAB OGU JUN18'!$A:$G,6,"falso")</f>
        <v>8.01</v>
      </c>
      <c r="J102" s="72">
        <f>VLOOKUP(A102,'[1]TAB OGU JUN18'!$A:$G,4,"falso")</f>
        <v>3.68</v>
      </c>
      <c r="K102" s="15">
        <f>H102*J102</f>
        <v>0</v>
      </c>
      <c r="L102" s="72">
        <f>VLOOKUP(A102,'[1]TAB OGU JUN18'!$A:$G,5,"falso")</f>
        <v>4.33</v>
      </c>
      <c r="M102" s="15">
        <f>H102*L102</f>
        <v>0</v>
      </c>
      <c r="N102" s="15">
        <f>H102*I102</f>
        <v>0</v>
      </c>
      <c r="O102" s="25" t="e">
        <f>N102/N104</f>
        <v>#DIV/0!</v>
      </c>
    </row>
    <row r="103" spans="1:15" ht="12.75" customHeight="1" x14ac:dyDescent="0.2">
      <c r="B103" s="130"/>
      <c r="G103" s="52"/>
      <c r="H103" s="501"/>
      <c r="I103" s="52"/>
      <c r="J103" s="52"/>
      <c r="K103" s="52"/>
      <c r="L103" s="52"/>
      <c r="M103" s="52"/>
      <c r="N103" s="15"/>
      <c r="O103" s="25"/>
    </row>
    <row r="104" spans="1:15" ht="12.75" customHeight="1" x14ac:dyDescent="0.2">
      <c r="B104" s="130" t="s">
        <v>18</v>
      </c>
      <c r="C104" s="131"/>
      <c r="D104" s="131"/>
      <c r="E104" s="131"/>
      <c r="F104" s="131"/>
      <c r="G104" s="53"/>
      <c r="H104" s="503"/>
      <c r="I104" s="53"/>
      <c r="J104" s="53"/>
      <c r="K104" s="53"/>
      <c r="L104" s="53"/>
      <c r="M104" s="53"/>
      <c r="N104" s="15">
        <f>SUM(N101:N102)</f>
        <v>0</v>
      </c>
      <c r="O104" s="25" t="e">
        <f>N104/$N$132</f>
        <v>#DIV/0!</v>
      </c>
    </row>
    <row r="105" spans="1:15" ht="12.75" customHeight="1" x14ac:dyDescent="0.2">
      <c r="B105" s="130"/>
      <c r="C105" s="492"/>
      <c r="D105" s="492"/>
      <c r="E105" s="492"/>
      <c r="F105" s="492"/>
      <c r="G105" s="493"/>
      <c r="H105" s="509"/>
      <c r="I105" s="493"/>
      <c r="J105" s="493"/>
      <c r="K105" s="493"/>
      <c r="L105" s="493"/>
      <c r="M105" s="493"/>
      <c r="N105" s="15"/>
      <c r="O105" s="25"/>
    </row>
    <row r="106" spans="1:15" ht="12.75" hidden="1" customHeight="1" x14ac:dyDescent="0.2">
      <c r="A106" s="129" t="s">
        <v>328</v>
      </c>
      <c r="B106" s="88" t="s">
        <v>329</v>
      </c>
      <c r="H106" s="505"/>
      <c r="O106" s="61"/>
    </row>
    <row r="107" spans="1:15" ht="12.75" hidden="1" customHeight="1" x14ac:dyDescent="0.2">
      <c r="A107" s="129" t="s">
        <v>330</v>
      </c>
      <c r="B107" s="88" t="s">
        <v>331</v>
      </c>
      <c r="G107" s="97" t="s">
        <v>32</v>
      </c>
      <c r="H107" s="502">
        <v>0</v>
      </c>
      <c r="I107" s="72">
        <f>VLOOKUP(A107,'[1]TAB OGU JUN18'!$A:$G,6,"falso")</f>
        <v>354.81</v>
      </c>
      <c r="J107" s="72">
        <f>VLOOKUP(A107,'[1]TAB OGU JUN18'!$A:$G,4,"falso")</f>
        <v>214.2</v>
      </c>
      <c r="K107" s="15">
        <f>H107*J107</f>
        <v>0</v>
      </c>
      <c r="L107" s="72">
        <f>VLOOKUP(A107,'[1]TAB OGU JUN18'!$A:$G,5,"falso")</f>
        <v>140.61000000000001</v>
      </c>
      <c r="M107" s="15">
        <f>H107*L107</f>
        <v>0</v>
      </c>
      <c r="N107" s="15">
        <f>H107*I107</f>
        <v>0</v>
      </c>
      <c r="O107" s="25" t="e">
        <f>N107/N109</f>
        <v>#DIV/0!</v>
      </c>
    </row>
    <row r="108" spans="1:15" ht="12.75" hidden="1" customHeight="1" x14ac:dyDescent="0.2">
      <c r="A108" s="129"/>
      <c r="B108" s="88"/>
      <c r="G108" s="97"/>
      <c r="H108" s="502"/>
      <c r="I108" s="72"/>
      <c r="J108" s="72"/>
      <c r="K108" s="15"/>
      <c r="L108" s="72"/>
      <c r="M108" s="15"/>
      <c r="N108" s="15"/>
      <c r="O108" s="25"/>
    </row>
    <row r="109" spans="1:15" ht="12.75" hidden="1" customHeight="1" x14ac:dyDescent="0.2">
      <c r="B109" s="130" t="s">
        <v>18</v>
      </c>
      <c r="C109" s="131"/>
      <c r="D109" s="131"/>
      <c r="E109" s="131"/>
      <c r="F109" s="131"/>
      <c r="G109" s="53"/>
      <c r="H109" s="503"/>
      <c r="I109" s="53"/>
      <c r="J109" s="53"/>
      <c r="K109" s="53"/>
      <c r="L109" s="53"/>
      <c r="M109" s="53"/>
      <c r="N109" s="15">
        <f>N107</f>
        <v>0</v>
      </c>
      <c r="O109" s="25" t="e">
        <f>N109/$N$132</f>
        <v>#DIV/0!</v>
      </c>
    </row>
    <row r="110" spans="1:15" ht="12.75" hidden="1" customHeight="1" x14ac:dyDescent="0.2">
      <c r="B110" s="130"/>
      <c r="G110" s="52"/>
      <c r="H110" s="501"/>
      <c r="I110" s="52"/>
      <c r="J110" s="52"/>
      <c r="K110" s="52"/>
      <c r="L110" s="52"/>
      <c r="M110" s="52"/>
      <c r="N110" s="15"/>
      <c r="O110" s="25"/>
    </row>
    <row r="111" spans="1:15" ht="12.75" customHeight="1" x14ac:dyDescent="0.2">
      <c r="A111" s="129" t="s">
        <v>332</v>
      </c>
      <c r="B111" s="88" t="s">
        <v>333</v>
      </c>
      <c r="H111" s="505"/>
      <c r="O111" s="61"/>
    </row>
    <row r="112" spans="1:15" ht="12.75" customHeight="1" x14ac:dyDescent="0.2">
      <c r="A112" s="129" t="s">
        <v>631</v>
      </c>
      <c r="B112" s="88" t="s">
        <v>630</v>
      </c>
      <c r="G112" s="97" t="s">
        <v>32</v>
      </c>
      <c r="H112" s="502">
        <v>0</v>
      </c>
      <c r="I112" s="72">
        <f>VLOOKUP(A112,'[1]TAB OGU JUN18'!$A:$G,6,"falso")</f>
        <v>352.04</v>
      </c>
      <c r="J112" s="72">
        <f>VLOOKUP(A112,'[1]TAB OGU JUN18'!$A:$G,4,"falso")</f>
        <v>40.92</v>
      </c>
      <c r="K112" s="15">
        <f>H112*J112</f>
        <v>0</v>
      </c>
      <c r="L112" s="72">
        <f>VLOOKUP(A112,'[1]TAB OGU JUN18'!$A:$G,5,"falso")</f>
        <v>311.12</v>
      </c>
      <c r="M112" s="15">
        <f>H112*L112</f>
        <v>0</v>
      </c>
      <c r="N112" s="15">
        <f>H112*I112</f>
        <v>0</v>
      </c>
      <c r="O112" s="25" t="e">
        <f>N112/N114</f>
        <v>#DIV/0!</v>
      </c>
    </row>
    <row r="113" spans="1:15" ht="12.75" customHeight="1" x14ac:dyDescent="0.2">
      <c r="B113" s="130"/>
      <c r="G113" s="52"/>
      <c r="H113" s="501"/>
      <c r="I113" s="52"/>
      <c r="J113" s="52"/>
      <c r="K113" s="52"/>
      <c r="L113" s="52"/>
      <c r="M113" s="52"/>
      <c r="N113" s="15"/>
      <c r="O113" s="25"/>
    </row>
    <row r="114" spans="1:15" ht="12.75" customHeight="1" x14ac:dyDescent="0.2">
      <c r="B114" s="130" t="s">
        <v>18</v>
      </c>
      <c r="C114" s="131"/>
      <c r="D114" s="131"/>
      <c r="E114" s="131"/>
      <c r="F114" s="131"/>
      <c r="G114" s="53"/>
      <c r="H114" s="503"/>
      <c r="I114" s="53"/>
      <c r="J114" s="53"/>
      <c r="K114" s="53"/>
      <c r="L114" s="53"/>
      <c r="M114" s="53"/>
      <c r="N114" s="15">
        <f>N112</f>
        <v>0</v>
      </c>
      <c r="O114" s="25" t="e">
        <f>N114/$N$132</f>
        <v>#DIV/0!</v>
      </c>
    </row>
    <row r="115" spans="1:15" ht="12.75" customHeight="1" x14ac:dyDescent="0.2">
      <c r="B115" s="130"/>
      <c r="G115" s="52"/>
      <c r="H115" s="501"/>
      <c r="I115" s="52"/>
      <c r="J115" s="52"/>
      <c r="K115" s="52"/>
      <c r="L115" s="52"/>
      <c r="M115" s="52"/>
      <c r="N115" s="15"/>
      <c r="O115" s="25"/>
    </row>
    <row r="116" spans="1:15" ht="12.75" customHeight="1" x14ac:dyDescent="0.2">
      <c r="A116" s="129" t="s">
        <v>335</v>
      </c>
      <c r="B116" s="88" t="s">
        <v>336</v>
      </c>
      <c r="H116" s="505"/>
      <c r="O116" s="61"/>
    </row>
    <row r="117" spans="1:15" ht="12.75" customHeight="1" x14ac:dyDescent="0.2">
      <c r="A117" s="129" t="s">
        <v>337</v>
      </c>
      <c r="B117" s="88" t="s">
        <v>338</v>
      </c>
      <c r="G117" s="97" t="s">
        <v>32</v>
      </c>
      <c r="H117" s="502">
        <f>H112</f>
        <v>0</v>
      </c>
      <c r="I117" s="72">
        <f>VLOOKUP(A117,'[1]TAB OGU JUN18'!$A:$G,6,"falso")</f>
        <v>28.95</v>
      </c>
      <c r="J117" s="72">
        <f>VLOOKUP(A117,'[1]TAB OGU JUN18'!$A:$G,4,"falso")</f>
        <v>4.22</v>
      </c>
      <c r="K117" s="15">
        <f>H117*J117</f>
        <v>0</v>
      </c>
      <c r="L117" s="72">
        <f>VLOOKUP(A117,'[1]TAB OGU JUN18'!$A:$G,5,"falso")</f>
        <v>24.73</v>
      </c>
      <c r="M117" s="15">
        <f>H117*L117</f>
        <v>0</v>
      </c>
      <c r="N117" s="15">
        <f>H117*I117</f>
        <v>0</v>
      </c>
      <c r="O117" s="25" t="e">
        <f>N117/N119</f>
        <v>#DIV/0!</v>
      </c>
    </row>
    <row r="118" spans="1:15" ht="12.75" customHeight="1" x14ac:dyDescent="0.2">
      <c r="B118" s="130"/>
      <c r="G118" s="52"/>
      <c r="H118" s="501"/>
      <c r="I118" s="52"/>
      <c r="J118" s="52"/>
      <c r="K118" s="52"/>
      <c r="L118" s="52"/>
      <c r="M118" s="52"/>
      <c r="N118" s="15"/>
      <c r="O118" s="25"/>
    </row>
    <row r="119" spans="1:15" ht="12.75" customHeight="1" x14ac:dyDescent="0.2">
      <c r="B119" s="130" t="s">
        <v>18</v>
      </c>
      <c r="C119" s="131"/>
      <c r="D119" s="131"/>
      <c r="E119" s="131"/>
      <c r="F119" s="131"/>
      <c r="G119" s="53"/>
      <c r="H119" s="503"/>
      <c r="I119" s="53"/>
      <c r="J119" s="53"/>
      <c r="K119" s="53"/>
      <c r="L119" s="53"/>
      <c r="M119" s="53"/>
      <c r="N119" s="15">
        <f>N117</f>
        <v>0</v>
      </c>
      <c r="O119" s="25" t="e">
        <f>N119/$N$132</f>
        <v>#DIV/0!</v>
      </c>
    </row>
    <row r="120" spans="1:15" ht="12.75" customHeight="1" x14ac:dyDescent="0.2">
      <c r="B120" s="130"/>
      <c r="G120" s="52"/>
      <c r="H120" s="501"/>
      <c r="I120" s="52"/>
      <c r="J120" s="52"/>
      <c r="K120" s="52"/>
      <c r="L120" s="52"/>
      <c r="M120" s="52"/>
      <c r="N120" s="15"/>
      <c r="O120" s="25"/>
    </row>
    <row r="121" spans="1:15" ht="12.75" customHeight="1" x14ac:dyDescent="0.2">
      <c r="A121" s="98" t="s">
        <v>339</v>
      </c>
      <c r="B121" s="88" t="s">
        <v>340</v>
      </c>
      <c r="G121" s="97"/>
      <c r="H121" s="502"/>
      <c r="I121" s="15"/>
      <c r="J121" s="15"/>
      <c r="K121" s="15"/>
      <c r="L121" s="15"/>
      <c r="M121" s="15"/>
      <c r="N121" s="15"/>
      <c r="O121" s="25"/>
    </row>
    <row r="122" spans="1:15" ht="12.75" customHeight="1" x14ac:dyDescent="0.2">
      <c r="A122" s="98" t="s">
        <v>341</v>
      </c>
      <c r="B122" s="88" t="s">
        <v>342</v>
      </c>
      <c r="G122" s="97" t="s">
        <v>31</v>
      </c>
      <c r="H122" s="502">
        <v>0</v>
      </c>
      <c r="I122" s="72">
        <f>VLOOKUP(A122,'[1]TAB OGU JUN18'!$A:$G,6,"falso")</f>
        <v>0.82</v>
      </c>
      <c r="J122" s="72">
        <f>VLOOKUP(A122,'[1]TAB OGU JUN18'!$A:$G,4,"falso")</f>
        <v>0.82</v>
      </c>
      <c r="K122" s="15">
        <f>H122*J122</f>
        <v>0</v>
      </c>
      <c r="L122" s="72">
        <f>VLOOKUP(A122,'[1]TAB OGU JUN18'!$A:$G,5,"falso")</f>
        <v>0</v>
      </c>
      <c r="M122" s="15"/>
      <c r="N122" s="15">
        <f>H122*I122</f>
        <v>0</v>
      </c>
      <c r="O122" s="25" t="e">
        <f>N122/N125</f>
        <v>#DIV/0!</v>
      </c>
    </row>
    <row r="123" spans="1:15" ht="12.75" hidden="1" customHeight="1" x14ac:dyDescent="0.2">
      <c r="A123" s="98" t="s">
        <v>816</v>
      </c>
      <c r="B123" s="88" t="s">
        <v>817</v>
      </c>
      <c r="G123" s="97" t="s">
        <v>31</v>
      </c>
      <c r="H123" s="502">
        <v>0</v>
      </c>
      <c r="I123" s="72">
        <f>VLOOKUP(A123,'[1]TAB OGU JUN18'!$A:$G,6,"falso")</f>
        <v>9.3800000000000008</v>
      </c>
      <c r="J123" s="72">
        <f>VLOOKUP(A123,'[1]TAB OGU JUN18'!$A:$G,4,"falso")</f>
        <v>7.49</v>
      </c>
      <c r="K123" s="15">
        <f>H123*J123</f>
        <v>0</v>
      </c>
      <c r="L123" s="72">
        <f>VLOOKUP(A123,'[1]TAB OGU JUN18'!$A:$G,5,"falso")</f>
        <v>1.89</v>
      </c>
      <c r="M123" s="15">
        <f>H123*L123</f>
        <v>0</v>
      </c>
      <c r="N123" s="15">
        <f>H123*I123</f>
        <v>0</v>
      </c>
      <c r="O123" s="25" t="e">
        <f>N123/N125</f>
        <v>#DIV/0!</v>
      </c>
    </row>
    <row r="124" spans="1:15" ht="12.75" customHeight="1" x14ac:dyDescent="0.2">
      <c r="B124" s="130"/>
      <c r="G124" s="52"/>
      <c r="H124" s="501"/>
      <c r="I124" s="52"/>
      <c r="J124" s="52"/>
      <c r="K124" s="52"/>
      <c r="L124" s="52"/>
      <c r="M124" s="52"/>
      <c r="N124" s="15"/>
      <c r="O124" s="25"/>
    </row>
    <row r="125" spans="1:15" ht="12.75" customHeight="1" x14ac:dyDescent="0.2">
      <c r="B125" s="130" t="s">
        <v>18</v>
      </c>
      <c r="C125" s="131"/>
      <c r="D125" s="131"/>
      <c r="E125" s="131"/>
      <c r="F125" s="131"/>
      <c r="G125" s="53"/>
      <c r="H125" s="503"/>
      <c r="I125" s="53"/>
      <c r="J125" s="53"/>
      <c r="K125" s="53"/>
      <c r="L125" s="53"/>
      <c r="M125" s="53"/>
      <c r="N125" s="15">
        <f>SUM(N122:N123)</f>
        <v>0</v>
      </c>
      <c r="O125" s="25" t="e">
        <f>N125/$N$132</f>
        <v>#DIV/0!</v>
      </c>
    </row>
    <row r="126" spans="1:15" ht="12.75" customHeight="1" x14ac:dyDescent="0.2">
      <c r="B126" s="130"/>
      <c r="G126" s="52"/>
      <c r="H126" s="501"/>
      <c r="I126" s="52"/>
      <c r="J126" s="52"/>
      <c r="K126" s="52"/>
      <c r="L126" s="52"/>
      <c r="M126" s="52"/>
      <c r="N126" s="15"/>
      <c r="O126" s="25"/>
    </row>
    <row r="127" spans="1:15" ht="12.75" customHeight="1" x14ac:dyDescent="0.2">
      <c r="A127" s="129" t="s">
        <v>344</v>
      </c>
      <c r="B127" s="88" t="s">
        <v>345</v>
      </c>
      <c r="H127" s="505"/>
      <c r="O127" s="61"/>
    </row>
    <row r="128" spans="1:15" ht="12.75" customHeight="1" x14ac:dyDescent="0.2">
      <c r="A128" s="129" t="s">
        <v>346</v>
      </c>
      <c r="B128" s="88" t="s">
        <v>347</v>
      </c>
      <c r="G128" s="97" t="s">
        <v>31</v>
      </c>
      <c r="H128" s="502">
        <v>0</v>
      </c>
      <c r="I128" s="72">
        <f>VLOOKUP(A128,'[1]TAB OGU JUN18'!$A:$G,6,"falso")</f>
        <v>70.69</v>
      </c>
      <c r="J128" s="72">
        <f>VLOOKUP(A128,'[1]TAB OGU JUN18'!$A:$G,4,"falso")</f>
        <v>12.86</v>
      </c>
      <c r="K128" s="15">
        <f>H128*J128</f>
        <v>0</v>
      </c>
      <c r="L128" s="72">
        <f>VLOOKUP(A128,'[1]TAB OGU JUN18'!$A:$G,5,"falso")</f>
        <v>57.83</v>
      </c>
      <c r="M128" s="15">
        <f>H128*L128</f>
        <v>0</v>
      </c>
      <c r="N128" s="15">
        <f>H128*I128</f>
        <v>0</v>
      </c>
      <c r="O128" s="25" t="e">
        <f>N128/N130</f>
        <v>#DIV/0!</v>
      </c>
    </row>
    <row r="129" spans="1:15" ht="12.75" customHeight="1" x14ac:dyDescent="0.2">
      <c r="B129" s="130"/>
      <c r="G129" s="52"/>
      <c r="H129" s="501"/>
      <c r="I129" s="52"/>
      <c r="J129" s="52"/>
      <c r="K129" s="52"/>
      <c r="L129" s="52"/>
      <c r="M129" s="52"/>
      <c r="N129" s="15"/>
      <c r="O129" s="25"/>
    </row>
    <row r="130" spans="1:15" ht="12.75" customHeight="1" x14ac:dyDescent="0.2">
      <c r="B130" s="130" t="s">
        <v>18</v>
      </c>
      <c r="C130" s="131"/>
      <c r="D130" s="131"/>
      <c r="E130" s="131"/>
      <c r="F130" s="131"/>
      <c r="G130" s="53"/>
      <c r="H130" s="503"/>
      <c r="I130" s="53"/>
      <c r="J130" s="53"/>
      <c r="K130" s="53"/>
      <c r="L130" s="53"/>
      <c r="M130" s="53"/>
      <c r="N130" s="15">
        <f>N128</f>
        <v>0</v>
      </c>
      <c r="O130" s="25" t="e">
        <f>N130/$N$132</f>
        <v>#DIV/0!</v>
      </c>
    </row>
    <row r="131" spans="1:15" ht="12.75" customHeight="1" x14ac:dyDescent="0.2">
      <c r="B131" s="130"/>
      <c r="G131" s="52"/>
      <c r="H131" s="501"/>
      <c r="I131" s="52"/>
      <c r="J131" s="52"/>
      <c r="K131" s="52"/>
      <c r="L131" s="52"/>
      <c r="M131" s="52"/>
      <c r="N131" s="15"/>
      <c r="O131" s="25"/>
    </row>
    <row r="132" spans="1:15" s="132" customFormat="1" ht="12.75" customHeight="1" x14ac:dyDescent="0.2">
      <c r="B132" s="133" t="s">
        <v>20</v>
      </c>
      <c r="C132" s="134"/>
      <c r="D132" s="134"/>
      <c r="E132" s="134"/>
      <c r="F132" s="134"/>
      <c r="G132" s="78"/>
      <c r="H132" s="504"/>
      <c r="I132" s="78"/>
      <c r="J132" s="78"/>
      <c r="K132" s="78"/>
      <c r="L132" s="78"/>
      <c r="M132" s="78"/>
      <c r="N132" s="83">
        <f>N83+N93+N98+N104+N109+N114+N119+N125+N130+N88</f>
        <v>0</v>
      </c>
      <c r="O132" s="77" t="e">
        <f>N132/$N$157</f>
        <v>#DIV/0!</v>
      </c>
    </row>
    <row r="133" spans="1:15" ht="12.75" customHeight="1" x14ac:dyDescent="0.2">
      <c r="B133" s="130"/>
      <c r="G133" s="52"/>
      <c r="H133" s="501"/>
      <c r="I133" s="52"/>
      <c r="J133" s="52"/>
      <c r="K133" s="52"/>
      <c r="L133" s="52"/>
      <c r="M133" s="52"/>
      <c r="N133" s="15"/>
      <c r="O133" s="25"/>
    </row>
    <row r="134" spans="1:15" ht="12.75" customHeight="1" x14ac:dyDescent="0.2">
      <c r="A134" s="129" t="s">
        <v>169</v>
      </c>
      <c r="B134" s="88" t="s">
        <v>172</v>
      </c>
      <c r="H134" s="505"/>
      <c r="O134" s="61"/>
    </row>
    <row r="135" spans="1:15" ht="12.75" customHeight="1" x14ac:dyDescent="0.2">
      <c r="A135" s="98" t="s">
        <v>170</v>
      </c>
      <c r="B135" s="88" t="s">
        <v>173</v>
      </c>
      <c r="G135" s="52"/>
      <c r="H135" s="501"/>
      <c r="I135" s="52"/>
      <c r="J135" s="52"/>
      <c r="K135" s="52"/>
      <c r="L135" s="52"/>
      <c r="M135" s="52"/>
      <c r="N135" s="52"/>
      <c r="O135" s="19"/>
    </row>
    <row r="136" spans="1:15" ht="12.75" customHeight="1" x14ac:dyDescent="0.2">
      <c r="A136" s="98" t="s">
        <v>480</v>
      </c>
      <c r="B136" s="88" t="s">
        <v>481</v>
      </c>
      <c r="G136" s="97" t="s">
        <v>31</v>
      </c>
      <c r="H136" s="502">
        <f>H14</f>
        <v>0</v>
      </c>
      <c r="I136" s="72">
        <f>VLOOKUP(A136,'[1]TAB OGU JUN18'!$A:$G,6,"falso")</f>
        <v>2.46</v>
      </c>
      <c r="J136" s="72">
        <f>VLOOKUP(A136,'[1]TAB OGU JUN18'!$A:$G,4,"falso")</f>
        <v>2.34</v>
      </c>
      <c r="K136" s="15">
        <f>H136*J136</f>
        <v>0</v>
      </c>
      <c r="L136" s="72">
        <f>VLOOKUP(A136,'[1]TAB OGU JUN18'!$A:$G,5,"falso")</f>
        <v>0.12</v>
      </c>
      <c r="M136" s="15">
        <f>H136*L136</f>
        <v>0</v>
      </c>
      <c r="N136" s="15">
        <f>H136*I136</f>
        <v>0</v>
      </c>
      <c r="O136" s="25" t="e">
        <f>N136/N138</f>
        <v>#DIV/0!</v>
      </c>
    </row>
    <row r="137" spans="1:15" ht="12.75" customHeight="1" x14ac:dyDescent="0.2">
      <c r="G137" s="52"/>
      <c r="H137" s="501"/>
      <c r="I137" s="52"/>
      <c r="J137" s="52"/>
      <c r="K137" s="52"/>
      <c r="L137" s="52"/>
      <c r="M137" s="52"/>
      <c r="N137" s="52"/>
      <c r="O137" s="19"/>
    </row>
    <row r="138" spans="1:15" ht="12.75" customHeight="1" x14ac:dyDescent="0.2">
      <c r="B138" s="130" t="s">
        <v>18</v>
      </c>
      <c r="C138" s="131"/>
      <c r="D138" s="131"/>
      <c r="E138" s="131"/>
      <c r="F138" s="131"/>
      <c r="G138" s="53"/>
      <c r="H138" s="503"/>
      <c r="I138" s="53"/>
      <c r="J138" s="53"/>
      <c r="K138" s="53"/>
      <c r="L138" s="53"/>
      <c r="M138" s="53"/>
      <c r="N138" s="15">
        <f>N136</f>
        <v>0</v>
      </c>
      <c r="O138" s="25" t="e">
        <f>N138/N140</f>
        <v>#DIV/0!</v>
      </c>
    </row>
    <row r="139" spans="1:15" ht="12.75" customHeight="1" x14ac:dyDescent="0.2">
      <c r="B139" s="130"/>
      <c r="G139" s="52"/>
      <c r="H139" s="501"/>
      <c r="I139" s="52"/>
      <c r="J139" s="52"/>
      <c r="K139" s="52"/>
      <c r="L139" s="52"/>
      <c r="M139" s="52"/>
      <c r="N139" s="15"/>
      <c r="O139" s="25"/>
    </row>
    <row r="140" spans="1:15" s="132" customFormat="1" ht="12.75" customHeight="1" x14ac:dyDescent="0.2">
      <c r="B140" s="133" t="s">
        <v>20</v>
      </c>
      <c r="C140" s="134"/>
      <c r="D140" s="134"/>
      <c r="E140" s="134"/>
      <c r="F140" s="134"/>
      <c r="G140" s="78"/>
      <c r="H140" s="504"/>
      <c r="I140" s="78"/>
      <c r="J140" s="78"/>
      <c r="K140" s="78"/>
      <c r="L140" s="78"/>
      <c r="M140" s="78"/>
      <c r="N140" s="83">
        <f>N138</f>
        <v>0</v>
      </c>
      <c r="O140" s="77" t="e">
        <f>N140/N157</f>
        <v>#DIV/0!</v>
      </c>
    </row>
    <row r="141" spans="1:15" s="132" customFormat="1" ht="12.75" customHeight="1" x14ac:dyDescent="0.2">
      <c r="B141" s="133"/>
      <c r="C141" s="487"/>
      <c r="D141" s="487"/>
      <c r="E141" s="487"/>
      <c r="F141" s="487"/>
      <c r="G141" s="488"/>
      <c r="H141" s="508"/>
      <c r="I141" s="488"/>
      <c r="J141" s="488"/>
      <c r="K141" s="488"/>
      <c r="L141" s="488"/>
      <c r="M141" s="488"/>
      <c r="N141" s="83"/>
      <c r="O141" s="77"/>
    </row>
    <row r="142" spans="1:15" ht="12.75" customHeight="1" x14ac:dyDescent="0.2">
      <c r="A142" s="98" t="s">
        <v>1008</v>
      </c>
      <c r="B142" s="88" t="s">
        <v>649</v>
      </c>
      <c r="G142" s="97"/>
      <c r="H142" s="502"/>
      <c r="I142" s="15"/>
      <c r="J142" s="15"/>
      <c r="K142" s="15"/>
      <c r="L142" s="15"/>
      <c r="M142" s="15"/>
      <c r="N142" s="15"/>
      <c r="O142" s="25"/>
    </row>
    <row r="143" spans="1:15" ht="12.75" customHeight="1" x14ac:dyDescent="0.2">
      <c r="A143" s="98" t="s">
        <v>1009</v>
      </c>
      <c r="B143" s="88" t="s">
        <v>650</v>
      </c>
      <c r="G143" s="97"/>
      <c r="H143" s="502"/>
      <c r="I143" s="15"/>
      <c r="J143" s="15"/>
      <c r="K143" s="15"/>
      <c r="L143" s="15"/>
      <c r="M143" s="15"/>
      <c r="N143" s="15"/>
      <c r="O143" s="25"/>
    </row>
    <row r="144" spans="1:15" ht="12.75" customHeight="1" x14ac:dyDescent="0.2">
      <c r="A144" s="98" t="s">
        <v>358</v>
      </c>
      <c r="B144" s="88" t="s">
        <v>651</v>
      </c>
      <c r="G144" s="97" t="s">
        <v>31</v>
      </c>
      <c r="H144" s="502">
        <v>0</v>
      </c>
      <c r="I144" s="72">
        <f>VLOOKUP(A144,'[1]TAB OGU JUN18'!$A:$G,6,"falso")</f>
        <v>59.55</v>
      </c>
      <c r="J144" s="72">
        <f>VLOOKUP(A144,'[1]TAB OGU JUN18'!$A:$G,4,"falso")</f>
        <v>47.04</v>
      </c>
      <c r="K144" s="15">
        <f>H144*J144</f>
        <v>0</v>
      </c>
      <c r="L144" s="72">
        <f>VLOOKUP(A144,'[1]TAB OGU JUN18'!$A:$G,5,"falso")</f>
        <v>12.51</v>
      </c>
      <c r="M144" s="15">
        <f>H144*L144</f>
        <v>0</v>
      </c>
      <c r="N144" s="15">
        <f>H144*I144</f>
        <v>0</v>
      </c>
      <c r="O144" s="25" t="e">
        <f>N144/N146</f>
        <v>#DIV/0!</v>
      </c>
    </row>
    <row r="145" spans="1:16" s="132" customFormat="1" ht="12.75" customHeight="1" x14ac:dyDescent="0.2">
      <c r="B145" s="133"/>
      <c r="C145" s="487"/>
      <c r="D145" s="487"/>
      <c r="E145" s="487"/>
      <c r="F145" s="487"/>
      <c r="G145" s="488"/>
      <c r="H145" s="508"/>
      <c r="I145" s="488"/>
      <c r="J145" s="488"/>
      <c r="K145" s="488"/>
      <c r="L145" s="488"/>
      <c r="M145" s="488"/>
      <c r="N145" s="83"/>
      <c r="O145" s="77"/>
    </row>
    <row r="146" spans="1:16" ht="12.75" customHeight="1" x14ac:dyDescent="0.2">
      <c r="B146" s="130" t="s">
        <v>18</v>
      </c>
      <c r="C146" s="131"/>
      <c r="D146" s="131"/>
      <c r="E146" s="131"/>
      <c r="F146" s="131"/>
      <c r="G146" s="53"/>
      <c r="H146" s="503"/>
      <c r="I146" s="53"/>
      <c r="J146" s="53"/>
      <c r="K146" s="53"/>
      <c r="L146" s="53"/>
      <c r="M146" s="53"/>
      <c r="N146" s="15">
        <f>N144</f>
        <v>0</v>
      </c>
      <c r="O146" s="25" t="e">
        <f>N146/N148</f>
        <v>#DIV/0!</v>
      </c>
    </row>
    <row r="147" spans="1:16" s="132" customFormat="1" ht="12.75" customHeight="1" x14ac:dyDescent="0.2">
      <c r="B147" s="133"/>
      <c r="C147" s="487"/>
      <c r="D147" s="487"/>
      <c r="E147" s="487"/>
      <c r="F147" s="487"/>
      <c r="G147" s="488"/>
      <c r="H147" s="508"/>
      <c r="I147" s="488"/>
      <c r="J147" s="488"/>
      <c r="K147" s="488"/>
      <c r="L147" s="488"/>
      <c r="M147" s="488"/>
      <c r="N147" s="83"/>
      <c r="O147" s="77"/>
    </row>
    <row r="148" spans="1:16" s="132" customFormat="1" ht="12.75" customHeight="1" x14ac:dyDescent="0.2">
      <c r="B148" s="133" t="s">
        <v>20</v>
      </c>
      <c r="C148" s="134"/>
      <c r="D148" s="134"/>
      <c r="E148" s="134"/>
      <c r="F148" s="134"/>
      <c r="G148" s="78"/>
      <c r="H148" s="504"/>
      <c r="I148" s="78"/>
      <c r="J148" s="78"/>
      <c r="K148" s="78"/>
      <c r="L148" s="78"/>
      <c r="M148" s="78"/>
      <c r="N148" s="83">
        <f>N146</f>
        <v>0</v>
      </c>
      <c r="O148" s="77" t="e">
        <f>N148/N157</f>
        <v>#DIV/0!</v>
      </c>
    </row>
    <row r="149" spans="1:16" ht="12.75" customHeight="1" x14ac:dyDescent="0.2">
      <c r="B149" s="130"/>
      <c r="G149" s="52"/>
      <c r="H149" s="501"/>
      <c r="I149" s="52"/>
      <c r="J149" s="52"/>
      <c r="K149" s="52"/>
      <c r="L149" s="52"/>
      <c r="M149" s="52"/>
      <c r="N149" s="15"/>
      <c r="O149" s="25"/>
    </row>
    <row r="150" spans="1:16" ht="12.75" customHeight="1" x14ac:dyDescent="0.2">
      <c r="A150" s="98" t="s">
        <v>546</v>
      </c>
      <c r="B150" s="88" t="s">
        <v>547</v>
      </c>
      <c r="G150" s="97"/>
      <c r="H150" s="502"/>
      <c r="I150" s="15"/>
      <c r="J150" s="15"/>
      <c r="K150" s="15"/>
      <c r="L150" s="15"/>
      <c r="M150" s="15"/>
      <c r="N150" s="15"/>
      <c r="O150" s="25"/>
    </row>
    <row r="151" spans="1:16" ht="12.75" customHeight="1" x14ac:dyDescent="0.2">
      <c r="A151" s="98" t="s">
        <v>548</v>
      </c>
      <c r="B151" s="88" t="s">
        <v>549</v>
      </c>
      <c r="G151" s="97" t="s">
        <v>32</v>
      </c>
      <c r="H151" s="502">
        <v>0</v>
      </c>
      <c r="I151" s="72">
        <v>459.85</v>
      </c>
      <c r="J151" s="72">
        <v>131.6</v>
      </c>
      <c r="K151" s="15">
        <f>J151*H151</f>
        <v>0</v>
      </c>
      <c r="L151" s="72">
        <v>328.25</v>
      </c>
      <c r="M151" s="15">
        <f>L151*H151</f>
        <v>0</v>
      </c>
      <c r="N151" s="15">
        <f>H151*I151</f>
        <v>0</v>
      </c>
      <c r="O151" s="25" t="e">
        <f>N151/N153</f>
        <v>#DIV/0!</v>
      </c>
    </row>
    <row r="152" spans="1:16" ht="12.75" customHeight="1" x14ac:dyDescent="0.2">
      <c r="B152" s="130"/>
      <c r="G152" s="52"/>
      <c r="H152" s="501"/>
      <c r="I152" s="52"/>
      <c r="J152" s="52"/>
      <c r="K152" s="52"/>
      <c r="L152" s="52"/>
      <c r="M152" s="52"/>
      <c r="N152" s="15"/>
      <c r="O152" s="25"/>
    </row>
    <row r="153" spans="1:16" ht="12.75" customHeight="1" x14ac:dyDescent="0.2">
      <c r="B153" s="130" t="s">
        <v>18</v>
      </c>
      <c r="C153" s="131"/>
      <c r="D153" s="131"/>
      <c r="E153" s="131"/>
      <c r="F153" s="131"/>
      <c r="G153" s="53"/>
      <c r="H153" s="20"/>
      <c r="I153" s="53"/>
      <c r="J153" s="53"/>
      <c r="K153" s="53"/>
      <c r="L153" s="53"/>
      <c r="M153" s="53"/>
      <c r="N153" s="15">
        <f>N151</f>
        <v>0</v>
      </c>
      <c r="O153" s="25" t="e">
        <f>N153/N155</f>
        <v>#DIV/0!</v>
      </c>
    </row>
    <row r="154" spans="1:16" ht="12.75" customHeight="1" x14ac:dyDescent="0.2">
      <c r="A154" s="98"/>
      <c r="B154" s="88"/>
      <c r="G154" s="97"/>
      <c r="H154" s="15"/>
      <c r="I154" s="15"/>
      <c r="J154" s="15"/>
      <c r="K154" s="15"/>
      <c r="L154" s="15"/>
      <c r="M154" s="15"/>
      <c r="N154" s="15"/>
      <c r="O154" s="25"/>
    </row>
    <row r="155" spans="1:16" s="132" customFormat="1" ht="12.75" customHeight="1" x14ac:dyDescent="0.2">
      <c r="A155" s="145"/>
      <c r="B155" s="133" t="s">
        <v>20</v>
      </c>
      <c r="C155" s="134"/>
      <c r="D155" s="134"/>
      <c r="E155" s="134"/>
      <c r="F155" s="134"/>
      <c r="G155" s="78"/>
      <c r="H155" s="455"/>
      <c r="I155" s="78"/>
      <c r="J155" s="78"/>
      <c r="K155" s="78"/>
      <c r="L155" s="78"/>
      <c r="M155" s="78"/>
      <c r="N155" s="83">
        <f>N153</f>
        <v>0</v>
      </c>
      <c r="O155" s="77" t="e">
        <f>N155/$N$157</f>
        <v>#DIV/0!</v>
      </c>
    </row>
    <row r="156" spans="1:16" ht="7.5" customHeight="1" x14ac:dyDescent="0.2">
      <c r="A156" s="98"/>
      <c r="B156" s="88"/>
      <c r="G156" s="97"/>
      <c r="H156" s="15"/>
      <c r="I156" s="15"/>
      <c r="J156" s="15"/>
      <c r="K156" s="15"/>
      <c r="L156" s="15"/>
      <c r="M156" s="15"/>
      <c r="N156" s="15"/>
      <c r="O156" s="25"/>
    </row>
    <row r="157" spans="1:16" ht="12.75" customHeight="1" x14ac:dyDescent="0.2">
      <c r="A157" s="146"/>
      <c r="B157" s="147" t="s">
        <v>30</v>
      </c>
      <c r="C157" s="146"/>
      <c r="D157" s="146"/>
      <c r="E157" s="146"/>
      <c r="F157" s="146"/>
      <c r="G157" s="146"/>
      <c r="H157" s="148"/>
      <c r="I157" s="146"/>
      <c r="J157" s="146"/>
      <c r="K157" s="207">
        <f>SUM(K14:K156)</f>
        <v>0</v>
      </c>
      <c r="L157" s="460"/>
      <c r="M157" s="207">
        <f>SUM(M14:M156)</f>
        <v>0</v>
      </c>
      <c r="N157" s="276">
        <f>N28+N60+N69+N77+N132+N155+N148+N140</f>
        <v>0</v>
      </c>
      <c r="O157" s="460"/>
      <c r="P157" s="149"/>
    </row>
    <row r="158" spans="1:16" ht="7.5" customHeight="1" x14ac:dyDescent="0.2">
      <c r="A158" s="98"/>
      <c r="B158" s="88"/>
      <c r="G158" s="97"/>
      <c r="H158" s="15"/>
      <c r="I158" s="15"/>
      <c r="J158" s="15"/>
      <c r="K158" s="15"/>
      <c r="L158" s="15"/>
      <c r="M158" s="15"/>
      <c r="N158" s="15"/>
      <c r="O158" s="25"/>
    </row>
    <row r="159" spans="1:16" ht="12.75" customHeight="1" x14ac:dyDescent="0.2">
      <c r="A159" s="146"/>
      <c r="B159" s="147" t="s">
        <v>265</v>
      </c>
      <c r="C159" s="146"/>
      <c r="D159" s="146"/>
      <c r="E159" s="146"/>
      <c r="F159" s="146"/>
      <c r="G159" s="146"/>
      <c r="H159" s="148"/>
      <c r="I159" s="146"/>
      <c r="J159" s="146"/>
      <c r="K159" s="207">
        <f>K157+(K157*O5)</f>
        <v>0</v>
      </c>
      <c r="L159" s="460"/>
      <c r="M159" s="207">
        <f>M157+(M157*O7)</f>
        <v>0</v>
      </c>
      <c r="N159" s="276">
        <f>K159+M159</f>
        <v>0</v>
      </c>
      <c r="O159" s="29">
        <f>N159/RESUMO!H95</f>
        <v>0</v>
      </c>
      <c r="P159" s="149"/>
    </row>
    <row r="163" spans="1:15" s="150" customFormat="1" ht="12.75" customHeight="1" x14ac:dyDescent="0.2">
      <c r="A163" s="51"/>
      <c r="B163" s="51"/>
      <c r="C163" s="51"/>
      <c r="D163" s="51"/>
      <c r="E163" s="51"/>
      <c r="F163" s="51"/>
      <c r="G163" s="51"/>
      <c r="H163" s="51"/>
      <c r="I163" s="51"/>
      <c r="J163" s="51"/>
      <c r="K163" s="51"/>
      <c r="L163" s="51"/>
      <c r="M163" s="51"/>
      <c r="N163" s="51"/>
      <c r="O163" s="51"/>
    </row>
    <row r="164" spans="1:15" s="150" customFormat="1" ht="12.75" customHeight="1" x14ac:dyDescent="0.2">
      <c r="A164" s="51"/>
      <c r="B164" s="51"/>
      <c r="C164" s="51"/>
      <c r="D164" s="51"/>
      <c r="E164" s="51"/>
      <c r="F164" s="51"/>
      <c r="G164" s="51"/>
      <c r="H164" s="51"/>
      <c r="I164" s="51"/>
      <c r="J164" s="51"/>
      <c r="K164" s="51"/>
      <c r="L164" s="51"/>
      <c r="M164" s="589">
        <f>K157+M157</f>
        <v>0</v>
      </c>
      <c r="N164" s="51"/>
      <c r="O164" s="51"/>
    </row>
    <row r="167" spans="1:15" ht="12.75" customHeight="1" x14ac:dyDescent="0.2">
      <c r="M167" s="587"/>
    </row>
    <row r="171" spans="1:15" ht="12.75" customHeight="1" x14ac:dyDescent="0.2">
      <c r="A171" s="88"/>
      <c r="C171" s="184"/>
      <c r="D171" s="184"/>
      <c r="E171" s="184"/>
      <c r="F171" s="184"/>
      <c r="G171" s="184"/>
      <c r="H171" s="184"/>
      <c r="I171" s="184"/>
      <c r="J171" s="184"/>
      <c r="K171" s="184"/>
      <c r="L171" s="184"/>
      <c r="M171" s="184"/>
      <c r="N171" s="184"/>
      <c r="O171" s="459"/>
    </row>
  </sheetData>
  <mergeCells count="4">
    <mergeCell ref="A2:O2"/>
    <mergeCell ref="N4:O4"/>
    <mergeCell ref="A5:B6"/>
    <mergeCell ref="B31:F31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legacyDrawingHF r:id="rId2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>
    <tabColor theme="6" tint="0.39997558519241921"/>
    <pageSetUpPr fitToPage="1"/>
  </sheetPr>
  <dimension ref="A1:R156"/>
  <sheetViews>
    <sheetView view="pageBreakPreview" zoomScale="85" zoomScaleNormal="90" zoomScaleSheetLayoutView="85" workbookViewId="0">
      <selection activeCell="R113" sqref="R113"/>
    </sheetView>
  </sheetViews>
  <sheetFormatPr defaultColWidth="11.42578125" defaultRowHeight="12.75" customHeight="1" x14ac:dyDescent="0.2"/>
  <cols>
    <col min="1" max="5" width="11.42578125" style="51" customWidth="1"/>
    <col min="6" max="6" width="28.5703125" style="51" customWidth="1"/>
    <col min="7" max="9" width="11.42578125" style="51" customWidth="1"/>
    <col min="10" max="10" width="7.42578125" style="51" hidden="1" customWidth="1"/>
    <col min="11" max="11" width="14.28515625" style="51" customWidth="1"/>
    <col min="12" max="12" width="8.85546875" style="51" hidden="1" customWidth="1"/>
    <col min="13" max="13" width="14.28515625" style="51" customWidth="1"/>
    <col min="14" max="14" width="17.140625" style="51" customWidth="1"/>
    <col min="15" max="15" width="11.42578125" style="51" customWidth="1"/>
    <col min="16" max="16" width="6.140625" style="51" bestFit="1" customWidth="1"/>
    <col min="17" max="16384" width="11.42578125" style="51"/>
  </cols>
  <sheetData>
    <row r="1" spans="1:15" ht="7.5" customHeight="1" x14ac:dyDescent="0.2"/>
    <row r="2" spans="1:15" ht="12.75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5" ht="7.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</row>
    <row r="4" spans="1:15" ht="12.75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5" ht="12.75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5" ht="12.75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5" ht="12.75" customHeight="1" x14ac:dyDescent="0.2">
      <c r="A7" s="697"/>
      <c r="B7" s="697"/>
      <c r="C7" s="260" t="s">
        <v>6</v>
      </c>
      <c r="D7" s="263" t="str">
        <f>RESUMO!A84</f>
        <v>U.C. : 14</v>
      </c>
      <c r="E7" s="258"/>
      <c r="F7" s="258"/>
      <c r="G7" s="260" t="s">
        <v>9</v>
      </c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5" ht="12.75" customHeight="1" thickBot="1" x14ac:dyDescent="0.25">
      <c r="A8" s="124"/>
      <c r="B8" s="125"/>
      <c r="C8" s="266" t="s">
        <v>8</v>
      </c>
      <c r="D8" s="267" t="str">
        <f>RESUMO!B84</f>
        <v>ESTAÇÃO ELEVATÓRIA DE ESGOTO - EEE02</v>
      </c>
      <c r="E8" s="268"/>
      <c r="F8" s="268"/>
      <c r="G8" s="266"/>
      <c r="H8" s="123"/>
      <c r="I8" s="278"/>
      <c r="J8" s="278"/>
      <c r="K8" s="278"/>
      <c r="L8" s="278"/>
      <c r="M8" s="278"/>
      <c r="N8" s="271"/>
      <c r="O8" s="268"/>
    </row>
    <row r="9" spans="1:15" ht="12.75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5" ht="7.5" customHeight="1" x14ac:dyDescent="0.2">
      <c r="O10" s="61"/>
    </row>
    <row r="11" spans="1:15" ht="12.75" customHeight="1" x14ac:dyDescent="0.2">
      <c r="A11" s="93">
        <f>RESUMO!A77</f>
        <v>3</v>
      </c>
      <c r="B11" s="93" t="str">
        <f>RESUMO!B77</f>
        <v>INTERLIGAÇÕES - SERVIÇOS</v>
      </c>
      <c r="O11" s="61"/>
    </row>
    <row r="12" spans="1:15" ht="12.75" customHeight="1" x14ac:dyDescent="0.2">
      <c r="A12" s="129" t="s">
        <v>48</v>
      </c>
      <c r="B12" s="88" t="s">
        <v>16</v>
      </c>
      <c r="H12" s="491"/>
      <c r="O12" s="61"/>
    </row>
    <row r="13" spans="1:15" ht="12.75" customHeight="1" x14ac:dyDescent="0.2">
      <c r="A13" s="129" t="s">
        <v>79</v>
      </c>
      <c r="B13" s="88" t="s">
        <v>80</v>
      </c>
      <c r="H13" s="491"/>
      <c r="O13" s="61"/>
    </row>
    <row r="14" spans="1:15" ht="12.75" customHeight="1" x14ac:dyDescent="0.2">
      <c r="A14" s="129" t="s">
        <v>209</v>
      </c>
      <c r="B14" s="88" t="s">
        <v>210</v>
      </c>
      <c r="G14" s="97" t="s">
        <v>17</v>
      </c>
      <c r="H14" s="502">
        <v>0</v>
      </c>
      <c r="I14" s="72">
        <f>VLOOKUP(A14,'[1]TAB OGU JUN18'!$A:$G,6,"falso")</f>
        <v>1.2</v>
      </c>
      <c r="J14" s="72">
        <f>VLOOKUP(A14,'[1]TAB OGU JUN18'!$A:$G,4,"falso")</f>
        <v>0.82</v>
      </c>
      <c r="K14" s="15">
        <f>H14*J14</f>
        <v>0</v>
      </c>
      <c r="L14" s="72">
        <f>VLOOKUP(A14,'[1]TAB OGU JUN18'!$A:$G,5,"falso")</f>
        <v>0.38</v>
      </c>
      <c r="M14" s="15">
        <f>H14*L14</f>
        <v>0</v>
      </c>
      <c r="N14" s="15">
        <f>H14*I14</f>
        <v>0</v>
      </c>
      <c r="O14" s="25" t="e">
        <f>(N14*1)/$N$17</f>
        <v>#DIV/0!</v>
      </c>
    </row>
    <row r="15" spans="1:15" ht="12.75" customHeight="1" x14ac:dyDescent="0.2">
      <c r="A15" s="98"/>
      <c r="B15" s="88" t="s">
        <v>211</v>
      </c>
      <c r="G15" s="97"/>
      <c r="H15" s="502"/>
      <c r="I15" s="15"/>
      <c r="J15" s="15"/>
      <c r="K15" s="15"/>
      <c r="L15" s="72"/>
      <c r="M15" s="15"/>
      <c r="N15" s="15"/>
      <c r="O15" s="25"/>
    </row>
    <row r="16" spans="1:15" ht="12.75" customHeight="1" x14ac:dyDescent="0.2">
      <c r="G16" s="52"/>
      <c r="H16" s="501"/>
      <c r="I16" s="52"/>
      <c r="J16" s="52"/>
      <c r="K16" s="52"/>
      <c r="L16" s="52"/>
      <c r="M16" s="52"/>
      <c r="N16" s="456"/>
      <c r="O16" s="25"/>
    </row>
    <row r="17" spans="1:18" ht="12.75" customHeight="1" x14ac:dyDescent="0.2">
      <c r="B17" s="130" t="s">
        <v>18</v>
      </c>
      <c r="C17" s="131"/>
      <c r="D17" s="131"/>
      <c r="E17" s="131"/>
      <c r="F17" s="131"/>
      <c r="G17" s="53"/>
      <c r="H17" s="503"/>
      <c r="I17" s="53"/>
      <c r="J17" s="53"/>
      <c r="K17" s="53"/>
      <c r="L17" s="53"/>
      <c r="M17" s="53"/>
      <c r="N17" s="15">
        <f>SUM(N14)</f>
        <v>0</v>
      </c>
      <c r="O17" s="25" t="e">
        <f>N17/N24</f>
        <v>#DIV/0!</v>
      </c>
    </row>
    <row r="18" spans="1:18" ht="12.75" customHeight="1" x14ac:dyDescent="0.2">
      <c r="B18" s="130"/>
      <c r="G18" s="52"/>
      <c r="H18" s="501"/>
      <c r="I18" s="52"/>
      <c r="J18" s="52"/>
      <c r="K18" s="52"/>
      <c r="L18" s="52"/>
      <c r="M18" s="52"/>
      <c r="N18" s="15"/>
      <c r="O18" s="25"/>
    </row>
    <row r="19" spans="1:18" ht="12" customHeight="1" x14ac:dyDescent="0.2">
      <c r="A19" s="98" t="s">
        <v>779</v>
      </c>
      <c r="B19" s="88" t="s">
        <v>780</v>
      </c>
      <c r="G19" s="52"/>
      <c r="H19" s="506"/>
      <c r="I19" s="324"/>
      <c r="J19" s="313"/>
      <c r="K19" s="313"/>
      <c r="L19" s="313"/>
      <c r="M19" s="313"/>
      <c r="N19" s="313"/>
      <c r="O19" s="19"/>
      <c r="Q19" s="311"/>
    </row>
    <row r="20" spans="1:18" ht="12" customHeight="1" x14ac:dyDescent="0.2">
      <c r="A20" s="98" t="s">
        <v>782</v>
      </c>
      <c r="B20" s="88" t="s">
        <v>781</v>
      </c>
      <c r="G20" s="97" t="s">
        <v>17</v>
      </c>
      <c r="H20" s="495">
        <f>H14</f>
        <v>0</v>
      </c>
      <c r="I20" s="323">
        <f>VLOOKUP(A20,'[1]TAB OGU JUN18'!$A:$G,6,"falso")</f>
        <v>0.4</v>
      </c>
      <c r="J20" s="323">
        <f>VLOOKUP(A20,'[1]TAB OGU JUN18'!$A:$G,4,"falso")</f>
        <v>0.4</v>
      </c>
      <c r="K20" s="308">
        <f>H20*J20</f>
        <v>0</v>
      </c>
      <c r="L20" s="323">
        <f>VLOOKUP(A20,'[1]TAB OGU JUN18'!$A:$G,5,"falso")</f>
        <v>0</v>
      </c>
      <c r="M20" s="308"/>
      <c r="N20" s="308">
        <f>H20*I20</f>
        <v>0</v>
      </c>
      <c r="O20" s="25" t="e">
        <f>N20/N22</f>
        <v>#DIV/0!</v>
      </c>
      <c r="Q20" s="311"/>
    </row>
    <row r="21" spans="1:18" ht="12" customHeight="1" x14ac:dyDescent="0.2">
      <c r="G21" s="52"/>
      <c r="H21" s="506"/>
      <c r="I21" s="324"/>
      <c r="J21" s="313"/>
      <c r="K21" s="313"/>
      <c r="L21" s="313"/>
      <c r="M21" s="313"/>
      <c r="N21" s="313"/>
      <c r="O21" s="19"/>
      <c r="Q21" s="311"/>
    </row>
    <row r="22" spans="1:18" ht="12" customHeight="1" x14ac:dyDescent="0.2">
      <c r="B22" s="130" t="s">
        <v>18</v>
      </c>
      <c r="C22" s="131"/>
      <c r="D22" s="131"/>
      <c r="E22" s="131"/>
      <c r="F22" s="131"/>
      <c r="G22" s="53"/>
      <c r="H22" s="507"/>
      <c r="I22" s="325"/>
      <c r="J22" s="326"/>
      <c r="K22" s="326"/>
      <c r="L22" s="326"/>
      <c r="M22" s="326"/>
      <c r="N22" s="308">
        <f>N20</f>
        <v>0</v>
      </c>
      <c r="O22" s="25" t="e">
        <f>N22/N24</f>
        <v>#DIV/0!</v>
      </c>
      <c r="Q22" s="311"/>
    </row>
    <row r="23" spans="1:18" ht="12" customHeight="1" x14ac:dyDescent="0.2">
      <c r="B23" s="130"/>
      <c r="G23" s="52"/>
      <c r="H23" s="506"/>
      <c r="I23" s="324"/>
      <c r="J23" s="313"/>
      <c r="K23" s="313"/>
      <c r="L23" s="313"/>
      <c r="M23" s="313"/>
      <c r="N23" s="308"/>
      <c r="O23" s="25"/>
      <c r="Q23" s="311"/>
    </row>
    <row r="24" spans="1:18" s="132" customFormat="1" ht="12.75" customHeight="1" x14ac:dyDescent="0.2">
      <c r="B24" s="133" t="s">
        <v>20</v>
      </c>
      <c r="C24" s="134"/>
      <c r="D24" s="134"/>
      <c r="E24" s="134"/>
      <c r="F24" s="134"/>
      <c r="G24" s="78"/>
      <c r="H24" s="504"/>
      <c r="I24" s="78"/>
      <c r="J24" s="78"/>
      <c r="K24" s="78"/>
      <c r="L24" s="78"/>
      <c r="M24" s="78"/>
      <c r="N24" s="83">
        <f>N17+N22</f>
        <v>0</v>
      </c>
      <c r="O24" s="77" t="e">
        <f>N24/N142</f>
        <v>#DIV/0!</v>
      </c>
    </row>
    <row r="25" spans="1:18" ht="12.75" customHeight="1" x14ac:dyDescent="0.2">
      <c r="B25" s="130"/>
      <c r="G25" s="52"/>
      <c r="H25" s="501"/>
      <c r="I25" s="52"/>
      <c r="J25" s="52"/>
      <c r="K25" s="52"/>
      <c r="L25" s="52"/>
      <c r="M25" s="52"/>
      <c r="N25" s="15"/>
      <c r="O25" s="25"/>
    </row>
    <row r="26" spans="1:18" ht="12.75" customHeight="1" x14ac:dyDescent="0.2">
      <c r="A26" s="129" t="s">
        <v>93</v>
      </c>
      <c r="B26" s="88" t="s">
        <v>96</v>
      </c>
      <c r="H26" s="505"/>
      <c r="O26" s="61"/>
    </row>
    <row r="27" spans="1:18" ht="12.75" customHeight="1" x14ac:dyDescent="0.2">
      <c r="A27" s="129" t="s">
        <v>94</v>
      </c>
      <c r="B27" s="88" t="s">
        <v>97</v>
      </c>
      <c r="H27" s="505"/>
      <c r="O27" s="61"/>
    </row>
    <row r="28" spans="1:18" ht="12.75" customHeight="1" x14ac:dyDescent="0.2">
      <c r="A28" s="129" t="s">
        <v>95</v>
      </c>
      <c r="B28" s="88" t="s">
        <v>228</v>
      </c>
      <c r="G28" s="97" t="s">
        <v>32</v>
      </c>
      <c r="H28" s="502">
        <f>(H14*0.5)</f>
        <v>0</v>
      </c>
      <c r="I28" s="72">
        <f>VLOOKUP(A28,'[1]TAB OGU JUN18'!$A:$G,6,"falso")</f>
        <v>32.9</v>
      </c>
      <c r="J28" s="72">
        <f>VLOOKUP(A28,'[1]TAB OGU JUN18'!$A:$G,4,"falso")</f>
        <v>32.9</v>
      </c>
      <c r="K28" s="15">
        <f>H28*J28</f>
        <v>0</v>
      </c>
      <c r="L28" s="72">
        <f>VLOOKUP(A28,'[1]TAB OGU JUN18'!$A:$G,5,"falso")</f>
        <v>0</v>
      </c>
      <c r="M28" s="15"/>
      <c r="N28" s="15">
        <f>H28*I28</f>
        <v>0</v>
      </c>
      <c r="O28" s="25" t="e">
        <f>N28/N30</f>
        <v>#DIV/0!</v>
      </c>
    </row>
    <row r="29" spans="1:18" ht="12.75" customHeight="1" x14ac:dyDescent="0.2">
      <c r="G29" s="52"/>
      <c r="H29" s="501"/>
      <c r="I29" s="52"/>
      <c r="J29" s="52"/>
      <c r="K29" s="52"/>
      <c r="L29" s="52"/>
      <c r="M29" s="52"/>
      <c r="N29" s="456"/>
      <c r="O29" s="25"/>
    </row>
    <row r="30" spans="1:18" ht="12.75" customHeight="1" x14ac:dyDescent="0.2">
      <c r="B30" s="130" t="s">
        <v>18</v>
      </c>
      <c r="C30" s="131"/>
      <c r="D30" s="131"/>
      <c r="E30" s="131"/>
      <c r="F30" s="131"/>
      <c r="G30" s="53"/>
      <c r="H30" s="503"/>
      <c r="I30" s="53"/>
      <c r="J30" s="53"/>
      <c r="K30" s="53"/>
      <c r="L30" s="53"/>
      <c r="M30" s="53"/>
      <c r="N30" s="15">
        <f>SUM(N28:N28)</f>
        <v>0</v>
      </c>
      <c r="O30" s="25" t="e">
        <f>N30/N52</f>
        <v>#DIV/0!</v>
      </c>
    </row>
    <row r="31" spans="1:18" ht="12.75" customHeight="1" x14ac:dyDescent="0.2">
      <c r="B31" s="130"/>
      <c r="G31" s="52"/>
      <c r="H31" s="501"/>
      <c r="I31" s="52"/>
      <c r="J31" s="52"/>
      <c r="K31" s="52"/>
      <c r="L31" s="52"/>
      <c r="M31" s="52"/>
      <c r="N31" s="15"/>
      <c r="O31" s="25"/>
    </row>
    <row r="32" spans="1:18" ht="12.75" customHeight="1" x14ac:dyDescent="0.2">
      <c r="A32" s="98" t="s">
        <v>101</v>
      </c>
      <c r="B32" s="88" t="s">
        <v>21</v>
      </c>
      <c r="G32" s="97"/>
      <c r="H32" s="502"/>
      <c r="I32" s="15"/>
      <c r="J32" s="15"/>
      <c r="K32" s="15"/>
      <c r="L32" s="15"/>
      <c r="M32" s="15"/>
      <c r="N32" s="15"/>
      <c r="O32" s="25"/>
      <c r="R32" s="61" t="s">
        <v>1409</v>
      </c>
    </row>
    <row r="33" spans="1:15" ht="12.75" customHeight="1" x14ac:dyDescent="0.2">
      <c r="A33" s="98" t="s">
        <v>102</v>
      </c>
      <c r="B33" s="88" t="s">
        <v>104</v>
      </c>
      <c r="G33" s="97" t="s">
        <v>32</v>
      </c>
      <c r="H33" s="502">
        <f>H28-((PI()*0.15^2/4)*H14)</f>
        <v>0</v>
      </c>
      <c r="I33" s="72">
        <f>VLOOKUP(A33,'[1]TAB OGU JUN18'!$A:$G,6,"falso")</f>
        <v>7.4</v>
      </c>
      <c r="J33" s="72">
        <f>VLOOKUP(A33,'[1]TAB OGU JUN18'!$A:$G,4,"falso")</f>
        <v>7.4</v>
      </c>
      <c r="K33" s="15">
        <f>H33*J33</f>
        <v>0</v>
      </c>
      <c r="L33" s="72">
        <f>VLOOKUP(A33,'[1]TAB OGU JUN18'!$A:$G,5,"falso")</f>
        <v>0</v>
      </c>
      <c r="M33" s="15"/>
      <c r="N33" s="15">
        <f>H33*I33</f>
        <v>0</v>
      </c>
      <c r="O33" s="25" t="e">
        <f>N33/N35</f>
        <v>#DIV/0!</v>
      </c>
    </row>
    <row r="34" spans="1:15" ht="12.75" customHeight="1" x14ac:dyDescent="0.2">
      <c r="B34" s="130"/>
      <c r="G34" s="52"/>
      <c r="H34" s="501"/>
      <c r="I34" s="52"/>
      <c r="J34" s="52"/>
      <c r="K34" s="52"/>
      <c r="L34" s="52"/>
      <c r="M34" s="52"/>
      <c r="N34" s="15"/>
      <c r="O34" s="25"/>
    </row>
    <row r="35" spans="1:15" ht="12.75" customHeight="1" x14ac:dyDescent="0.2">
      <c r="B35" s="130" t="s">
        <v>18</v>
      </c>
      <c r="C35" s="131"/>
      <c r="D35" s="131"/>
      <c r="E35" s="131"/>
      <c r="F35" s="131"/>
      <c r="G35" s="53"/>
      <c r="H35" s="503"/>
      <c r="I35" s="53"/>
      <c r="J35" s="53"/>
      <c r="K35" s="53"/>
      <c r="L35" s="53"/>
      <c r="M35" s="53"/>
      <c r="N35" s="15">
        <f>N33</f>
        <v>0</v>
      </c>
      <c r="O35" s="25" t="e">
        <f>N35/N52</f>
        <v>#DIV/0!</v>
      </c>
    </row>
    <row r="36" spans="1:15" ht="12.75" customHeight="1" x14ac:dyDescent="0.2">
      <c r="B36" s="130"/>
      <c r="G36" s="52"/>
      <c r="H36" s="501"/>
      <c r="I36" s="52"/>
      <c r="J36" s="52"/>
      <c r="K36" s="52"/>
      <c r="L36" s="52"/>
      <c r="M36" s="52"/>
      <c r="N36" s="15"/>
      <c r="O36" s="25"/>
    </row>
    <row r="37" spans="1:15" ht="12.75" customHeight="1" x14ac:dyDescent="0.2">
      <c r="A37" s="98" t="s">
        <v>106</v>
      </c>
      <c r="B37" s="88" t="s">
        <v>109</v>
      </c>
      <c r="G37" s="97"/>
      <c r="H37" s="502"/>
      <c r="I37" s="15"/>
      <c r="J37" s="15"/>
      <c r="K37" s="15"/>
      <c r="L37" s="15"/>
      <c r="M37" s="15"/>
      <c r="N37" s="15"/>
      <c r="O37" s="25"/>
    </row>
    <row r="38" spans="1:15" ht="12.75" customHeight="1" x14ac:dyDescent="0.2">
      <c r="A38" s="98" t="s">
        <v>107</v>
      </c>
      <c r="B38" s="88" t="s">
        <v>104</v>
      </c>
      <c r="G38" s="97" t="s">
        <v>32</v>
      </c>
      <c r="H38" s="502">
        <f>H33</f>
        <v>0</v>
      </c>
      <c r="I38" s="72">
        <f>VLOOKUP(A38,'[1]TAB OGU JUN18'!$A:$G,6,"falso")</f>
        <v>20.56</v>
      </c>
      <c r="J38" s="72">
        <f>VLOOKUP(A38,'[1]TAB OGU JUN18'!$A:$G,4,"falso")</f>
        <v>20.56</v>
      </c>
      <c r="K38" s="15">
        <f>H38*J38</f>
        <v>0</v>
      </c>
      <c r="L38" s="72">
        <f>VLOOKUP(A38,'[1]TAB OGU JUN18'!$A:$G,5,"falso")</f>
        <v>0</v>
      </c>
      <c r="M38" s="15"/>
      <c r="N38" s="15">
        <f>H38*I38</f>
        <v>0</v>
      </c>
      <c r="O38" s="25" t="e">
        <f>N38/N40</f>
        <v>#DIV/0!</v>
      </c>
    </row>
    <row r="39" spans="1:15" ht="12.75" customHeight="1" x14ac:dyDescent="0.2">
      <c r="B39" s="130"/>
      <c r="G39" s="52"/>
      <c r="H39" s="501"/>
      <c r="I39" s="52"/>
      <c r="J39" s="52"/>
      <c r="K39" s="52"/>
      <c r="L39" s="52"/>
      <c r="M39" s="52"/>
      <c r="N39" s="15"/>
      <c r="O39" s="25"/>
    </row>
    <row r="40" spans="1:15" ht="12.75" customHeight="1" x14ac:dyDescent="0.2">
      <c r="B40" s="130" t="s">
        <v>18</v>
      </c>
      <c r="C40" s="131"/>
      <c r="D40" s="131"/>
      <c r="E40" s="131"/>
      <c r="F40" s="131"/>
      <c r="G40" s="53"/>
      <c r="H40" s="503"/>
      <c r="I40" s="53"/>
      <c r="J40" s="53"/>
      <c r="K40" s="53"/>
      <c r="L40" s="53"/>
      <c r="M40" s="53"/>
      <c r="N40" s="15">
        <f>N38</f>
        <v>0</v>
      </c>
      <c r="O40" s="25" t="e">
        <f>N40/N52</f>
        <v>#DIV/0!</v>
      </c>
    </row>
    <row r="41" spans="1:15" ht="12.75" customHeight="1" x14ac:dyDescent="0.2">
      <c r="B41" s="130"/>
      <c r="G41" s="52"/>
      <c r="H41" s="501"/>
      <c r="I41" s="52"/>
      <c r="J41" s="52"/>
      <c r="K41" s="52"/>
      <c r="L41" s="52"/>
      <c r="M41" s="52"/>
      <c r="N41" s="15"/>
      <c r="O41" s="25"/>
    </row>
    <row r="42" spans="1:15" ht="12.75" customHeight="1" x14ac:dyDescent="0.2">
      <c r="A42" s="98" t="s">
        <v>110</v>
      </c>
      <c r="B42" s="88" t="s">
        <v>112</v>
      </c>
      <c r="G42" s="52"/>
      <c r="H42" s="501"/>
      <c r="I42" s="52"/>
      <c r="J42" s="52"/>
      <c r="K42" s="52"/>
      <c r="L42" s="52"/>
      <c r="M42" s="52"/>
      <c r="N42" s="52"/>
      <c r="O42" s="19"/>
    </row>
    <row r="43" spans="1:15" ht="12.75" customHeight="1" x14ac:dyDescent="0.2">
      <c r="A43" s="98" t="s">
        <v>111</v>
      </c>
      <c r="B43" s="88" t="s">
        <v>113</v>
      </c>
      <c r="G43" s="97" t="s">
        <v>32</v>
      </c>
      <c r="H43" s="502">
        <f>H28-H33</f>
        <v>0</v>
      </c>
      <c r="I43" s="72">
        <f>VLOOKUP(A43,'[1]TAB OGU JUN18'!$A:$G,6,"falso")</f>
        <v>1.85</v>
      </c>
      <c r="J43" s="72">
        <f>VLOOKUP(A43,'[1]TAB OGU JUN18'!$A:$G,4,"falso")</f>
        <v>1.85</v>
      </c>
      <c r="K43" s="15">
        <f>H43*J43</f>
        <v>0</v>
      </c>
      <c r="L43" s="72">
        <f>VLOOKUP(A43,'[1]TAB OGU JUN18'!$A:$G,5,"falso")</f>
        <v>0</v>
      </c>
      <c r="M43" s="15"/>
      <c r="N43" s="15">
        <f>H43*I43</f>
        <v>0</v>
      </c>
      <c r="O43" s="25" t="e">
        <f>N43/N45</f>
        <v>#DIV/0!</v>
      </c>
    </row>
    <row r="44" spans="1:15" ht="12.75" customHeight="1" x14ac:dyDescent="0.2">
      <c r="G44" s="52"/>
      <c r="H44" s="501"/>
      <c r="I44" s="52"/>
      <c r="J44" s="52"/>
      <c r="K44" s="52"/>
      <c r="L44" s="52"/>
      <c r="M44" s="52"/>
      <c r="N44" s="52"/>
      <c r="O44" s="19"/>
    </row>
    <row r="45" spans="1:15" ht="12.75" customHeight="1" x14ac:dyDescent="0.2">
      <c r="B45" s="130" t="s">
        <v>18</v>
      </c>
      <c r="C45" s="131"/>
      <c r="D45" s="131"/>
      <c r="E45" s="131"/>
      <c r="F45" s="131"/>
      <c r="G45" s="53"/>
      <c r="H45" s="503"/>
      <c r="I45" s="53"/>
      <c r="J45" s="53"/>
      <c r="K45" s="53"/>
      <c r="L45" s="53"/>
      <c r="M45" s="53"/>
      <c r="N45" s="15">
        <f>N43</f>
        <v>0</v>
      </c>
      <c r="O45" s="25" t="e">
        <f>N45/N52</f>
        <v>#DIV/0!</v>
      </c>
    </row>
    <row r="46" spans="1:15" ht="12.75" customHeight="1" x14ac:dyDescent="0.2">
      <c r="B46" s="130"/>
      <c r="G46" s="52"/>
      <c r="H46" s="501"/>
      <c r="I46" s="52"/>
      <c r="J46" s="52"/>
      <c r="K46" s="52"/>
      <c r="L46" s="52"/>
      <c r="M46" s="52"/>
      <c r="N46" s="15"/>
      <c r="O46" s="25"/>
    </row>
    <row r="47" spans="1:15" ht="12.75" customHeight="1" x14ac:dyDescent="0.2">
      <c r="A47" s="98" t="s">
        <v>114</v>
      </c>
      <c r="B47" s="88" t="s">
        <v>799</v>
      </c>
      <c r="G47" s="52"/>
      <c r="H47" s="501"/>
      <c r="I47" s="52"/>
      <c r="J47" s="52"/>
      <c r="K47" s="52"/>
      <c r="L47" s="52"/>
      <c r="M47" s="52"/>
      <c r="N47" s="52"/>
      <c r="O47" s="19"/>
    </row>
    <row r="48" spans="1:15" ht="12.75" customHeight="1" x14ac:dyDescent="0.2">
      <c r="A48" s="98" t="s">
        <v>115</v>
      </c>
      <c r="B48" s="88" t="s">
        <v>116</v>
      </c>
      <c r="G48" s="97" t="s">
        <v>180</v>
      </c>
      <c r="H48" s="502">
        <f>H43*3</f>
        <v>0</v>
      </c>
      <c r="I48" s="72">
        <f>VLOOKUP(A48,'[1]TAB OGU JUN18'!$A:$G,6,"falso")</f>
        <v>1</v>
      </c>
      <c r="J48" s="72">
        <f>VLOOKUP(A48,'[1]TAB OGU JUN18'!$A:$G,4,"falso")</f>
        <v>1</v>
      </c>
      <c r="K48" s="15">
        <f>H48*J48</f>
        <v>0</v>
      </c>
      <c r="L48" s="72">
        <f>VLOOKUP(A48,'[1]TAB OGU JUN18'!$A:$G,5,"falso")</f>
        <v>0</v>
      </c>
      <c r="M48" s="15"/>
      <c r="N48" s="15">
        <f>H48*I48</f>
        <v>0</v>
      </c>
      <c r="O48" s="25" t="e">
        <f>N48/N50</f>
        <v>#DIV/0!</v>
      </c>
    </row>
    <row r="49" spans="1:15" ht="12.75" customHeight="1" x14ac:dyDescent="0.2">
      <c r="G49" s="52"/>
      <c r="H49" s="501"/>
      <c r="I49" s="52"/>
      <c r="J49" s="52"/>
      <c r="K49" s="52"/>
      <c r="L49" s="52"/>
      <c r="M49" s="52"/>
      <c r="N49" s="52"/>
      <c r="O49" s="19"/>
    </row>
    <row r="50" spans="1:15" ht="12.75" customHeight="1" x14ac:dyDescent="0.2">
      <c r="B50" s="130" t="s">
        <v>18</v>
      </c>
      <c r="C50" s="131"/>
      <c r="D50" s="131"/>
      <c r="E50" s="131"/>
      <c r="F50" s="131"/>
      <c r="G50" s="53"/>
      <c r="H50" s="503"/>
      <c r="I50" s="53"/>
      <c r="J50" s="53"/>
      <c r="K50" s="53"/>
      <c r="L50" s="53"/>
      <c r="M50" s="53"/>
      <c r="N50" s="15">
        <f>N48</f>
        <v>0</v>
      </c>
      <c r="O50" s="25" t="e">
        <f>N50/N52</f>
        <v>#DIV/0!</v>
      </c>
    </row>
    <row r="51" spans="1:15" ht="12.75" customHeight="1" x14ac:dyDescent="0.2">
      <c r="B51" s="130"/>
      <c r="G51" s="52"/>
      <c r="H51" s="501"/>
      <c r="I51" s="52"/>
      <c r="J51" s="52"/>
      <c r="K51" s="52"/>
      <c r="L51" s="52"/>
      <c r="M51" s="52"/>
      <c r="N51" s="15"/>
      <c r="O51" s="25"/>
    </row>
    <row r="52" spans="1:15" s="132" customFormat="1" ht="12.75" customHeight="1" x14ac:dyDescent="0.2">
      <c r="B52" s="133" t="s">
        <v>20</v>
      </c>
      <c r="C52" s="134"/>
      <c r="D52" s="134"/>
      <c r="E52" s="134"/>
      <c r="F52" s="134"/>
      <c r="G52" s="78"/>
      <c r="H52" s="504"/>
      <c r="I52" s="78"/>
      <c r="J52" s="78"/>
      <c r="K52" s="78"/>
      <c r="L52" s="78"/>
      <c r="M52" s="78"/>
      <c r="N52" s="83">
        <f>N50+N45+N40+N35+N30</f>
        <v>0</v>
      </c>
      <c r="O52" s="77" t="e">
        <f>N52/N142</f>
        <v>#DIV/0!</v>
      </c>
    </row>
    <row r="53" spans="1:15" ht="12.75" customHeight="1" x14ac:dyDescent="0.2">
      <c r="B53" s="130"/>
      <c r="G53" s="52"/>
      <c r="H53" s="501"/>
      <c r="I53" s="52"/>
      <c r="J53" s="52"/>
      <c r="K53" s="52"/>
      <c r="L53" s="52"/>
      <c r="M53" s="52"/>
      <c r="N53" s="15"/>
      <c r="O53" s="25"/>
    </row>
    <row r="54" spans="1:15" ht="12.75" customHeight="1" x14ac:dyDescent="0.2">
      <c r="A54" s="129" t="s">
        <v>124</v>
      </c>
      <c r="B54" s="88" t="s">
        <v>121</v>
      </c>
      <c r="H54" s="505"/>
      <c r="O54" s="61"/>
    </row>
    <row r="55" spans="1:15" ht="12.75" customHeight="1" x14ac:dyDescent="0.2">
      <c r="A55" s="129" t="s">
        <v>125</v>
      </c>
      <c r="B55" s="88" t="s">
        <v>122</v>
      </c>
      <c r="H55" s="505"/>
      <c r="O55" s="61"/>
    </row>
    <row r="56" spans="1:15" ht="12.75" customHeight="1" x14ac:dyDescent="0.2">
      <c r="A56" s="129" t="s">
        <v>126</v>
      </c>
      <c r="B56" s="88" t="s">
        <v>189</v>
      </c>
      <c r="G56" s="97" t="s">
        <v>123</v>
      </c>
      <c r="H56" s="502">
        <f>(H28*0.1*1000)/20000</f>
        <v>0</v>
      </c>
      <c r="I56" s="72">
        <f>VLOOKUP(A56,'[1]TAB OGU JUN18'!$A:$G,6,"falso")</f>
        <v>5.52</v>
      </c>
      <c r="J56" s="72">
        <f>VLOOKUP(A56,'[1]TAB OGU JUN18'!$A:$G,4,"falso")</f>
        <v>5.52</v>
      </c>
      <c r="K56" s="15">
        <f>H56*J56</f>
        <v>0</v>
      </c>
      <c r="L56" s="72">
        <f>VLOOKUP(A56,'[1]TAB OGU JUN18'!$A:$G,5,"falso")</f>
        <v>0</v>
      </c>
      <c r="M56" s="15"/>
      <c r="N56" s="15">
        <f>H56*I56</f>
        <v>0</v>
      </c>
      <c r="O56" s="25" t="e">
        <f>N56/N58</f>
        <v>#DIV/0!</v>
      </c>
    </row>
    <row r="57" spans="1:15" ht="12.75" customHeight="1" x14ac:dyDescent="0.2">
      <c r="B57" s="130"/>
      <c r="G57" s="52"/>
      <c r="H57" s="501"/>
      <c r="I57" s="52"/>
      <c r="J57" s="52"/>
      <c r="K57" s="52"/>
      <c r="L57" s="52"/>
      <c r="M57" s="52"/>
      <c r="N57" s="15"/>
      <c r="O57" s="25"/>
    </row>
    <row r="58" spans="1:15" ht="12.75" customHeight="1" x14ac:dyDescent="0.2">
      <c r="B58" s="130" t="s">
        <v>18</v>
      </c>
      <c r="C58" s="131"/>
      <c r="D58" s="131"/>
      <c r="E58" s="131"/>
      <c r="F58" s="131"/>
      <c r="G58" s="53"/>
      <c r="H58" s="503"/>
      <c r="I58" s="53"/>
      <c r="J58" s="53"/>
      <c r="K58" s="53"/>
      <c r="L58" s="53"/>
      <c r="M58" s="53"/>
      <c r="N58" s="15">
        <f>N56</f>
        <v>0</v>
      </c>
      <c r="O58" s="25" t="e">
        <f>N58/N60</f>
        <v>#DIV/0!</v>
      </c>
    </row>
    <row r="59" spans="1:15" ht="12.75" customHeight="1" x14ac:dyDescent="0.2">
      <c r="B59" s="130"/>
      <c r="G59" s="52"/>
      <c r="H59" s="501"/>
      <c r="I59" s="52"/>
      <c r="J59" s="52"/>
      <c r="K59" s="52"/>
      <c r="L59" s="52"/>
      <c r="M59" s="52"/>
      <c r="N59" s="15"/>
      <c r="O59" s="25"/>
    </row>
    <row r="60" spans="1:15" s="132" customFormat="1" ht="12.75" customHeight="1" x14ac:dyDescent="0.2">
      <c r="B60" s="133" t="s">
        <v>20</v>
      </c>
      <c r="C60" s="134"/>
      <c r="D60" s="134"/>
      <c r="E60" s="134"/>
      <c r="F60" s="134"/>
      <c r="G60" s="78"/>
      <c r="H60" s="504"/>
      <c r="I60" s="78"/>
      <c r="J60" s="78"/>
      <c r="K60" s="78"/>
      <c r="L60" s="78"/>
      <c r="M60" s="78"/>
      <c r="N60" s="83">
        <f>N58</f>
        <v>0</v>
      </c>
      <c r="O60" s="77" t="e">
        <f>N60/N142</f>
        <v>#DIV/0!</v>
      </c>
    </row>
    <row r="61" spans="1:15" ht="12.75" customHeight="1" x14ac:dyDescent="0.2">
      <c r="B61" s="130"/>
      <c r="G61" s="52"/>
      <c r="H61" s="501"/>
      <c r="I61" s="52"/>
      <c r="J61" s="52"/>
      <c r="K61" s="52"/>
      <c r="L61" s="52"/>
      <c r="M61" s="52"/>
      <c r="N61" s="15"/>
      <c r="O61" s="25"/>
    </row>
    <row r="62" spans="1:15" ht="12.75" customHeight="1" x14ac:dyDescent="0.2">
      <c r="A62" s="129" t="s">
        <v>127</v>
      </c>
      <c r="B62" s="88" t="s">
        <v>130</v>
      </c>
      <c r="H62" s="505"/>
      <c r="O62" s="61"/>
    </row>
    <row r="63" spans="1:15" ht="12.75" customHeight="1" x14ac:dyDescent="0.2">
      <c r="A63" s="129" t="s">
        <v>128</v>
      </c>
      <c r="B63" s="88" t="s">
        <v>131</v>
      </c>
      <c r="H63" s="505"/>
      <c r="O63" s="61"/>
    </row>
    <row r="64" spans="1:15" ht="12.75" customHeight="1" x14ac:dyDescent="0.2">
      <c r="A64" s="129" t="s">
        <v>129</v>
      </c>
      <c r="B64" s="88" t="s">
        <v>132</v>
      </c>
      <c r="G64" s="97" t="s">
        <v>17</v>
      </c>
      <c r="H64" s="502">
        <v>0</v>
      </c>
      <c r="I64" s="72">
        <f>VLOOKUP(A64,'[1]TAB OGU JUN18'!$A:$G,6,"falso")</f>
        <v>2.64</v>
      </c>
      <c r="J64" s="72">
        <f>VLOOKUP(A64,'[1]TAB OGU JUN18'!$A:$G,4,"falso")</f>
        <v>2.56</v>
      </c>
      <c r="K64" s="15">
        <f>H64*J64</f>
        <v>0</v>
      </c>
      <c r="L64" s="72">
        <f>VLOOKUP(A64,'[1]TAB OGU JUN18'!$A:$G,5,"falso")</f>
        <v>0.08</v>
      </c>
      <c r="M64" s="15">
        <f>H64*L64</f>
        <v>0</v>
      </c>
      <c r="N64" s="15">
        <f>H64*I64</f>
        <v>0</v>
      </c>
      <c r="O64" s="25" t="e">
        <f>N64/N66</f>
        <v>#DIV/0!</v>
      </c>
    </row>
    <row r="65" spans="1:15" ht="12.75" customHeight="1" x14ac:dyDescent="0.2">
      <c r="B65" s="130"/>
      <c r="G65" s="52"/>
      <c r="H65" s="501"/>
      <c r="I65" s="52"/>
      <c r="J65" s="52"/>
      <c r="K65" s="52"/>
      <c r="L65" s="52"/>
      <c r="M65" s="52"/>
      <c r="N65" s="15"/>
      <c r="O65" s="25"/>
    </row>
    <row r="66" spans="1:15" ht="12.75" customHeight="1" x14ac:dyDescent="0.2">
      <c r="B66" s="130" t="s">
        <v>18</v>
      </c>
      <c r="C66" s="131"/>
      <c r="D66" s="131"/>
      <c r="E66" s="131"/>
      <c r="F66" s="131"/>
      <c r="G66" s="53"/>
      <c r="H66" s="503"/>
      <c r="I66" s="53"/>
      <c r="J66" s="53"/>
      <c r="K66" s="53"/>
      <c r="L66" s="53"/>
      <c r="M66" s="53"/>
      <c r="N66" s="15">
        <f>N64</f>
        <v>0</v>
      </c>
      <c r="O66" s="25" t="e">
        <f>N66/N88</f>
        <v>#DIV/0!</v>
      </c>
    </row>
    <row r="67" spans="1:15" ht="12.75" customHeight="1" x14ac:dyDescent="0.2">
      <c r="B67" s="130"/>
      <c r="G67" s="52"/>
      <c r="H67" s="501"/>
      <c r="I67" s="52"/>
      <c r="J67" s="52"/>
      <c r="K67" s="52"/>
      <c r="L67" s="52"/>
      <c r="M67" s="52"/>
      <c r="N67" s="15"/>
      <c r="O67" s="25"/>
    </row>
    <row r="68" spans="1:15" ht="12.75" hidden="1" customHeight="1" x14ac:dyDescent="0.2">
      <c r="A68" s="129" t="s">
        <v>800</v>
      </c>
      <c r="B68" s="88" t="s">
        <v>801</v>
      </c>
      <c r="H68" s="505"/>
      <c r="O68" s="61"/>
    </row>
    <row r="69" spans="1:15" ht="12.75" hidden="1" customHeight="1" x14ac:dyDescent="0.2">
      <c r="A69" s="129" t="s">
        <v>802</v>
      </c>
      <c r="B69" s="88" t="s">
        <v>182</v>
      </c>
      <c r="G69" s="97" t="s">
        <v>17</v>
      </c>
      <c r="H69" s="502">
        <v>0</v>
      </c>
      <c r="I69" s="72">
        <f>VLOOKUP(A69,'[1]TAB OGU JUN18'!$A:$G,6,"falso")</f>
        <v>4.08</v>
      </c>
      <c r="J69" s="72">
        <f>VLOOKUP(A69,'[1]TAB OGU JUN18'!$A:$G,4,"falso")</f>
        <v>4</v>
      </c>
      <c r="K69" s="15">
        <f>H69*J69</f>
        <v>0</v>
      </c>
      <c r="L69" s="72">
        <f>VLOOKUP(A69,'[1]TAB OGU JUN18'!$A:$G,5,"falso")</f>
        <v>0.08</v>
      </c>
      <c r="M69" s="15">
        <f>H69*L69</f>
        <v>0</v>
      </c>
      <c r="N69" s="15">
        <f>H69*I69</f>
        <v>0</v>
      </c>
      <c r="O69" s="25" t="e">
        <f>N69/N71</f>
        <v>#DIV/0!</v>
      </c>
    </row>
    <row r="70" spans="1:15" ht="12.75" hidden="1" customHeight="1" x14ac:dyDescent="0.2">
      <c r="B70" s="130"/>
      <c r="G70" s="52"/>
      <c r="H70" s="501"/>
      <c r="I70" s="52"/>
      <c r="J70" s="52"/>
      <c r="K70" s="52"/>
      <c r="L70" s="52"/>
      <c r="M70" s="52"/>
      <c r="N70" s="15"/>
      <c r="O70" s="25"/>
    </row>
    <row r="71" spans="1:15" ht="12.75" hidden="1" customHeight="1" x14ac:dyDescent="0.2">
      <c r="B71" s="130" t="s">
        <v>18</v>
      </c>
      <c r="C71" s="131"/>
      <c r="D71" s="131"/>
      <c r="E71" s="131"/>
      <c r="F71" s="131"/>
      <c r="G71" s="53"/>
      <c r="H71" s="503"/>
      <c r="I71" s="53"/>
      <c r="J71" s="53"/>
      <c r="K71" s="53"/>
      <c r="L71" s="53"/>
      <c r="M71" s="53"/>
      <c r="N71" s="15">
        <f>N69</f>
        <v>0</v>
      </c>
      <c r="O71" s="25" t="e">
        <f>N71/N88</f>
        <v>#DIV/0!</v>
      </c>
    </row>
    <row r="72" spans="1:15" ht="12.75" hidden="1" customHeight="1" x14ac:dyDescent="0.2">
      <c r="B72" s="130"/>
      <c r="G72" s="52"/>
      <c r="H72" s="501"/>
      <c r="I72" s="52"/>
      <c r="J72" s="52"/>
      <c r="K72" s="52"/>
      <c r="L72" s="52"/>
      <c r="M72" s="52"/>
      <c r="N72" s="15"/>
      <c r="O72" s="25"/>
    </row>
    <row r="73" spans="1:15" ht="12.75" customHeight="1" x14ac:dyDescent="0.2">
      <c r="A73" s="98" t="s">
        <v>139</v>
      </c>
      <c r="B73" s="88" t="s">
        <v>142</v>
      </c>
      <c r="G73" s="97"/>
      <c r="H73" s="502"/>
      <c r="I73" s="15"/>
      <c r="J73" s="15"/>
      <c r="K73" s="15"/>
      <c r="L73" s="15"/>
      <c r="M73" s="15"/>
      <c r="N73" s="15"/>
      <c r="O73" s="25"/>
    </row>
    <row r="74" spans="1:15" ht="12.75" customHeight="1" x14ac:dyDescent="0.2">
      <c r="A74" s="98" t="s">
        <v>140</v>
      </c>
      <c r="B74" s="88" t="s">
        <v>143</v>
      </c>
      <c r="G74" s="97" t="s">
        <v>24</v>
      </c>
      <c r="H74" s="502">
        <v>0</v>
      </c>
      <c r="I74" s="72">
        <f>VLOOKUP(A74,'[1]TAB OGU JUN18'!$A:$G,6,"falso")</f>
        <v>466.82</v>
      </c>
      <c r="J74" s="72">
        <f>VLOOKUP(A74,'[1]TAB OGU JUN18'!$A:$G,4,"falso")</f>
        <v>143.97</v>
      </c>
      <c r="K74" s="15">
        <f>H74*J74</f>
        <v>0</v>
      </c>
      <c r="L74" s="72">
        <f>VLOOKUP(A74,'[1]TAB OGU JUN18'!$A:$G,5,"falso")</f>
        <v>322.85000000000002</v>
      </c>
      <c r="M74" s="15">
        <f>H74*L74</f>
        <v>0</v>
      </c>
      <c r="N74" s="15">
        <f>H74*I74</f>
        <v>0</v>
      </c>
      <c r="O74" s="25" t="e">
        <f>N74/N76</f>
        <v>#DIV/0!</v>
      </c>
    </row>
    <row r="75" spans="1:15" ht="12.75" customHeight="1" x14ac:dyDescent="0.2">
      <c r="B75" s="130"/>
      <c r="G75" s="52"/>
      <c r="H75" s="501"/>
      <c r="I75" s="52"/>
      <c r="J75" s="52"/>
      <c r="K75" s="52"/>
      <c r="L75" s="52"/>
      <c r="M75" s="52"/>
      <c r="N75" s="15"/>
      <c r="O75" s="25"/>
    </row>
    <row r="76" spans="1:15" ht="12.75" customHeight="1" x14ac:dyDescent="0.2">
      <c r="B76" s="130" t="s">
        <v>18</v>
      </c>
      <c r="C76" s="131"/>
      <c r="D76" s="131"/>
      <c r="E76" s="131"/>
      <c r="F76" s="131"/>
      <c r="G76" s="53"/>
      <c r="H76" s="503"/>
      <c r="I76" s="53"/>
      <c r="J76" s="53"/>
      <c r="K76" s="53"/>
      <c r="L76" s="53"/>
      <c r="M76" s="53"/>
      <c r="N76" s="15">
        <f>N74</f>
        <v>0</v>
      </c>
      <c r="O76" s="25" t="e">
        <f>N76/N88</f>
        <v>#DIV/0!</v>
      </c>
    </row>
    <row r="77" spans="1:15" ht="12.75" customHeight="1" x14ac:dyDescent="0.2">
      <c r="B77" s="130"/>
      <c r="C77" s="492"/>
      <c r="D77" s="492"/>
      <c r="E77" s="492"/>
      <c r="F77" s="492"/>
      <c r="G77" s="493"/>
      <c r="H77" s="509"/>
      <c r="I77" s="493"/>
      <c r="J77" s="493"/>
      <c r="K77" s="493"/>
      <c r="L77" s="493"/>
      <c r="M77" s="493"/>
      <c r="N77" s="15"/>
      <c r="O77" s="25"/>
    </row>
    <row r="78" spans="1:15" ht="12.75" customHeight="1" x14ac:dyDescent="0.2">
      <c r="A78" s="98" t="s">
        <v>1017</v>
      </c>
      <c r="B78" s="88" t="s">
        <v>1018</v>
      </c>
      <c r="G78" s="97"/>
      <c r="H78" s="502"/>
      <c r="I78" s="15"/>
      <c r="J78" s="15"/>
      <c r="K78" s="15"/>
      <c r="L78" s="15"/>
      <c r="M78" s="15"/>
      <c r="N78" s="15"/>
      <c r="O78" s="25"/>
    </row>
    <row r="79" spans="1:15" ht="12.75" customHeight="1" x14ac:dyDescent="0.2">
      <c r="A79" s="98" t="s">
        <v>1019</v>
      </c>
      <c r="B79" s="88" t="s">
        <v>1020</v>
      </c>
      <c r="G79" s="97" t="s">
        <v>24</v>
      </c>
      <c r="H79" s="502">
        <v>0</v>
      </c>
      <c r="I79" s="72">
        <f>VLOOKUP(A79,'[1]TAB OGU JUN18'!$A:$G,6,"falso")</f>
        <v>1668.88</v>
      </c>
      <c r="J79" s="72">
        <f>VLOOKUP(A79,'[1]TAB OGU JUN18'!$A:$G,4,"falso")</f>
        <v>583.24</v>
      </c>
      <c r="K79" s="15">
        <f>H79*J79</f>
        <v>0</v>
      </c>
      <c r="L79" s="72">
        <f>VLOOKUP(A79,'[1]TAB OGU JUN18'!$A:$G,5,"falso")</f>
        <v>1085.6400000000001</v>
      </c>
      <c r="M79" s="15">
        <f>H79*L79</f>
        <v>0</v>
      </c>
      <c r="N79" s="15">
        <f>H79*I79</f>
        <v>0</v>
      </c>
      <c r="O79" s="25" t="e">
        <f>N79/N81</f>
        <v>#DIV/0!</v>
      </c>
    </row>
    <row r="80" spans="1:15" ht="12.75" customHeight="1" x14ac:dyDescent="0.2">
      <c r="A80" s="98"/>
      <c r="B80" s="88"/>
      <c r="G80" s="97"/>
      <c r="H80" s="502"/>
      <c r="I80" s="15"/>
      <c r="J80" s="15"/>
      <c r="K80" s="15"/>
      <c r="L80" s="15"/>
      <c r="M80" s="15"/>
      <c r="N80" s="15"/>
      <c r="O80" s="25"/>
    </row>
    <row r="81" spans="1:17" ht="12.75" customHeight="1" x14ac:dyDescent="0.2">
      <c r="B81" s="130" t="s">
        <v>18</v>
      </c>
      <c r="C81" s="131"/>
      <c r="D81" s="131"/>
      <c r="E81" s="131"/>
      <c r="F81" s="131"/>
      <c r="G81" s="53"/>
      <c r="H81" s="503"/>
      <c r="I81" s="53"/>
      <c r="J81" s="53"/>
      <c r="K81" s="53"/>
      <c r="L81" s="53"/>
      <c r="M81" s="53"/>
      <c r="N81" s="15">
        <f>N79</f>
        <v>0</v>
      </c>
      <c r="O81" s="25" t="e">
        <f>N81/N88</f>
        <v>#DIV/0!</v>
      </c>
    </row>
    <row r="82" spans="1:17" ht="12.75" customHeight="1" x14ac:dyDescent="0.2">
      <c r="B82" s="130"/>
      <c r="G82" s="52"/>
      <c r="H82" s="501"/>
      <c r="I82" s="52"/>
      <c r="J82" s="52"/>
      <c r="K82" s="52"/>
      <c r="L82" s="52"/>
      <c r="M82" s="52"/>
      <c r="N82" s="15"/>
      <c r="O82" s="25"/>
      <c r="Q82" s="589"/>
    </row>
    <row r="83" spans="1:17" ht="12.75" customHeight="1" x14ac:dyDescent="0.2">
      <c r="A83" s="129" t="s">
        <v>145</v>
      </c>
      <c r="B83" s="88" t="s">
        <v>26</v>
      </c>
      <c r="H83" s="505"/>
      <c r="O83" s="61"/>
    </row>
    <row r="84" spans="1:17" ht="12.75" customHeight="1" x14ac:dyDescent="0.2">
      <c r="A84" s="129" t="s">
        <v>146</v>
      </c>
      <c r="B84" s="88" t="s">
        <v>147</v>
      </c>
      <c r="G84" s="97" t="s">
        <v>32</v>
      </c>
      <c r="H84" s="502">
        <f>H64*0.5*0.1</f>
        <v>0</v>
      </c>
      <c r="I84" s="72">
        <f>VLOOKUP(A84,'[1]TAB OGU JUN18'!$A:$G,6,"falso")</f>
        <v>157.99</v>
      </c>
      <c r="J84" s="72">
        <f>VLOOKUP(A84,'[1]TAB OGU JUN18'!$A:$G,4,"falso")</f>
        <v>39.5</v>
      </c>
      <c r="K84" s="15">
        <f>H84*J84</f>
        <v>0</v>
      </c>
      <c r="L84" s="72">
        <f>VLOOKUP(A84,'[1]TAB OGU JUN18'!$A:$G,5,"falso")</f>
        <v>118.49</v>
      </c>
      <c r="M84" s="15">
        <f>H84*L84</f>
        <v>0</v>
      </c>
      <c r="N84" s="15">
        <f>H84*I84</f>
        <v>0</v>
      </c>
      <c r="O84" s="25" t="e">
        <f>N84/N86</f>
        <v>#DIV/0!</v>
      </c>
    </row>
    <row r="85" spans="1:17" ht="12.75" customHeight="1" x14ac:dyDescent="0.2">
      <c r="B85" s="130"/>
      <c r="G85" s="52"/>
      <c r="H85" s="501"/>
      <c r="I85" s="52"/>
      <c r="J85" s="52"/>
      <c r="K85" s="52"/>
      <c r="L85" s="52"/>
      <c r="M85" s="52"/>
      <c r="N85" s="15"/>
      <c r="O85" s="25"/>
    </row>
    <row r="86" spans="1:17" ht="12.75" customHeight="1" x14ac:dyDescent="0.2">
      <c r="B86" s="130" t="s">
        <v>18</v>
      </c>
      <c r="C86" s="131"/>
      <c r="D86" s="131"/>
      <c r="E86" s="131"/>
      <c r="F86" s="131"/>
      <c r="G86" s="53"/>
      <c r="H86" s="503"/>
      <c r="I86" s="53"/>
      <c r="J86" s="53"/>
      <c r="K86" s="53"/>
      <c r="L86" s="53"/>
      <c r="M86" s="53"/>
      <c r="N86" s="15">
        <f>N84</f>
        <v>0</v>
      </c>
      <c r="O86" s="25" t="e">
        <f>N86/N88</f>
        <v>#DIV/0!</v>
      </c>
    </row>
    <row r="87" spans="1:17" ht="12.75" customHeight="1" x14ac:dyDescent="0.2">
      <c r="B87" s="130"/>
      <c r="G87" s="52"/>
      <c r="H87" s="501"/>
      <c r="I87" s="52"/>
      <c r="J87" s="52"/>
      <c r="K87" s="52"/>
      <c r="L87" s="52"/>
      <c r="M87" s="52"/>
      <c r="N87" s="15"/>
      <c r="O87" s="25"/>
    </row>
    <row r="88" spans="1:17" s="132" customFormat="1" ht="12.75" customHeight="1" x14ac:dyDescent="0.2">
      <c r="B88" s="133" t="s">
        <v>20</v>
      </c>
      <c r="C88" s="134"/>
      <c r="D88" s="134"/>
      <c r="E88" s="134"/>
      <c r="F88" s="134"/>
      <c r="G88" s="78"/>
      <c r="H88" s="504"/>
      <c r="I88" s="78"/>
      <c r="J88" s="78"/>
      <c r="K88" s="78"/>
      <c r="L88" s="78"/>
      <c r="M88" s="78"/>
      <c r="N88" s="83">
        <f>N86+N76+N66+N71+N81</f>
        <v>0</v>
      </c>
      <c r="O88" s="77" t="e">
        <f>N88/N142</f>
        <v>#DIV/0!</v>
      </c>
    </row>
    <row r="89" spans="1:17" ht="12.75" customHeight="1" x14ac:dyDescent="0.2">
      <c r="B89" s="130"/>
      <c r="G89" s="52"/>
      <c r="H89" s="501"/>
      <c r="I89" s="52"/>
      <c r="J89" s="52"/>
      <c r="K89" s="52"/>
      <c r="L89" s="52"/>
      <c r="M89" s="52"/>
      <c r="N89" s="15"/>
      <c r="O89" s="25"/>
    </row>
    <row r="90" spans="1:17" ht="12.75" customHeight="1" x14ac:dyDescent="0.2">
      <c r="A90" s="98" t="s">
        <v>406</v>
      </c>
      <c r="B90" s="88" t="s">
        <v>407</v>
      </c>
      <c r="G90" s="52"/>
      <c r="H90" s="501"/>
      <c r="I90" s="52"/>
      <c r="J90" s="52"/>
      <c r="K90" s="52"/>
      <c r="L90" s="52"/>
      <c r="M90" s="52"/>
      <c r="N90" s="52"/>
      <c r="O90" s="19"/>
    </row>
    <row r="91" spans="1:17" ht="12.75" customHeight="1" x14ac:dyDescent="0.2">
      <c r="A91" s="98" t="s">
        <v>408</v>
      </c>
      <c r="B91" s="88" t="s">
        <v>409</v>
      </c>
      <c r="G91" s="52"/>
      <c r="H91" s="501"/>
      <c r="I91" s="52"/>
      <c r="J91" s="52"/>
      <c r="K91" s="52"/>
      <c r="L91" s="52"/>
      <c r="M91" s="52"/>
      <c r="N91" s="52"/>
      <c r="O91" s="19"/>
    </row>
    <row r="92" spans="1:17" s="279" customFormat="1" ht="12.75" customHeight="1" x14ac:dyDescent="0.2">
      <c r="A92" s="98" t="s">
        <v>803</v>
      </c>
      <c r="B92" s="88" t="s">
        <v>804</v>
      </c>
      <c r="C92" s="51"/>
      <c r="D92" s="51"/>
      <c r="E92" s="51"/>
      <c r="F92" s="51"/>
      <c r="G92" s="97" t="s">
        <v>17</v>
      </c>
      <c r="H92" s="502">
        <v>0</v>
      </c>
      <c r="I92" s="72">
        <f>VLOOKUP(A92,'[1]TAB OGU JUN18'!$A:$G,6,"falso")</f>
        <v>4.42</v>
      </c>
      <c r="J92" s="72">
        <f>VLOOKUP(A92,'[1]TAB OGU JUN18'!$A:$G,4,"falso")</f>
        <v>1.5</v>
      </c>
      <c r="K92" s="15">
        <f>H92*J92</f>
        <v>0</v>
      </c>
      <c r="L92" s="72">
        <f>VLOOKUP(A92,'[1]TAB OGU JUN18'!$A:$G,5,"falso")</f>
        <v>2.92</v>
      </c>
      <c r="M92" s="15">
        <f>H92*L92</f>
        <v>0</v>
      </c>
      <c r="N92" s="15">
        <f>H92*I92</f>
        <v>0</v>
      </c>
      <c r="O92" s="25" t="e">
        <f>(N92)/N95</f>
        <v>#DIV/0!</v>
      </c>
    </row>
    <row r="93" spans="1:17" s="279" customFormat="1" ht="12.75" hidden="1" customHeight="1" x14ac:dyDescent="0.2">
      <c r="A93" s="98" t="s">
        <v>1124</v>
      </c>
      <c r="B93" s="88" t="s">
        <v>1123</v>
      </c>
      <c r="C93" s="51"/>
      <c r="D93" s="51"/>
      <c r="E93" s="51"/>
      <c r="F93" s="51"/>
      <c r="G93" s="97" t="s">
        <v>17</v>
      </c>
      <c r="H93" s="502">
        <v>0</v>
      </c>
      <c r="I93" s="72">
        <f>VLOOKUP(A93,'[1]TAB OGU JUN18'!$A:$G,6,"falso")</f>
        <v>7.71</v>
      </c>
      <c r="J93" s="72">
        <f>VLOOKUP(A93,'[1]TAB OGU JUN18'!$A:$G,4,"falso")</f>
        <v>1.69</v>
      </c>
      <c r="K93" s="15">
        <f>H93*J93</f>
        <v>0</v>
      </c>
      <c r="L93" s="72">
        <f>VLOOKUP(A93,'[1]TAB OGU JUN18'!$A:$G,5,"falso")</f>
        <v>6.02</v>
      </c>
      <c r="M93" s="15">
        <f>H93*L93</f>
        <v>0</v>
      </c>
      <c r="N93" s="15">
        <f>H93*I93</f>
        <v>0</v>
      </c>
      <c r="O93" s="25" t="e">
        <f>(N93)/N95</f>
        <v>#DIV/0!</v>
      </c>
    </row>
    <row r="94" spans="1:17" ht="12.75" customHeight="1" x14ac:dyDescent="0.2">
      <c r="A94" s="273"/>
      <c r="B94" s="88"/>
      <c r="G94" s="97"/>
      <c r="H94" s="502"/>
      <c r="K94" s="15"/>
      <c r="L94" s="15"/>
      <c r="M94" s="15"/>
      <c r="N94" s="15"/>
      <c r="O94" s="25"/>
    </row>
    <row r="95" spans="1:17" ht="12.75" customHeight="1" x14ac:dyDescent="0.2">
      <c r="B95" s="130" t="s">
        <v>18</v>
      </c>
      <c r="C95" s="131"/>
      <c r="D95" s="131"/>
      <c r="E95" s="131"/>
      <c r="F95" s="131"/>
      <c r="G95" s="53"/>
      <c r="H95" s="503"/>
      <c r="I95" s="53"/>
      <c r="J95" s="53"/>
      <c r="K95" s="53"/>
      <c r="L95" s="53"/>
      <c r="M95" s="53"/>
      <c r="N95" s="15">
        <f>SUM(N92:N93)</f>
        <v>0</v>
      </c>
      <c r="O95" s="25" t="e">
        <f>N95/N102</f>
        <v>#DIV/0!</v>
      </c>
    </row>
    <row r="96" spans="1:17" ht="12.75" customHeight="1" x14ac:dyDescent="0.2">
      <c r="A96" s="130"/>
      <c r="G96" s="52"/>
      <c r="H96" s="501"/>
      <c r="K96" s="52"/>
      <c r="L96" s="52"/>
      <c r="M96" s="52"/>
      <c r="N96" s="15"/>
      <c r="O96" s="25"/>
    </row>
    <row r="97" spans="1:15" ht="12.75" customHeight="1" x14ac:dyDescent="0.2">
      <c r="A97" s="98" t="s">
        <v>410</v>
      </c>
      <c r="B97" s="88" t="s">
        <v>411</v>
      </c>
      <c r="G97" s="97"/>
      <c r="H97" s="502"/>
      <c r="K97" s="15"/>
      <c r="L97" s="15"/>
      <c r="M97" s="15"/>
      <c r="N97" s="15"/>
      <c r="O97" s="25"/>
    </row>
    <row r="98" spans="1:15" s="279" customFormat="1" ht="12.75" customHeight="1" x14ac:dyDescent="0.2">
      <c r="A98" s="98" t="s">
        <v>418</v>
      </c>
      <c r="B98" s="88" t="s">
        <v>419</v>
      </c>
      <c r="C98" s="51"/>
      <c r="D98" s="51"/>
      <c r="E98" s="51"/>
      <c r="F98" s="51"/>
      <c r="G98" s="97" t="s">
        <v>24</v>
      </c>
      <c r="H98" s="510">
        <v>0</v>
      </c>
      <c r="I98" s="72">
        <f>VLOOKUP(A98,'[1]TAB OGU JUN18'!$A:$G,6,"falso")</f>
        <v>20.95</v>
      </c>
      <c r="J98" s="72">
        <f>VLOOKUP(A98,'[1]TAB OGU JUN18'!$A:$G,4,"falso")</f>
        <v>10.52</v>
      </c>
      <c r="K98" s="15">
        <f>H98*J98</f>
        <v>0</v>
      </c>
      <c r="L98" s="72">
        <f>VLOOKUP(A98,'[1]TAB OGU JUN18'!$A:$G,5,"falso")</f>
        <v>10.43</v>
      </c>
      <c r="M98" s="15">
        <f>H98*L98</f>
        <v>0</v>
      </c>
      <c r="N98" s="15">
        <f>H98*I98</f>
        <v>0</v>
      </c>
      <c r="O98" s="25" t="e">
        <f>N98/N100</f>
        <v>#DIV/0!</v>
      </c>
    </row>
    <row r="99" spans="1:15" ht="12.75" customHeight="1" x14ac:dyDescent="0.2">
      <c r="G99" s="52"/>
      <c r="H99" s="501"/>
      <c r="K99" s="52"/>
      <c r="L99" s="52"/>
      <c r="M99" s="52"/>
      <c r="N99" s="52"/>
      <c r="O99" s="19"/>
    </row>
    <row r="100" spans="1:15" ht="12.75" customHeight="1" x14ac:dyDescent="0.2">
      <c r="B100" s="130" t="s">
        <v>18</v>
      </c>
      <c r="C100" s="131"/>
      <c r="D100" s="131"/>
      <c r="E100" s="131"/>
      <c r="F100" s="131"/>
      <c r="G100" s="53"/>
      <c r="H100" s="503"/>
      <c r="I100" s="53"/>
      <c r="J100" s="53"/>
      <c r="K100" s="53"/>
      <c r="L100" s="53"/>
      <c r="M100" s="53"/>
      <c r="N100" s="15">
        <f>N98</f>
        <v>0</v>
      </c>
      <c r="O100" s="25" t="e">
        <f>N100/N102</f>
        <v>#DIV/0!</v>
      </c>
    </row>
    <row r="101" spans="1:15" ht="12.75" customHeight="1" x14ac:dyDescent="0.2">
      <c r="G101" s="52"/>
      <c r="H101" s="501"/>
      <c r="K101" s="52"/>
      <c r="L101" s="52"/>
      <c r="M101" s="52"/>
      <c r="N101" s="52"/>
      <c r="O101" s="19"/>
    </row>
    <row r="102" spans="1:15" s="132" customFormat="1" ht="12.75" customHeight="1" x14ac:dyDescent="0.2">
      <c r="B102" s="133" t="s">
        <v>20</v>
      </c>
      <c r="C102" s="134"/>
      <c r="D102" s="134"/>
      <c r="E102" s="134"/>
      <c r="F102" s="134"/>
      <c r="G102" s="78"/>
      <c r="H102" s="511"/>
      <c r="I102" s="78"/>
      <c r="J102" s="78"/>
      <c r="K102" s="78"/>
      <c r="L102" s="78"/>
      <c r="M102" s="78"/>
      <c r="N102" s="83">
        <f>N100+N95</f>
        <v>0</v>
      </c>
      <c r="O102" s="77" t="e">
        <f>N102/N142</f>
        <v>#DIV/0!</v>
      </c>
    </row>
    <row r="103" spans="1:15" ht="12.75" customHeight="1" x14ac:dyDescent="0.2">
      <c r="B103" s="130"/>
      <c r="G103" s="52"/>
      <c r="H103" s="501"/>
      <c r="I103" s="52"/>
      <c r="J103" s="52"/>
      <c r="K103" s="52"/>
      <c r="L103" s="52"/>
      <c r="M103" s="52"/>
      <c r="N103" s="15"/>
      <c r="O103" s="25"/>
    </row>
    <row r="104" spans="1:15" ht="12.75" customHeight="1" x14ac:dyDescent="0.2">
      <c r="A104" s="98" t="s">
        <v>426</v>
      </c>
      <c r="B104" s="88" t="s">
        <v>427</v>
      </c>
      <c r="G104" s="97"/>
      <c r="H104" s="502"/>
      <c r="I104" s="15"/>
      <c r="J104" s="15"/>
      <c r="K104" s="15"/>
      <c r="L104" s="15"/>
      <c r="M104" s="15"/>
      <c r="N104" s="15"/>
      <c r="O104" s="25"/>
    </row>
    <row r="105" spans="1:15" ht="12.75" customHeight="1" x14ac:dyDescent="0.2">
      <c r="A105" s="98" t="s">
        <v>805</v>
      </c>
      <c r="B105" s="88" t="s">
        <v>806</v>
      </c>
      <c r="G105" s="97"/>
      <c r="H105" s="502"/>
      <c r="I105" s="15"/>
      <c r="J105" s="15"/>
      <c r="K105" s="15"/>
      <c r="L105" s="15"/>
      <c r="M105" s="15"/>
      <c r="N105" s="15"/>
      <c r="O105" s="25"/>
    </row>
    <row r="106" spans="1:15" ht="12.75" customHeight="1" x14ac:dyDescent="0.2">
      <c r="A106" s="98" t="s">
        <v>807</v>
      </c>
      <c r="B106" s="88" t="s">
        <v>808</v>
      </c>
      <c r="G106" s="97" t="s">
        <v>24</v>
      </c>
      <c r="H106" s="502">
        <v>0</v>
      </c>
      <c r="I106" s="72">
        <f>VLOOKUP(A106,'[1]TAB OGU JUN18'!$A:$G,6,"falso")</f>
        <v>113.02</v>
      </c>
      <c r="J106" s="72">
        <f>VLOOKUP(A106,'[1]TAB OGU JUN18'!$A:$G,4,"falso")</f>
        <v>113.02</v>
      </c>
      <c r="K106" s="15">
        <f>H106*J106</f>
        <v>0</v>
      </c>
      <c r="L106" s="72">
        <f>VLOOKUP(A106,'[1]TAB OGU JUN18'!$A:$G,5,"falso")</f>
        <v>0</v>
      </c>
      <c r="M106" s="15"/>
      <c r="N106" s="15">
        <f>H106*I106</f>
        <v>0</v>
      </c>
      <c r="O106" s="25" t="e">
        <f>N106/N109</f>
        <v>#DIV/0!</v>
      </c>
    </row>
    <row r="107" spans="1:15" ht="12.75" hidden="1" customHeight="1" x14ac:dyDescent="0.2">
      <c r="A107" s="98" t="s">
        <v>1125</v>
      </c>
      <c r="B107" s="88" t="s">
        <v>1126</v>
      </c>
      <c r="G107" s="97" t="s">
        <v>24</v>
      </c>
      <c r="H107" s="502">
        <v>0</v>
      </c>
      <c r="I107" s="72">
        <f>VLOOKUP(A107,'[1]TAB OGU JUN18'!$A:$G,6,"falso")</f>
        <v>707.14</v>
      </c>
      <c r="J107" s="72">
        <f>VLOOKUP(A107,'[1]TAB OGU JUN18'!$A:$G,4,"falso")</f>
        <v>707.14</v>
      </c>
      <c r="K107" s="15">
        <f>H107*J107</f>
        <v>0</v>
      </c>
      <c r="L107" s="72">
        <f>VLOOKUP(A107,'[1]TAB OGU JUN18'!$A:$G,5,"falso")</f>
        <v>0</v>
      </c>
      <c r="M107" s="15"/>
      <c r="N107" s="15">
        <f>H107*I107</f>
        <v>0</v>
      </c>
      <c r="O107" s="25" t="e">
        <f>N107/N109</f>
        <v>#DIV/0!</v>
      </c>
    </row>
    <row r="108" spans="1:15" ht="12.75" customHeight="1" x14ac:dyDescent="0.2">
      <c r="B108" s="130"/>
      <c r="G108" s="52"/>
      <c r="H108" s="501"/>
      <c r="I108" s="52"/>
      <c r="J108" s="52"/>
      <c r="K108" s="52"/>
      <c r="L108" s="52"/>
      <c r="M108" s="52"/>
      <c r="N108" s="15"/>
      <c r="O108" s="25"/>
    </row>
    <row r="109" spans="1:15" ht="12.75" customHeight="1" x14ac:dyDescent="0.2">
      <c r="B109" s="130" t="s">
        <v>18</v>
      </c>
      <c r="C109" s="131"/>
      <c r="D109" s="131"/>
      <c r="E109" s="131"/>
      <c r="F109" s="131"/>
      <c r="G109" s="53"/>
      <c r="H109" s="503"/>
      <c r="I109" s="53"/>
      <c r="J109" s="53"/>
      <c r="K109" s="53"/>
      <c r="L109" s="53"/>
      <c r="M109" s="53"/>
      <c r="N109" s="15">
        <f>SUM(N106:N108)</f>
        <v>0</v>
      </c>
      <c r="O109" s="25" t="e">
        <f>N109/N131</f>
        <v>#DIV/0!</v>
      </c>
    </row>
    <row r="110" spans="1:15" ht="12.75" customHeight="1" x14ac:dyDescent="0.2">
      <c r="A110" s="98"/>
      <c r="B110" s="88"/>
      <c r="G110" s="97"/>
      <c r="H110" s="502"/>
      <c r="I110" s="15"/>
      <c r="J110" s="15"/>
      <c r="K110" s="15"/>
      <c r="L110" s="15"/>
      <c r="M110" s="15"/>
      <c r="N110" s="15"/>
      <c r="O110" s="25"/>
    </row>
    <row r="111" spans="1:15" ht="12.75" customHeight="1" x14ac:dyDescent="0.2">
      <c r="A111" s="98" t="s">
        <v>809</v>
      </c>
      <c r="B111" s="88" t="s">
        <v>428</v>
      </c>
      <c r="G111" s="97"/>
      <c r="H111" s="502"/>
      <c r="I111" s="15"/>
      <c r="J111" s="15"/>
      <c r="K111" s="15"/>
      <c r="L111" s="15"/>
      <c r="M111" s="15"/>
      <c r="N111" s="15"/>
      <c r="O111" s="25"/>
    </row>
    <row r="112" spans="1:15" ht="12.75" customHeight="1" x14ac:dyDescent="0.2">
      <c r="A112" s="98" t="s">
        <v>893</v>
      </c>
      <c r="B112" s="88" t="s">
        <v>894</v>
      </c>
      <c r="G112" s="97" t="s">
        <v>24</v>
      </c>
      <c r="H112" s="502">
        <v>0</v>
      </c>
      <c r="I112" s="72">
        <f>VLOOKUP(A112,'[1]TAB OGU JUN18'!$A:$G,6,"falso")</f>
        <v>90.41</v>
      </c>
      <c r="J112" s="72">
        <f>VLOOKUP(A112,'[1]TAB OGU JUN18'!$A:$G,4,"falso")</f>
        <v>90.41</v>
      </c>
      <c r="K112" s="15">
        <f>H112*J112</f>
        <v>0</v>
      </c>
      <c r="L112" s="72">
        <f>VLOOKUP(A112,'[1]TAB OGU JUN18'!$A:$G,5,"falso")</f>
        <v>0</v>
      </c>
      <c r="M112" s="15"/>
      <c r="N112" s="15">
        <f>H112*I112</f>
        <v>0</v>
      </c>
      <c r="O112" s="25" t="e">
        <f>N112/N116</f>
        <v>#DIV/0!</v>
      </c>
    </row>
    <row r="113" spans="1:18" ht="12.75" customHeight="1" x14ac:dyDescent="0.2">
      <c r="A113" s="98" t="s">
        <v>972</v>
      </c>
      <c r="B113" s="88" t="s">
        <v>973</v>
      </c>
      <c r="G113" s="97" t="s">
        <v>24</v>
      </c>
      <c r="H113" s="502">
        <v>0</v>
      </c>
      <c r="I113" s="72">
        <f>VLOOKUP(A113,'[1]TAB OGU JUN18'!$A:$G,6,"falso")</f>
        <v>446.61</v>
      </c>
      <c r="J113" s="72">
        <f>VLOOKUP(A113,'[1]TAB OGU JUN18'!$A:$G,4,"falso")</f>
        <v>446.61</v>
      </c>
      <c r="K113" s="15">
        <f>H113*J113</f>
        <v>0</v>
      </c>
      <c r="L113" s="72">
        <f>VLOOKUP(A113,'[1]TAB OGU JUN18'!$A:$G,5,"falso")</f>
        <v>0</v>
      </c>
      <c r="M113" s="15"/>
      <c r="N113" s="15">
        <f>H113*I113</f>
        <v>0</v>
      </c>
      <c r="O113" s="25" t="e">
        <f>N113/N116</f>
        <v>#DIV/0!</v>
      </c>
      <c r="R113" s="61" t="s">
        <v>1409</v>
      </c>
    </row>
    <row r="114" spans="1:18" ht="12.75" hidden="1" customHeight="1" x14ac:dyDescent="0.2">
      <c r="A114" s="98" t="s">
        <v>1127</v>
      </c>
      <c r="B114" s="88" t="s">
        <v>1128</v>
      </c>
      <c r="G114" s="97" t="s">
        <v>24</v>
      </c>
      <c r="H114" s="502">
        <v>0</v>
      </c>
      <c r="I114" s="72">
        <f>VLOOKUP(A114,'[1]TAB OGU JUN18'!$A:$G,6,"falso")</f>
        <v>521.04999999999995</v>
      </c>
      <c r="J114" s="72">
        <f>VLOOKUP(A114,'[1]TAB OGU JUN18'!$A:$G,4,"falso")</f>
        <v>521.04999999999995</v>
      </c>
      <c r="K114" s="15">
        <f>H114*J114</f>
        <v>0</v>
      </c>
      <c r="L114" s="72">
        <f>VLOOKUP(A114,'[1]TAB OGU JUN18'!$A:$G,5,"falso")</f>
        <v>0</v>
      </c>
      <c r="M114" s="15"/>
      <c r="N114" s="15">
        <f>H114*I114</f>
        <v>0</v>
      </c>
      <c r="O114" s="25" t="e">
        <f>N114/N116</f>
        <v>#DIV/0!</v>
      </c>
    </row>
    <row r="115" spans="1:18" ht="12.75" customHeight="1" x14ac:dyDescent="0.2">
      <c r="B115" s="130"/>
      <c r="G115" s="52"/>
      <c r="H115" s="501"/>
      <c r="I115" s="52"/>
      <c r="J115" s="52"/>
      <c r="K115" s="52"/>
      <c r="L115" s="52"/>
      <c r="M115" s="52"/>
      <c r="N115" s="15"/>
      <c r="O115" s="25"/>
    </row>
    <row r="116" spans="1:18" ht="12.75" customHeight="1" x14ac:dyDescent="0.2">
      <c r="B116" s="130" t="s">
        <v>18</v>
      </c>
      <c r="C116" s="131"/>
      <c r="D116" s="131"/>
      <c r="E116" s="131"/>
      <c r="F116" s="131"/>
      <c r="G116" s="53"/>
      <c r="H116" s="503"/>
      <c r="I116" s="53"/>
      <c r="J116" s="53"/>
      <c r="K116" s="53"/>
      <c r="L116" s="53"/>
      <c r="M116" s="53"/>
      <c r="N116" s="15">
        <f>SUM(N112:N115)</f>
        <v>0</v>
      </c>
      <c r="O116" s="25" t="e">
        <f>N116/N131</f>
        <v>#DIV/0!</v>
      </c>
    </row>
    <row r="117" spans="1:18" ht="12.75" customHeight="1" x14ac:dyDescent="0.2">
      <c r="A117" s="98"/>
      <c r="B117" s="88"/>
      <c r="G117" s="97"/>
      <c r="H117" s="502"/>
      <c r="I117" s="15"/>
      <c r="J117" s="15"/>
      <c r="K117" s="15"/>
      <c r="L117" s="15"/>
      <c r="M117" s="15"/>
      <c r="N117" s="15"/>
      <c r="O117" s="25"/>
    </row>
    <row r="118" spans="1:18" ht="12.75" customHeight="1" x14ac:dyDescent="0.2">
      <c r="A118" s="98" t="s">
        <v>632</v>
      </c>
      <c r="B118" s="88" t="s">
        <v>447</v>
      </c>
      <c r="G118" s="97"/>
      <c r="H118" s="502"/>
      <c r="I118" s="15"/>
      <c r="J118" s="15"/>
      <c r="K118" s="15"/>
      <c r="L118" s="15"/>
      <c r="M118" s="15"/>
      <c r="N118" s="15"/>
      <c r="O118" s="25"/>
    </row>
    <row r="119" spans="1:18" ht="12.75" customHeight="1" x14ac:dyDescent="0.2">
      <c r="A119" s="98" t="s">
        <v>895</v>
      </c>
      <c r="B119" s="88" t="s">
        <v>896</v>
      </c>
      <c r="G119" s="97" t="s">
        <v>24</v>
      </c>
      <c r="H119" s="502">
        <v>0</v>
      </c>
      <c r="I119" s="72">
        <f>VLOOKUP(A119,'[1]TAB OGU JUN18'!$A:$G,6,"falso")</f>
        <v>17.57</v>
      </c>
      <c r="J119" s="72">
        <f>VLOOKUP(A119,'[1]TAB OGU JUN18'!$A:$G,4,"falso")</f>
        <v>16.989999999999998</v>
      </c>
      <c r="K119" s="15">
        <f t="shared" ref="K119:K127" si="0">H119*J119</f>
        <v>0</v>
      </c>
      <c r="L119" s="72">
        <f>VLOOKUP(A119,'[1]TAB OGU JUN18'!$A:$G,5,"falso")</f>
        <v>0.57999999999999996</v>
      </c>
      <c r="M119" s="15">
        <f>H119*L119</f>
        <v>0</v>
      </c>
      <c r="N119" s="15">
        <f t="shared" ref="N119:N127" si="1">H119*I119</f>
        <v>0</v>
      </c>
      <c r="O119" s="25" t="e">
        <f>N119/N129</f>
        <v>#DIV/0!</v>
      </c>
    </row>
    <row r="120" spans="1:18" ht="12.75" hidden="1" customHeight="1" x14ac:dyDescent="0.2">
      <c r="A120" s="98" t="s">
        <v>1051</v>
      </c>
      <c r="B120" s="88" t="s">
        <v>1052</v>
      </c>
      <c r="G120" s="97" t="s">
        <v>24</v>
      </c>
      <c r="H120" s="502">
        <v>0</v>
      </c>
      <c r="I120" s="72">
        <f>VLOOKUP(A120,'[1]TAB OGU JUN18'!$A:$G,6,"falso")</f>
        <v>19.89</v>
      </c>
      <c r="J120" s="72">
        <f>VLOOKUP(A120,'[1]TAB OGU JUN18'!$A:$G,4,"falso")</f>
        <v>19.25</v>
      </c>
      <c r="K120" s="15">
        <f t="shared" si="0"/>
        <v>0</v>
      </c>
      <c r="L120" s="72">
        <f>VLOOKUP(A120,'[1]TAB OGU JUN18'!$A:$G,5,"falso")</f>
        <v>0.64</v>
      </c>
      <c r="M120" s="15">
        <f>H120*L120</f>
        <v>0</v>
      </c>
      <c r="N120" s="15">
        <f t="shared" si="1"/>
        <v>0</v>
      </c>
      <c r="O120" s="25" t="e">
        <f>N120/N129</f>
        <v>#DIV/0!</v>
      </c>
    </row>
    <row r="121" spans="1:18" ht="12.75" hidden="1" customHeight="1" x14ac:dyDescent="0.2">
      <c r="A121" s="98" t="s">
        <v>1133</v>
      </c>
      <c r="B121" s="88" t="s">
        <v>1134</v>
      </c>
      <c r="G121" s="97" t="s">
        <v>24</v>
      </c>
      <c r="H121" s="502">
        <v>0</v>
      </c>
      <c r="I121" s="72">
        <f>VLOOKUP(A121,'[1]TAB OGU JUN18'!$A:$G,6,"falso")</f>
        <v>25.87</v>
      </c>
      <c r="J121" s="72">
        <f>VLOOKUP(A121,'[1]TAB OGU JUN18'!$A:$G,4,"falso")</f>
        <v>24.91</v>
      </c>
      <c r="K121" s="15">
        <f t="shared" si="0"/>
        <v>0</v>
      </c>
      <c r="L121" s="72">
        <f>VLOOKUP(A121,'[1]TAB OGU JUN18'!$A:$G,5,"falso")</f>
        <v>0.96</v>
      </c>
      <c r="M121" s="15">
        <f>H121*L121</f>
        <v>0</v>
      </c>
      <c r="N121" s="15">
        <f t="shared" si="1"/>
        <v>0</v>
      </c>
      <c r="O121" s="25" t="e">
        <f>N121/N129</f>
        <v>#DIV/0!</v>
      </c>
    </row>
    <row r="122" spans="1:18" ht="12.75" hidden="1" customHeight="1" x14ac:dyDescent="0.2">
      <c r="A122" s="98" t="s">
        <v>1135</v>
      </c>
      <c r="B122" s="88" t="s">
        <v>1136</v>
      </c>
      <c r="G122" s="97" t="s">
        <v>24</v>
      </c>
      <c r="H122" s="502">
        <v>0</v>
      </c>
      <c r="I122" s="72">
        <f>VLOOKUP(A122,'[1]TAB OGU JUN18'!$A:$G,6,"falso")</f>
        <v>33.520000000000003</v>
      </c>
      <c r="J122" s="72">
        <f>VLOOKUP(A122,'[1]TAB OGU JUN18'!$A:$G,4,"falso")</f>
        <v>32.270000000000003</v>
      </c>
      <c r="K122" s="15">
        <f t="shared" si="0"/>
        <v>0</v>
      </c>
      <c r="L122" s="72">
        <f>VLOOKUP(A122,'[1]TAB OGU JUN18'!$A:$G,5,"falso")</f>
        <v>1.25</v>
      </c>
      <c r="M122" s="15">
        <f>H122*L122</f>
        <v>0</v>
      </c>
      <c r="N122" s="15">
        <f t="shared" si="1"/>
        <v>0</v>
      </c>
      <c r="O122" s="25" t="e">
        <f>N122/N129</f>
        <v>#DIV/0!</v>
      </c>
    </row>
    <row r="123" spans="1:18" s="588" customFormat="1" ht="12.75" hidden="1" customHeight="1" x14ac:dyDescent="0.2">
      <c r="A123" s="98" t="s">
        <v>1138</v>
      </c>
      <c r="B123" s="88" t="s">
        <v>1137</v>
      </c>
      <c r="C123" s="61"/>
      <c r="D123" s="61"/>
      <c r="E123" s="61"/>
      <c r="F123" s="61"/>
      <c r="G123" s="97" t="s">
        <v>24</v>
      </c>
      <c r="H123" s="502">
        <v>0</v>
      </c>
      <c r="I123" s="72">
        <f>VLOOKUP(A123,'[1]TAB OGU JUN18'!$A:$G,6,"falso")</f>
        <v>45.3</v>
      </c>
      <c r="J123" s="72">
        <f>VLOOKUP(A123,'[1]TAB OGU JUN18'!$A:$G,4,"falso")</f>
        <v>45.3</v>
      </c>
      <c r="K123" s="15">
        <f t="shared" si="0"/>
        <v>0</v>
      </c>
      <c r="L123" s="72">
        <f>VLOOKUP(A123,'[1]TAB OGU JUN18'!$A:$G,5,"falso")</f>
        <v>0</v>
      </c>
      <c r="M123" s="15"/>
      <c r="N123" s="15">
        <f t="shared" si="1"/>
        <v>0</v>
      </c>
      <c r="O123" s="25" t="e">
        <f>N123/N129</f>
        <v>#DIV/0!</v>
      </c>
    </row>
    <row r="124" spans="1:18" s="588" customFormat="1" ht="12.75" customHeight="1" x14ac:dyDescent="0.2">
      <c r="A124" s="98" t="s">
        <v>1130</v>
      </c>
      <c r="B124" s="88" t="s">
        <v>1129</v>
      </c>
      <c r="C124" s="61"/>
      <c r="D124" s="61"/>
      <c r="E124" s="61"/>
      <c r="F124" s="61"/>
      <c r="G124" s="97" t="s">
        <v>24</v>
      </c>
      <c r="H124" s="502">
        <v>0</v>
      </c>
      <c r="I124" s="72">
        <f>VLOOKUP(A124,'[1]TAB OGU JUN18'!$A:$G,6,"falso")</f>
        <v>56.62</v>
      </c>
      <c r="J124" s="72">
        <f>VLOOKUP(A124,'[1]TAB OGU JUN18'!$A:$G,4,"falso")</f>
        <v>56.62</v>
      </c>
      <c r="K124" s="15">
        <f t="shared" si="0"/>
        <v>0</v>
      </c>
      <c r="L124" s="72">
        <f>VLOOKUP(A124,'[1]TAB OGU JUN18'!$A:$G,5,"falso")</f>
        <v>0</v>
      </c>
      <c r="M124" s="15"/>
      <c r="N124" s="15">
        <f t="shared" si="1"/>
        <v>0</v>
      </c>
      <c r="O124" s="25" t="e">
        <f>N124/N129</f>
        <v>#DIV/0!</v>
      </c>
    </row>
    <row r="125" spans="1:18" s="588" customFormat="1" ht="12.75" hidden="1" customHeight="1" x14ac:dyDescent="0.2">
      <c r="A125" s="98" t="s">
        <v>662</v>
      </c>
      <c r="B125" s="88" t="s">
        <v>663</v>
      </c>
      <c r="C125" s="61"/>
      <c r="D125" s="61"/>
      <c r="E125" s="61"/>
      <c r="F125" s="61"/>
      <c r="G125" s="97" t="s">
        <v>24</v>
      </c>
      <c r="H125" s="502">
        <v>0</v>
      </c>
      <c r="I125" s="72">
        <f>VLOOKUP(A125,'[1]TAB OGU JUN18'!$A:$G,6,"falso")</f>
        <v>56.62</v>
      </c>
      <c r="J125" s="72">
        <f>VLOOKUP(A125,'[1]TAB OGU JUN18'!$A:$G,4,"falso")</f>
        <v>56.62</v>
      </c>
      <c r="K125" s="15">
        <f t="shared" si="0"/>
        <v>0</v>
      </c>
      <c r="L125" s="72">
        <f>VLOOKUP(A125,'[1]TAB OGU JUN18'!$A:$G,5,"falso")</f>
        <v>0</v>
      </c>
      <c r="M125" s="15"/>
      <c r="N125" s="15">
        <f t="shared" si="1"/>
        <v>0</v>
      </c>
      <c r="O125" s="25" t="e">
        <f>N125/N129</f>
        <v>#DIV/0!</v>
      </c>
    </row>
    <row r="126" spans="1:18" s="588" customFormat="1" ht="12.75" hidden="1" customHeight="1" x14ac:dyDescent="0.2">
      <c r="A126" s="98" t="s">
        <v>1132</v>
      </c>
      <c r="B126" s="88" t="s">
        <v>1131</v>
      </c>
      <c r="C126" s="61"/>
      <c r="D126" s="61"/>
      <c r="E126" s="61"/>
      <c r="F126" s="61"/>
      <c r="G126" s="97" t="s">
        <v>24</v>
      </c>
      <c r="H126" s="502">
        <v>0</v>
      </c>
      <c r="I126" s="72">
        <f>VLOOKUP(A126,'[1]TAB OGU JUN18'!$A:$G,6,"falso")</f>
        <v>67.94</v>
      </c>
      <c r="J126" s="72">
        <f>VLOOKUP(A126,'[1]TAB OGU JUN18'!$A:$G,4,"falso")</f>
        <v>67.94</v>
      </c>
      <c r="K126" s="15">
        <f t="shared" si="0"/>
        <v>0</v>
      </c>
      <c r="L126" s="72">
        <f>VLOOKUP(A126,'[1]TAB OGU JUN18'!$A:$G,5,"falso")</f>
        <v>0</v>
      </c>
      <c r="M126" s="15"/>
      <c r="N126" s="15">
        <f t="shared" si="1"/>
        <v>0</v>
      </c>
      <c r="O126" s="25" t="e">
        <f>N126/N129</f>
        <v>#DIV/0!</v>
      </c>
    </row>
    <row r="127" spans="1:18" s="588" customFormat="1" ht="12.75" hidden="1" customHeight="1" x14ac:dyDescent="0.2">
      <c r="A127" s="98" t="s">
        <v>925</v>
      </c>
      <c r="B127" s="88" t="s">
        <v>926</v>
      </c>
      <c r="C127" s="61"/>
      <c r="D127" s="61"/>
      <c r="E127" s="61"/>
      <c r="F127" s="61"/>
      <c r="G127" s="97" t="s">
        <v>24</v>
      </c>
      <c r="H127" s="502">
        <v>0</v>
      </c>
      <c r="I127" s="72">
        <f>VLOOKUP(A127,'[1]TAB OGU JUN18'!$A:$G,6,"falso")</f>
        <v>79.27</v>
      </c>
      <c r="J127" s="72">
        <f>VLOOKUP(A127,'[1]TAB OGU JUN18'!$A:$G,4,"falso")</f>
        <v>79.27</v>
      </c>
      <c r="K127" s="15">
        <f t="shared" si="0"/>
        <v>0</v>
      </c>
      <c r="L127" s="72">
        <f>VLOOKUP(A127,'[1]TAB OGU JUN18'!$A:$G,5,"falso")</f>
        <v>0</v>
      </c>
      <c r="M127" s="15"/>
      <c r="N127" s="15">
        <f t="shared" si="1"/>
        <v>0</v>
      </c>
      <c r="O127" s="25" t="e">
        <f>N127/N129</f>
        <v>#DIV/0!</v>
      </c>
    </row>
    <row r="128" spans="1:18" ht="12.75" customHeight="1" x14ac:dyDescent="0.2">
      <c r="B128" s="130"/>
      <c r="G128" s="52"/>
      <c r="H128" s="501"/>
      <c r="I128" s="52"/>
      <c r="J128" s="52"/>
      <c r="K128" s="52"/>
      <c r="L128" s="52"/>
      <c r="M128" s="52"/>
      <c r="N128" s="15"/>
      <c r="O128" s="25"/>
    </row>
    <row r="129" spans="1:17" ht="12.75" customHeight="1" x14ac:dyDescent="0.2">
      <c r="B129" s="130" t="s">
        <v>18</v>
      </c>
      <c r="C129" s="131"/>
      <c r="D129" s="131"/>
      <c r="E129" s="131"/>
      <c r="F129" s="131"/>
      <c r="G129" s="53"/>
      <c r="H129" s="503"/>
      <c r="I129" s="53"/>
      <c r="J129" s="53"/>
      <c r="K129" s="53"/>
      <c r="L129" s="53"/>
      <c r="M129" s="53"/>
      <c r="N129" s="15">
        <f>SUM(N119:N128)</f>
        <v>0</v>
      </c>
      <c r="O129" s="25" t="e">
        <f>N129/N131</f>
        <v>#DIV/0!</v>
      </c>
      <c r="Q129" s="589"/>
    </row>
    <row r="130" spans="1:17" s="132" customFormat="1" ht="12.75" customHeight="1" x14ac:dyDescent="0.2">
      <c r="A130" s="98"/>
      <c r="B130" s="88"/>
      <c r="C130" s="51"/>
      <c r="D130" s="51"/>
      <c r="E130" s="51"/>
      <c r="F130" s="51"/>
      <c r="G130" s="97"/>
      <c r="H130" s="502"/>
      <c r="I130" s="15"/>
      <c r="J130" s="15"/>
      <c r="K130" s="15"/>
      <c r="L130" s="15"/>
      <c r="M130" s="15"/>
      <c r="N130" s="15"/>
      <c r="O130" s="25"/>
    </row>
    <row r="131" spans="1:17" ht="12.75" customHeight="1" x14ac:dyDescent="0.2">
      <c r="A131" s="145"/>
      <c r="B131" s="133" t="s">
        <v>20</v>
      </c>
      <c r="C131" s="134"/>
      <c r="D131" s="134"/>
      <c r="E131" s="134"/>
      <c r="F131" s="134"/>
      <c r="G131" s="78"/>
      <c r="H131" s="504"/>
      <c r="I131" s="78"/>
      <c r="J131" s="78"/>
      <c r="K131" s="78"/>
      <c r="L131" s="78"/>
      <c r="M131" s="78"/>
      <c r="N131" s="83">
        <f>N129+N109+N116</f>
        <v>0</v>
      </c>
      <c r="O131" s="77" t="e">
        <f>N131/N142</f>
        <v>#DIV/0!</v>
      </c>
    </row>
    <row r="132" spans="1:17" ht="12.75" customHeight="1" x14ac:dyDescent="0.2">
      <c r="B132" s="130"/>
      <c r="G132" s="52"/>
      <c r="H132" s="501"/>
      <c r="I132" s="52"/>
      <c r="J132" s="52"/>
      <c r="K132" s="52"/>
      <c r="L132" s="52"/>
      <c r="M132" s="52"/>
      <c r="N132" s="15"/>
      <c r="O132" s="25"/>
    </row>
    <row r="133" spans="1:17" ht="12.75" customHeight="1" x14ac:dyDescent="0.2">
      <c r="A133" s="98" t="s">
        <v>169</v>
      </c>
      <c r="B133" s="88" t="s">
        <v>172</v>
      </c>
      <c r="G133" s="97"/>
      <c r="H133" s="502"/>
      <c r="I133" s="15"/>
      <c r="J133" s="15"/>
      <c r="K133" s="15"/>
      <c r="L133" s="15"/>
      <c r="M133" s="15"/>
      <c r="N133" s="15"/>
      <c r="O133" s="25"/>
    </row>
    <row r="134" spans="1:17" ht="12.75" customHeight="1" x14ac:dyDescent="0.2">
      <c r="A134" s="98" t="s">
        <v>170</v>
      </c>
      <c r="B134" s="88" t="s">
        <v>173</v>
      </c>
      <c r="G134" s="97"/>
      <c r="H134" s="502"/>
      <c r="I134" s="15"/>
      <c r="J134" s="15"/>
      <c r="K134" s="15"/>
      <c r="L134" s="15"/>
      <c r="M134" s="15"/>
      <c r="N134" s="15"/>
      <c r="O134" s="25"/>
    </row>
    <row r="135" spans="1:17" ht="12.75" customHeight="1" x14ac:dyDescent="0.2">
      <c r="A135" s="98" t="s">
        <v>187</v>
      </c>
      <c r="B135" s="88" t="s">
        <v>223</v>
      </c>
      <c r="G135" s="97" t="s">
        <v>17</v>
      </c>
      <c r="H135" s="502">
        <f>H64</f>
        <v>0</v>
      </c>
      <c r="I135" s="72">
        <f>VLOOKUP(A135,'[1]TAB OGU JUN18'!$A:$G,6,"falso")</f>
        <v>1.23</v>
      </c>
      <c r="J135" s="72">
        <f>VLOOKUP(A135,'[1]TAB OGU JUN18'!$A:$G,4,"falso")</f>
        <v>1.23</v>
      </c>
      <c r="K135" s="15">
        <f>H135*J135</f>
        <v>0</v>
      </c>
      <c r="L135" s="72">
        <f>VLOOKUP(A135,'[1]TAB OGU JUN18'!$A:$G,5,"falso")</f>
        <v>0</v>
      </c>
      <c r="M135" s="15"/>
      <c r="N135" s="15">
        <f>H135*I135</f>
        <v>0</v>
      </c>
      <c r="O135" s="25" t="e">
        <f>N135/N138</f>
        <v>#DIV/0!</v>
      </c>
    </row>
    <row r="136" spans="1:17" ht="12.75" customHeight="1" x14ac:dyDescent="0.2">
      <c r="A136" s="98" t="s">
        <v>171</v>
      </c>
      <c r="B136" s="88" t="s">
        <v>174</v>
      </c>
      <c r="G136" s="97" t="s">
        <v>17</v>
      </c>
      <c r="H136" s="502">
        <f>H135</f>
        <v>0</v>
      </c>
      <c r="I136" s="72">
        <f>VLOOKUP(A136,'[1]TAB OGU JUN18'!$A:$G,6,"falso")</f>
        <v>1.31</v>
      </c>
      <c r="J136" s="72">
        <f>VLOOKUP(A136,'[1]TAB OGU JUN18'!$A:$G,4,"falso")</f>
        <v>1.1399999999999999</v>
      </c>
      <c r="K136" s="15">
        <f>H136*J136</f>
        <v>0</v>
      </c>
      <c r="L136" s="72">
        <f>VLOOKUP(A136,'[1]TAB OGU JUN18'!$A:$G,5,"falso")</f>
        <v>0.17</v>
      </c>
      <c r="M136" s="15">
        <f>H136*L136</f>
        <v>0</v>
      </c>
      <c r="N136" s="15">
        <f>H136*I136</f>
        <v>0</v>
      </c>
      <c r="O136" s="25" t="e">
        <f>N136/N138</f>
        <v>#DIV/0!</v>
      </c>
    </row>
    <row r="137" spans="1:17" ht="12.75" customHeight="1" x14ac:dyDescent="0.2">
      <c r="B137" s="130"/>
      <c r="G137" s="52"/>
      <c r="H137" s="501"/>
      <c r="I137" s="52"/>
      <c r="J137" s="52"/>
      <c r="K137" s="52"/>
      <c r="L137" s="52"/>
      <c r="M137" s="52"/>
      <c r="N137" s="15"/>
      <c r="O137" s="25"/>
    </row>
    <row r="138" spans="1:17" ht="12.75" customHeight="1" x14ac:dyDescent="0.2">
      <c r="B138" s="130" t="s">
        <v>18</v>
      </c>
      <c r="C138" s="131"/>
      <c r="D138" s="131"/>
      <c r="E138" s="131"/>
      <c r="F138" s="131"/>
      <c r="G138" s="53"/>
      <c r="H138" s="503"/>
      <c r="I138" s="53"/>
      <c r="J138" s="53"/>
      <c r="K138" s="53"/>
      <c r="L138" s="53"/>
      <c r="M138" s="53"/>
      <c r="N138" s="15">
        <f>SUM(N135:N136)</f>
        <v>0</v>
      </c>
      <c r="O138" s="25" t="e">
        <f>N138/N140</f>
        <v>#DIV/0!</v>
      </c>
    </row>
    <row r="139" spans="1:17" s="132" customFormat="1" ht="12.75" customHeight="1" x14ac:dyDescent="0.2">
      <c r="A139" s="98"/>
      <c r="B139" s="88"/>
      <c r="C139" s="51"/>
      <c r="D139" s="51"/>
      <c r="E139" s="51"/>
      <c r="F139" s="51"/>
      <c r="G139" s="97"/>
      <c r="H139" s="502"/>
      <c r="I139" s="15"/>
      <c r="J139" s="15"/>
      <c r="K139" s="15"/>
      <c r="L139" s="15"/>
      <c r="M139" s="15"/>
      <c r="N139" s="15"/>
      <c r="O139" s="25"/>
    </row>
    <row r="140" spans="1:17" x14ac:dyDescent="0.2">
      <c r="A140" s="145"/>
      <c r="B140" s="133" t="s">
        <v>20</v>
      </c>
      <c r="C140" s="134"/>
      <c r="D140" s="134"/>
      <c r="E140" s="134"/>
      <c r="F140" s="134"/>
      <c r="G140" s="78"/>
      <c r="H140" s="455"/>
      <c r="I140" s="78"/>
      <c r="J140" s="78"/>
      <c r="K140" s="78"/>
      <c r="L140" s="78"/>
      <c r="M140" s="78"/>
      <c r="N140" s="83">
        <f>N138</f>
        <v>0</v>
      </c>
      <c r="O140" s="77" t="e">
        <f>N140/N142</f>
        <v>#DIV/0!</v>
      </c>
    </row>
    <row r="141" spans="1:17" s="148" customFormat="1" ht="12.75" customHeight="1" x14ac:dyDescent="0.2">
      <c r="A141" s="51"/>
      <c r="B141" s="51"/>
      <c r="C141" s="51"/>
      <c r="D141" s="51"/>
      <c r="E141" s="51"/>
      <c r="F141" s="51"/>
      <c r="G141" s="52"/>
      <c r="H141" s="52"/>
      <c r="I141" s="52"/>
      <c r="J141" s="52"/>
      <c r="K141" s="52"/>
      <c r="L141" s="52"/>
      <c r="M141" s="52"/>
      <c r="N141" s="52"/>
      <c r="O141" s="19"/>
      <c r="P141" s="281"/>
    </row>
    <row r="142" spans="1:17" ht="12.75" customHeight="1" x14ac:dyDescent="0.2">
      <c r="A142" s="148"/>
      <c r="B142" s="280" t="s">
        <v>30</v>
      </c>
      <c r="C142" s="148"/>
      <c r="D142" s="148"/>
      <c r="E142" s="148"/>
      <c r="F142" s="148"/>
      <c r="G142" s="148"/>
      <c r="H142" s="148"/>
      <c r="I142" s="148"/>
      <c r="J142" s="148"/>
      <c r="K142" s="274">
        <f>SUM(K13:K141)</f>
        <v>0</v>
      </c>
      <c r="L142" s="457"/>
      <c r="M142" s="274">
        <f>SUM(M13:M141)</f>
        <v>0</v>
      </c>
      <c r="N142" s="458">
        <f>N24+N52+N60+N88+N102+N140+N131</f>
        <v>0</v>
      </c>
      <c r="O142" s="148"/>
    </row>
    <row r="143" spans="1:17" s="148" customFormat="1" ht="12.75" customHeight="1" x14ac:dyDescent="0.2">
      <c r="A143" s="51"/>
      <c r="B143" s="51"/>
      <c r="C143" s="51"/>
      <c r="D143" s="51"/>
      <c r="E143" s="51"/>
      <c r="F143" s="51"/>
      <c r="G143" s="52"/>
      <c r="H143" s="52"/>
      <c r="I143" s="52"/>
      <c r="J143" s="52"/>
      <c r="K143" s="52"/>
      <c r="L143" s="52"/>
      <c r="M143" s="52"/>
      <c r="N143" s="52"/>
      <c r="O143" s="19"/>
      <c r="P143" s="281"/>
    </row>
    <row r="144" spans="1:17" ht="12.75" customHeight="1" x14ac:dyDescent="0.2">
      <c r="A144" s="148"/>
      <c r="B144" s="280" t="s">
        <v>265</v>
      </c>
      <c r="C144" s="148"/>
      <c r="D144" s="148"/>
      <c r="E144" s="148"/>
      <c r="F144" s="148"/>
      <c r="G144" s="148"/>
      <c r="H144" s="148"/>
      <c r="I144" s="148"/>
      <c r="J144" s="148"/>
      <c r="K144" s="274">
        <f>K142+(K142*O5)</f>
        <v>0</v>
      </c>
      <c r="L144" s="457"/>
      <c r="M144" s="274">
        <f>M142+(M142*O7)</f>
        <v>0</v>
      </c>
      <c r="N144" s="458">
        <f>K144+M144</f>
        <v>0</v>
      </c>
      <c r="O144" s="29">
        <f>N144/RESUMO!H95</f>
        <v>0</v>
      </c>
    </row>
    <row r="147" spans="1:15" ht="12.75" customHeight="1" x14ac:dyDescent="0.2">
      <c r="K147" s="311"/>
    </row>
    <row r="148" spans="1:15" ht="12.75" customHeight="1" x14ac:dyDescent="0.2">
      <c r="M148" s="311">
        <f>K142+M142</f>
        <v>0</v>
      </c>
      <c r="N148" s="311"/>
    </row>
    <row r="155" spans="1:15" ht="12.75" customHeight="1" x14ac:dyDescent="0.2">
      <c r="A155" s="150"/>
      <c r="B155" s="150"/>
      <c r="C155" s="150"/>
      <c r="D155" s="150"/>
      <c r="E155" s="150"/>
      <c r="F155" s="150"/>
      <c r="G155" s="150"/>
      <c r="H155" s="150"/>
      <c r="I155" s="150"/>
      <c r="J155" s="150"/>
      <c r="K155" s="150"/>
      <c r="L155" s="150"/>
      <c r="M155" s="150"/>
      <c r="N155" s="211"/>
      <c r="O155" s="211"/>
    </row>
    <row r="156" spans="1:15" ht="12.75" customHeight="1" x14ac:dyDescent="0.2">
      <c r="A156" s="88"/>
      <c r="C156" s="184"/>
      <c r="D156" s="184"/>
      <c r="E156" s="184"/>
      <c r="F156" s="184"/>
      <c r="G156" s="184"/>
      <c r="H156" s="184"/>
      <c r="I156" s="184"/>
      <c r="J156" s="184"/>
      <c r="K156" s="184"/>
      <c r="L156" s="184"/>
      <c r="M156" s="184"/>
      <c r="N156" s="184"/>
      <c r="O156" s="459"/>
    </row>
  </sheetData>
  <mergeCells count="3">
    <mergeCell ref="A2:O2"/>
    <mergeCell ref="N4:O4"/>
    <mergeCell ref="A5:B6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legacyDrawingHF r:id="rId2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>
    <tabColor theme="9" tint="0.39997558519241921"/>
    <pageSetUpPr fitToPage="1"/>
  </sheetPr>
  <dimension ref="A1:R266"/>
  <sheetViews>
    <sheetView view="pageBreakPreview" zoomScale="90" zoomScaleNormal="90" zoomScaleSheetLayoutView="90" workbookViewId="0">
      <selection activeCell="R246" sqref="R246"/>
    </sheetView>
  </sheetViews>
  <sheetFormatPr defaultRowHeight="12.75" customHeight="1" x14ac:dyDescent="0.2"/>
  <cols>
    <col min="1" max="5" width="9.140625" style="51"/>
    <col min="6" max="6" width="31.7109375" style="51" customWidth="1"/>
    <col min="7" max="7" width="9.140625" style="51"/>
    <col min="8" max="9" width="11.42578125" style="51" customWidth="1"/>
    <col min="10" max="10" width="12.7109375" style="51" hidden="1" customWidth="1"/>
    <col min="11" max="11" width="14.28515625" style="51" customWidth="1"/>
    <col min="12" max="12" width="8.42578125" style="51" hidden="1" customWidth="1"/>
    <col min="13" max="13" width="14.28515625" style="51" customWidth="1"/>
    <col min="14" max="14" width="17.140625" style="51" customWidth="1"/>
    <col min="15" max="15" width="11.42578125" style="51" customWidth="1"/>
    <col min="16" max="16384" width="9.140625" style="51"/>
  </cols>
  <sheetData>
    <row r="1" spans="1:15" ht="7.5" customHeight="1" x14ac:dyDescent="0.2"/>
    <row r="2" spans="1:15" ht="12.75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5" ht="7.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</row>
    <row r="4" spans="1:15" ht="12.75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5" ht="12.75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5" ht="12.75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5" ht="12.75" customHeight="1" x14ac:dyDescent="0.2">
      <c r="A7" s="697"/>
      <c r="B7" s="697"/>
      <c r="C7" s="260" t="s">
        <v>6</v>
      </c>
      <c r="D7" s="263" t="str">
        <f>RESUMO!A84</f>
        <v>U.C. : 14</v>
      </c>
      <c r="E7" s="258"/>
      <c r="F7" s="258"/>
      <c r="G7" s="260" t="s">
        <v>9</v>
      </c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5" ht="12.75" customHeight="1" x14ac:dyDescent="0.2">
      <c r="A8" s="697"/>
      <c r="B8" s="697"/>
      <c r="C8" s="260"/>
      <c r="D8" s="263"/>
      <c r="E8" s="258"/>
      <c r="F8" s="258"/>
      <c r="G8" s="260"/>
      <c r="J8" s="277"/>
      <c r="K8" s="277"/>
      <c r="L8" s="277"/>
      <c r="M8" s="277" t="s">
        <v>774</v>
      </c>
      <c r="N8" s="261"/>
      <c r="O8" s="234"/>
    </row>
    <row r="9" spans="1:15" ht="12.75" customHeight="1" thickBot="1" x14ac:dyDescent="0.25">
      <c r="A9" s="124"/>
      <c r="B9" s="125"/>
      <c r="C9" s="266" t="s">
        <v>8</v>
      </c>
      <c r="D9" s="267" t="str">
        <f>RESUMO!B84</f>
        <v>ESTAÇÃO ELEVATÓRIA DE ESGOTO - EEE02</v>
      </c>
      <c r="E9" s="268"/>
      <c r="F9" s="268"/>
      <c r="G9" s="266"/>
      <c r="H9" s="123"/>
      <c r="I9" s="278"/>
      <c r="J9" s="278"/>
      <c r="K9" s="278"/>
      <c r="L9" s="278"/>
      <c r="M9" s="278" t="s">
        <v>654</v>
      </c>
      <c r="N9" s="271"/>
      <c r="O9" s="268"/>
    </row>
    <row r="10" spans="1:15" ht="12.75" customHeight="1" thickTop="1" x14ac:dyDescent="0.2">
      <c r="A10" s="126"/>
      <c r="B10" s="126" t="s">
        <v>10</v>
      </c>
      <c r="C10" s="127"/>
      <c r="D10" s="127"/>
      <c r="E10" s="127"/>
      <c r="F10" s="127"/>
      <c r="G10" s="128" t="s">
        <v>11</v>
      </c>
      <c r="H10" s="128" t="s">
        <v>12</v>
      </c>
      <c r="I10" s="128" t="s">
        <v>13</v>
      </c>
      <c r="J10" s="128"/>
      <c r="K10" s="128" t="s">
        <v>212</v>
      </c>
      <c r="L10" s="128"/>
      <c r="M10" s="128" t="s">
        <v>213</v>
      </c>
      <c r="N10" s="128" t="s">
        <v>14</v>
      </c>
      <c r="O10" s="128" t="s">
        <v>15</v>
      </c>
    </row>
    <row r="11" spans="1:15" ht="7.5" customHeight="1" x14ac:dyDescent="0.2">
      <c r="O11" s="61"/>
    </row>
    <row r="12" spans="1:15" ht="12.75" customHeight="1" x14ac:dyDescent="0.2">
      <c r="A12" s="93">
        <f>RESUMO!A78</f>
        <v>4</v>
      </c>
      <c r="B12" s="93" t="str">
        <f>RESUMO!B78</f>
        <v>INTERLIGAÇÕES - MATERIAIS</v>
      </c>
      <c r="O12" s="61"/>
    </row>
    <row r="13" spans="1:15" ht="12.75" customHeight="1" x14ac:dyDescent="0.2">
      <c r="A13" s="129">
        <v>21</v>
      </c>
      <c r="B13" s="88" t="s">
        <v>818</v>
      </c>
      <c r="H13" s="505"/>
      <c r="O13" s="61"/>
    </row>
    <row r="14" spans="1:15" ht="12.75" hidden="1" customHeight="1" x14ac:dyDescent="0.2">
      <c r="A14" s="98">
        <v>2104</v>
      </c>
      <c r="B14" s="88" t="s">
        <v>819</v>
      </c>
      <c r="G14" s="52"/>
      <c r="H14" s="501"/>
      <c r="I14" s="52"/>
      <c r="J14" s="52"/>
      <c r="K14" s="52"/>
      <c r="L14" s="52"/>
      <c r="M14" s="52"/>
      <c r="N14" s="52"/>
      <c r="O14" s="19"/>
    </row>
    <row r="15" spans="1:15" ht="12.75" hidden="1" customHeight="1" x14ac:dyDescent="0.2">
      <c r="A15" s="98" t="s">
        <v>1140</v>
      </c>
      <c r="B15" s="88" t="s">
        <v>1141</v>
      </c>
      <c r="G15" s="97" t="s">
        <v>24</v>
      </c>
      <c r="H15" s="502">
        <v>0</v>
      </c>
      <c r="I15" s="72">
        <f>VLOOKUP(A15,'[1]TAB OGU JUN18'!$A:$G,6,"falso")</f>
        <v>54.11</v>
      </c>
      <c r="J15" s="72">
        <f>VLOOKUP(A15,'[1]TAB OGU JUN18'!$A:$G,4,"falso")</f>
        <v>0</v>
      </c>
      <c r="K15" s="15"/>
      <c r="L15" s="72">
        <f>VLOOKUP(A15,'[1]TAB OGU JUN18'!$A:$G,5,"falso")</f>
        <v>54.11</v>
      </c>
      <c r="M15" s="15">
        <f>H15*L15</f>
        <v>0</v>
      </c>
      <c r="N15" s="15">
        <f>H15*I15</f>
        <v>0</v>
      </c>
      <c r="O15" s="25" t="e">
        <f>N15/N18</f>
        <v>#DIV/0!</v>
      </c>
    </row>
    <row r="16" spans="1:15" ht="12.75" hidden="1" customHeight="1" x14ac:dyDescent="0.2">
      <c r="A16" s="98" t="s">
        <v>820</v>
      </c>
      <c r="B16" s="88" t="s">
        <v>1139</v>
      </c>
      <c r="G16" s="97" t="s">
        <v>24</v>
      </c>
      <c r="H16" s="502">
        <v>0</v>
      </c>
      <c r="I16" s="72">
        <f>VLOOKUP(A16,'[1]TAB OGU JUN18'!$A:$G,6,"falso")</f>
        <v>64.37</v>
      </c>
      <c r="J16" s="72">
        <f>VLOOKUP(A16,'[1]TAB OGU JUN18'!$A:$G,4,"falso")</f>
        <v>0</v>
      </c>
      <c r="K16" s="15"/>
      <c r="L16" s="72">
        <f>VLOOKUP(A16,'[1]TAB OGU JUN18'!$A:$G,5,"falso")</f>
        <v>64.37</v>
      </c>
      <c r="M16" s="15">
        <f>H16*L16</f>
        <v>0</v>
      </c>
      <c r="N16" s="15">
        <f>H16*I16</f>
        <v>0</v>
      </c>
      <c r="O16" s="25" t="e">
        <f>N16/N18</f>
        <v>#DIV/0!</v>
      </c>
    </row>
    <row r="17" spans="1:16" ht="12.75" hidden="1" customHeight="1" x14ac:dyDescent="0.2">
      <c r="G17" s="52"/>
      <c r="H17" s="501"/>
      <c r="I17" s="52"/>
      <c r="J17" s="52"/>
      <c r="K17" s="52"/>
      <c r="L17" s="52"/>
      <c r="M17" s="52"/>
      <c r="N17" s="52"/>
      <c r="O17" s="19"/>
    </row>
    <row r="18" spans="1:16" ht="12.75" hidden="1" customHeight="1" x14ac:dyDescent="0.2">
      <c r="B18" s="130" t="s">
        <v>18</v>
      </c>
      <c r="C18" s="131"/>
      <c r="D18" s="131"/>
      <c r="E18" s="131"/>
      <c r="F18" s="131"/>
      <c r="G18" s="53"/>
      <c r="H18" s="503"/>
      <c r="I18" s="53"/>
      <c r="J18" s="53"/>
      <c r="K18" s="53"/>
      <c r="L18" s="53"/>
      <c r="M18" s="53"/>
      <c r="N18" s="15">
        <f>SUM(N15:N16)</f>
        <v>0</v>
      </c>
      <c r="O18" s="25" t="e">
        <f>N18/N64</f>
        <v>#DIV/0!</v>
      </c>
    </row>
    <row r="19" spans="1:16" ht="12.75" hidden="1" customHeight="1" x14ac:dyDescent="0.2">
      <c r="B19" s="130"/>
      <c r="G19" s="52"/>
      <c r="H19" s="501"/>
      <c r="I19" s="52"/>
      <c r="J19" s="52"/>
      <c r="K19" s="52"/>
      <c r="L19" s="52"/>
      <c r="M19" s="52"/>
      <c r="N19" s="15"/>
      <c r="O19" s="25"/>
    </row>
    <row r="20" spans="1:16" ht="12.75" customHeight="1" x14ac:dyDescent="0.2">
      <c r="A20" s="98">
        <v>2112</v>
      </c>
      <c r="B20" s="88" t="s">
        <v>821</v>
      </c>
      <c r="G20" s="52"/>
      <c r="H20" s="501"/>
      <c r="I20" s="52"/>
      <c r="J20" s="52"/>
      <c r="K20" s="52"/>
      <c r="L20" s="52"/>
      <c r="M20" s="52"/>
      <c r="N20" s="52"/>
      <c r="O20" s="19"/>
    </row>
    <row r="21" spans="1:16" ht="12.75" customHeight="1" x14ac:dyDescent="0.2">
      <c r="A21" s="98" t="s">
        <v>1021</v>
      </c>
      <c r="B21" s="88" t="s">
        <v>897</v>
      </c>
      <c r="G21" s="97" t="s">
        <v>24</v>
      </c>
      <c r="H21" s="502">
        <v>0</v>
      </c>
      <c r="I21" s="72">
        <f>VLOOKUP(A21,'[1]TAB OGU JUN18'!$A:$G,6,"falso")</f>
        <v>235.27</v>
      </c>
      <c r="J21" s="72">
        <f>VLOOKUP(A21,'[1]TAB OGU JUN18'!$A:$G,4,"falso")</f>
        <v>0</v>
      </c>
      <c r="K21" s="15"/>
      <c r="L21" s="72">
        <f>VLOOKUP(A21,'[1]TAB OGU JUN18'!$A:$G,5,"falso")</f>
        <v>235.27</v>
      </c>
      <c r="M21" s="15">
        <f>H21*L21</f>
        <v>0</v>
      </c>
      <c r="N21" s="15">
        <f>H21*I21</f>
        <v>0</v>
      </c>
      <c r="O21" s="25" t="e">
        <f>N21/N25</f>
        <v>#DIV/0!</v>
      </c>
    </row>
    <row r="22" spans="1:16" ht="12.75" hidden="1" customHeight="1" x14ac:dyDescent="0.2">
      <c r="A22" s="98" t="s">
        <v>1142</v>
      </c>
      <c r="B22" s="88" t="s">
        <v>1143</v>
      </c>
      <c r="G22" s="97" t="s">
        <v>24</v>
      </c>
      <c r="H22" s="502">
        <v>0</v>
      </c>
      <c r="I22" s="72">
        <f>VLOOKUP(A22,'[1]TAB OGU JUN18'!$A:$G,6,"falso")</f>
        <v>269.87</v>
      </c>
      <c r="J22" s="72">
        <f>VLOOKUP(A22,'[1]TAB OGU JUN18'!$A:$G,4,"falso")</f>
        <v>0</v>
      </c>
      <c r="K22" s="15"/>
      <c r="L22" s="72">
        <f>VLOOKUP(A22,'[1]TAB OGU JUN18'!$A:$G,5,"falso")</f>
        <v>269.87</v>
      </c>
      <c r="M22" s="15">
        <f>H22*L22</f>
        <v>0</v>
      </c>
      <c r="N22" s="15">
        <f>H22*I22</f>
        <v>0</v>
      </c>
      <c r="O22" s="25" t="e">
        <f>N22/N25</f>
        <v>#DIV/0!</v>
      </c>
      <c r="P22" s="602"/>
    </row>
    <row r="23" spans="1:16" ht="12.75" hidden="1" customHeight="1" x14ac:dyDescent="0.2">
      <c r="A23" s="98" t="s">
        <v>1144</v>
      </c>
      <c r="B23" s="88" t="s">
        <v>1145</v>
      </c>
      <c r="G23" s="97" t="s">
        <v>24</v>
      </c>
      <c r="H23" s="502">
        <v>0</v>
      </c>
      <c r="I23" s="72">
        <f>VLOOKUP(A23,'[1]TAB OGU JUN18'!$A:$G,6,"falso")</f>
        <v>587.28</v>
      </c>
      <c r="J23" s="72">
        <f>VLOOKUP(A23,'[1]TAB OGU JUN18'!$A:$G,4,"falso")</f>
        <v>0</v>
      </c>
      <c r="K23" s="15"/>
      <c r="L23" s="72">
        <f>VLOOKUP(A23,'[1]TAB OGU JUN18'!$A:$G,5,"falso")</f>
        <v>587.28</v>
      </c>
      <c r="M23" s="15">
        <f>H23*L23</f>
        <v>0</v>
      </c>
      <c r="N23" s="15">
        <f>H23*I23</f>
        <v>0</v>
      </c>
      <c r="O23" s="25" t="e">
        <f>N23/N25</f>
        <v>#DIV/0!</v>
      </c>
    </row>
    <row r="24" spans="1:16" ht="12.75" customHeight="1" x14ac:dyDescent="0.2">
      <c r="G24" s="52"/>
      <c r="H24" s="501"/>
      <c r="I24" s="52"/>
      <c r="J24" s="52"/>
      <c r="K24" s="52"/>
      <c r="L24" s="52"/>
      <c r="M24" s="52"/>
      <c r="N24" s="52"/>
      <c r="O24" s="19"/>
    </row>
    <row r="25" spans="1:16" ht="12.75" customHeight="1" x14ac:dyDescent="0.2">
      <c r="B25" s="130" t="s">
        <v>18</v>
      </c>
      <c r="C25" s="131"/>
      <c r="D25" s="131"/>
      <c r="E25" s="131"/>
      <c r="F25" s="131"/>
      <c r="G25" s="53"/>
      <c r="H25" s="503"/>
      <c r="I25" s="53"/>
      <c r="J25" s="53"/>
      <c r="K25" s="53"/>
      <c r="L25" s="53"/>
      <c r="M25" s="53"/>
      <c r="N25" s="15">
        <f>SUM(N21:N23)</f>
        <v>0</v>
      </c>
      <c r="O25" s="25" t="e">
        <f>N25/N64</f>
        <v>#DIV/0!</v>
      </c>
    </row>
    <row r="26" spans="1:16" ht="12.75" customHeight="1" x14ac:dyDescent="0.2">
      <c r="B26" s="130"/>
      <c r="C26" s="492"/>
      <c r="D26" s="492"/>
      <c r="E26" s="492"/>
      <c r="F26" s="492"/>
      <c r="G26" s="493"/>
      <c r="H26" s="509"/>
      <c r="I26" s="493"/>
      <c r="J26" s="493"/>
      <c r="K26" s="493"/>
      <c r="L26" s="493"/>
      <c r="M26" s="493"/>
      <c r="N26" s="15"/>
      <c r="O26" s="25"/>
    </row>
    <row r="27" spans="1:16" ht="12.75" customHeight="1" x14ac:dyDescent="0.2">
      <c r="A27" s="519">
        <v>2103</v>
      </c>
      <c r="B27" s="130" t="s">
        <v>482</v>
      </c>
      <c r="G27" s="52"/>
      <c r="H27" s="501"/>
      <c r="I27" s="52"/>
      <c r="J27" s="52"/>
      <c r="K27" s="52"/>
      <c r="L27" s="52"/>
      <c r="M27" s="52"/>
      <c r="N27" s="15"/>
      <c r="O27" s="25"/>
    </row>
    <row r="28" spans="1:16" ht="12.75" hidden="1" customHeight="1" x14ac:dyDescent="0.2">
      <c r="A28" s="129" t="s">
        <v>1151</v>
      </c>
      <c r="B28" s="88" t="s">
        <v>1150</v>
      </c>
      <c r="G28" s="97" t="s">
        <v>24</v>
      </c>
      <c r="H28" s="502">
        <v>0</v>
      </c>
      <c r="I28" s="72">
        <f>VLOOKUP(A28,'[1]TAB OGU JUN18'!$A:$G,6,"falso")</f>
        <v>15.54</v>
      </c>
      <c r="J28" s="72">
        <f>VLOOKUP(A28,'[1]TAB OGU JUN18'!$A:$G,4,"falso")</f>
        <v>0</v>
      </c>
      <c r="K28" s="15"/>
      <c r="L28" s="72">
        <f>VLOOKUP(A28,'[1]TAB OGU JUN18'!$A:$G,5,"falso")</f>
        <v>15.54</v>
      </c>
      <c r="M28" s="15">
        <f>H28*L28</f>
        <v>0</v>
      </c>
      <c r="N28" s="15">
        <f>H28*I28</f>
        <v>0</v>
      </c>
      <c r="O28" s="25" t="e">
        <f>N28/N34</f>
        <v>#DIV/0!</v>
      </c>
    </row>
    <row r="29" spans="1:16" ht="12.75" hidden="1" customHeight="1" x14ac:dyDescent="0.2">
      <c r="A29" s="129" t="s">
        <v>1152</v>
      </c>
      <c r="B29" s="88" t="s">
        <v>1153</v>
      </c>
      <c r="G29" s="97" t="s">
        <v>24</v>
      </c>
      <c r="H29" s="502">
        <v>0</v>
      </c>
      <c r="I29" s="72">
        <f>VLOOKUP(A29,'[1]TAB OGU JUN18'!$A:$G,6,"falso")</f>
        <v>15.54</v>
      </c>
      <c r="J29" s="72">
        <f>VLOOKUP(A29,'[1]TAB OGU JUN18'!$A:$G,4,"falso")</f>
        <v>0</v>
      </c>
      <c r="K29" s="15"/>
      <c r="L29" s="72">
        <f>VLOOKUP(A29,'[1]TAB OGU JUN18'!$A:$G,5,"falso")</f>
        <v>15.54</v>
      </c>
      <c r="M29" s="15">
        <f>H29*L29</f>
        <v>0</v>
      </c>
      <c r="N29" s="15">
        <f>H29*I29</f>
        <v>0</v>
      </c>
      <c r="O29" s="25" t="e">
        <f>N29/N34</f>
        <v>#DIV/0!</v>
      </c>
    </row>
    <row r="30" spans="1:16" ht="12.75" customHeight="1" x14ac:dyDescent="0.2">
      <c r="A30" s="129" t="s">
        <v>484</v>
      </c>
      <c r="B30" s="88" t="s">
        <v>485</v>
      </c>
      <c r="G30" s="97" t="s">
        <v>24</v>
      </c>
      <c r="H30" s="502">
        <v>0</v>
      </c>
      <c r="I30" s="72">
        <f>VLOOKUP(A30,'[1]TAB OGU JUN18'!$A:$G,6,"falso")</f>
        <v>29.78</v>
      </c>
      <c r="J30" s="72">
        <f>VLOOKUP(A30,'[1]TAB OGU JUN18'!$A:$G,4,"falso")</f>
        <v>0</v>
      </c>
      <c r="K30" s="15"/>
      <c r="L30" s="72">
        <f>VLOOKUP(A30,'[1]TAB OGU JUN18'!$A:$G,5,"falso")</f>
        <v>29.78</v>
      </c>
      <c r="M30" s="15">
        <f>H30*L30</f>
        <v>0</v>
      </c>
      <c r="N30" s="15">
        <f>H30*I30</f>
        <v>0</v>
      </c>
      <c r="O30" s="25" t="e">
        <f>N30/N34</f>
        <v>#DIV/0!</v>
      </c>
      <c r="P30" s="586"/>
    </row>
    <row r="31" spans="1:16" ht="12.75" hidden="1" customHeight="1" x14ac:dyDescent="0.2">
      <c r="A31" s="129" t="s">
        <v>1146</v>
      </c>
      <c r="B31" s="88" t="s">
        <v>1147</v>
      </c>
      <c r="G31" s="97" t="s">
        <v>24</v>
      </c>
      <c r="H31" s="502">
        <v>0</v>
      </c>
      <c r="I31" s="72">
        <f>VLOOKUP(A31,'[1]TAB OGU JUN18'!$A:$G,6,"falso")</f>
        <v>59.56</v>
      </c>
      <c r="J31" s="72">
        <f>VLOOKUP(A31,'[1]TAB OGU JUN18'!$A:$G,4,"falso")</f>
        <v>0</v>
      </c>
      <c r="K31" s="15"/>
      <c r="L31" s="72">
        <f>VLOOKUP(A31,'[1]TAB OGU JUN18'!$A:$G,5,"falso")</f>
        <v>59.56</v>
      </c>
      <c r="M31" s="15">
        <f>H31*L31</f>
        <v>0</v>
      </c>
      <c r="N31" s="15">
        <f>H31*I31</f>
        <v>0</v>
      </c>
      <c r="O31" s="25" t="e">
        <f>N31/N34</f>
        <v>#DIV/0!</v>
      </c>
    </row>
    <row r="32" spans="1:16" ht="12.75" hidden="1" customHeight="1" x14ac:dyDescent="0.2">
      <c r="A32" s="129" t="s">
        <v>1148</v>
      </c>
      <c r="B32" s="88" t="s">
        <v>1149</v>
      </c>
      <c r="G32" s="97" t="s">
        <v>24</v>
      </c>
      <c r="H32" s="502">
        <v>0</v>
      </c>
      <c r="I32" s="72">
        <f>VLOOKUP(A32,'[1]TAB OGU JUN18'!$A:$G,6,"falso")</f>
        <v>62.15</v>
      </c>
      <c r="J32" s="72">
        <f>VLOOKUP(A32,'[1]TAB OGU JUN18'!$A:$G,4,"falso")</f>
        <v>0</v>
      </c>
      <c r="K32" s="15"/>
      <c r="L32" s="72">
        <f>VLOOKUP(A32,'[1]TAB OGU JUN18'!$A:$G,5,"falso")</f>
        <v>62.15</v>
      </c>
      <c r="M32" s="15">
        <f>H32*L32</f>
        <v>0</v>
      </c>
      <c r="N32" s="15">
        <f>H32*I32</f>
        <v>0</v>
      </c>
      <c r="O32" s="25" t="e">
        <f>N32/N34</f>
        <v>#DIV/0!</v>
      </c>
    </row>
    <row r="33" spans="1:17" ht="12.75" customHeight="1" x14ac:dyDescent="0.2">
      <c r="B33" s="130"/>
      <c r="G33" s="52"/>
      <c r="H33" s="501"/>
      <c r="I33" s="52"/>
      <c r="J33" s="52"/>
      <c r="K33" s="52"/>
      <c r="L33" s="52"/>
      <c r="M33" s="52"/>
      <c r="N33" s="15"/>
      <c r="O33" s="25"/>
    </row>
    <row r="34" spans="1:17" ht="12.75" customHeight="1" x14ac:dyDescent="0.2">
      <c r="B34" s="130" t="s">
        <v>18</v>
      </c>
      <c r="C34" s="131"/>
      <c r="D34" s="131"/>
      <c r="E34" s="131"/>
      <c r="F34" s="131"/>
      <c r="G34" s="53"/>
      <c r="H34" s="503"/>
      <c r="I34" s="53"/>
      <c r="J34" s="53"/>
      <c r="K34" s="53"/>
      <c r="L34" s="53"/>
      <c r="M34" s="53"/>
      <c r="N34" s="15">
        <f>SUM(N28:N32)</f>
        <v>0</v>
      </c>
      <c r="O34" s="25" t="e">
        <f>N34/N64</f>
        <v>#DIV/0!</v>
      </c>
    </row>
    <row r="35" spans="1:17" ht="12.75" hidden="1" customHeight="1" x14ac:dyDescent="0.2">
      <c r="B35" s="130"/>
      <c r="C35" s="492"/>
      <c r="D35" s="492"/>
      <c r="E35" s="492"/>
      <c r="F35" s="492"/>
      <c r="G35" s="493"/>
      <c r="H35" s="509"/>
      <c r="I35" s="493"/>
      <c r="J35" s="493"/>
      <c r="K35" s="493"/>
      <c r="L35" s="493"/>
      <c r="M35" s="493"/>
      <c r="N35" s="15"/>
      <c r="O35" s="25"/>
    </row>
    <row r="36" spans="1:17" ht="12.75" hidden="1" customHeight="1" x14ac:dyDescent="0.2">
      <c r="A36" s="519">
        <v>2116</v>
      </c>
      <c r="B36" s="130" t="s">
        <v>1154</v>
      </c>
      <c r="G36" s="52"/>
      <c r="H36" s="501"/>
      <c r="I36" s="52"/>
      <c r="J36" s="52"/>
      <c r="K36" s="52"/>
      <c r="L36" s="52"/>
      <c r="M36" s="52"/>
      <c r="N36" s="15"/>
      <c r="O36" s="25"/>
    </row>
    <row r="37" spans="1:17" ht="12.75" hidden="1" customHeight="1" x14ac:dyDescent="0.2">
      <c r="A37" s="129" t="s">
        <v>1155</v>
      </c>
      <c r="B37" s="88" t="s">
        <v>1156</v>
      </c>
      <c r="G37" s="97" t="s">
        <v>24</v>
      </c>
      <c r="H37" s="502">
        <v>0</v>
      </c>
      <c r="I37" s="72">
        <f>VLOOKUP(A37,'[1]TAB OGU JUN18'!$A:$G,6,"falso")</f>
        <v>117.66</v>
      </c>
      <c r="J37" s="72">
        <f>VLOOKUP(A37,'[1]TAB OGU JUN18'!$A:$G,4,"falso")</f>
        <v>0</v>
      </c>
      <c r="K37" s="15"/>
      <c r="L37" s="72">
        <f>VLOOKUP(A37,'[1]TAB OGU JUN18'!$A:$G,5,"falso")</f>
        <v>117.66</v>
      </c>
      <c r="M37" s="15">
        <f>H37*L37</f>
        <v>0</v>
      </c>
      <c r="N37" s="15">
        <f>H37*I37</f>
        <v>0</v>
      </c>
      <c r="O37" s="25" t="e">
        <f>N37/N43</f>
        <v>#DIV/0!</v>
      </c>
    </row>
    <row r="38" spans="1:17" ht="12.75" hidden="1" customHeight="1" x14ac:dyDescent="0.2">
      <c r="A38" s="129" t="s">
        <v>1157</v>
      </c>
      <c r="B38" s="88" t="s">
        <v>1160</v>
      </c>
      <c r="G38" s="97" t="s">
        <v>24</v>
      </c>
      <c r="H38" s="502">
        <v>0</v>
      </c>
      <c r="I38" s="72">
        <f>VLOOKUP(A38,'[1]TAB OGU JUN18'!$A:$G,6,"falso")</f>
        <v>152.21</v>
      </c>
      <c r="J38" s="72">
        <f>VLOOKUP(A38,'[1]TAB OGU JUN18'!$A:$G,4,"falso")</f>
        <v>0</v>
      </c>
      <c r="K38" s="15"/>
      <c r="L38" s="72">
        <f>VLOOKUP(A38,'[1]TAB OGU JUN18'!$A:$G,5,"falso")</f>
        <v>152.21</v>
      </c>
      <c r="M38" s="15">
        <f>H38*L38</f>
        <v>0</v>
      </c>
      <c r="N38" s="15">
        <f>H38*I38</f>
        <v>0</v>
      </c>
      <c r="O38" s="25" t="e">
        <f>N38/N43</f>
        <v>#DIV/0!</v>
      </c>
      <c r="P38" s="586"/>
    </row>
    <row r="39" spans="1:17" ht="12.75" hidden="1" customHeight="1" x14ac:dyDescent="0.2">
      <c r="A39" s="129" t="s">
        <v>1158</v>
      </c>
      <c r="B39" s="88" t="s">
        <v>1161</v>
      </c>
      <c r="G39" s="97" t="s">
        <v>24</v>
      </c>
      <c r="H39" s="502">
        <v>0</v>
      </c>
      <c r="I39" s="72">
        <f>VLOOKUP(A39,'[1]TAB OGU JUN18'!$A:$G,6,"falso")</f>
        <v>186.83</v>
      </c>
      <c r="J39" s="72">
        <f>VLOOKUP(A39,'[1]TAB OGU JUN18'!$A:$G,4,"falso")</f>
        <v>0</v>
      </c>
      <c r="K39" s="15"/>
      <c r="L39" s="72">
        <f>VLOOKUP(A39,'[1]TAB OGU JUN18'!$A:$G,5,"falso")</f>
        <v>186.83</v>
      </c>
      <c r="M39" s="15">
        <f>H39*L39</f>
        <v>0</v>
      </c>
      <c r="N39" s="15">
        <f>H39*I39</f>
        <v>0</v>
      </c>
      <c r="O39" s="25" t="e">
        <f>N39/N43</f>
        <v>#DIV/0!</v>
      </c>
    </row>
    <row r="40" spans="1:17" ht="12.75" hidden="1" customHeight="1" x14ac:dyDescent="0.2">
      <c r="A40" s="129" t="s">
        <v>1159</v>
      </c>
      <c r="B40" s="88" t="s">
        <v>1162</v>
      </c>
      <c r="G40" s="97" t="s">
        <v>24</v>
      </c>
      <c r="H40" s="502">
        <v>0</v>
      </c>
      <c r="I40" s="72">
        <f>VLOOKUP(A40,'[1]TAB OGU JUN18'!$A:$G,6,"falso")</f>
        <v>249.08</v>
      </c>
      <c r="J40" s="72">
        <f>VLOOKUP(A40,'[1]TAB OGU JUN18'!$A:$G,4,"falso")</f>
        <v>0</v>
      </c>
      <c r="K40" s="15"/>
      <c r="L40" s="72">
        <f>VLOOKUP(A40,'[1]TAB OGU JUN18'!$A:$G,5,"falso")</f>
        <v>249.08</v>
      </c>
      <c r="M40" s="15">
        <f>H40*L40</f>
        <v>0</v>
      </c>
      <c r="N40" s="15">
        <f>H40*I40</f>
        <v>0</v>
      </c>
      <c r="O40" s="25" t="e">
        <f>N40/N43</f>
        <v>#DIV/0!</v>
      </c>
    </row>
    <row r="41" spans="1:17" ht="12.75" hidden="1" customHeight="1" x14ac:dyDescent="0.2">
      <c r="A41" s="129" t="s">
        <v>1163</v>
      </c>
      <c r="B41" s="88" t="s">
        <v>1164</v>
      </c>
      <c r="G41" s="97" t="s">
        <v>24</v>
      </c>
      <c r="H41" s="502">
        <v>0</v>
      </c>
      <c r="I41" s="72">
        <f>VLOOKUP(A41,'[1]TAB OGU JUN18'!$A:$G,6,"falso")</f>
        <v>372.49</v>
      </c>
      <c r="J41" s="72">
        <f>VLOOKUP(A41,'[1]TAB OGU JUN18'!$A:$G,4,"falso")</f>
        <v>0</v>
      </c>
      <c r="K41" s="15"/>
      <c r="L41" s="72">
        <f>VLOOKUP(A41,'[1]TAB OGU JUN18'!$A:$G,5,"falso")</f>
        <v>372.49</v>
      </c>
      <c r="M41" s="15">
        <f>H41*L41</f>
        <v>0</v>
      </c>
      <c r="N41" s="15">
        <f>H41*I41</f>
        <v>0</v>
      </c>
      <c r="O41" s="25" t="e">
        <f>N41/N43</f>
        <v>#DIV/0!</v>
      </c>
    </row>
    <row r="42" spans="1:17" ht="12.75" hidden="1" customHeight="1" x14ac:dyDescent="0.2">
      <c r="B42" s="130"/>
      <c r="C42" s="492"/>
      <c r="D42" s="492"/>
      <c r="E42" s="492"/>
      <c r="F42" s="492"/>
      <c r="G42" s="493"/>
      <c r="H42" s="509"/>
      <c r="I42" s="493"/>
      <c r="J42" s="493"/>
      <c r="K42" s="493"/>
      <c r="L42" s="493"/>
      <c r="M42" s="493"/>
      <c r="N42" s="15"/>
      <c r="O42" s="25"/>
    </row>
    <row r="43" spans="1:17" ht="12.75" hidden="1" customHeight="1" x14ac:dyDescent="0.2">
      <c r="B43" s="130" t="s">
        <v>18</v>
      </c>
      <c r="C43" s="131"/>
      <c r="D43" s="131"/>
      <c r="E43" s="131"/>
      <c r="F43" s="131"/>
      <c r="G43" s="53"/>
      <c r="H43" s="503"/>
      <c r="I43" s="53"/>
      <c r="J43" s="53"/>
      <c r="K43" s="53"/>
      <c r="L43" s="53"/>
      <c r="M43" s="53"/>
      <c r="N43" s="15">
        <f>SUM(N37:N41)</f>
        <v>0</v>
      </c>
      <c r="O43" s="25" t="e">
        <f>N43/N64</f>
        <v>#DIV/0!</v>
      </c>
    </row>
    <row r="44" spans="1:17" ht="12.75" hidden="1" customHeight="1" x14ac:dyDescent="0.2">
      <c r="B44" s="130"/>
      <c r="C44" s="492"/>
      <c r="D44" s="492"/>
      <c r="E44" s="492"/>
      <c r="F44" s="492"/>
      <c r="G44" s="493"/>
      <c r="H44" s="509"/>
      <c r="I44" s="493"/>
      <c r="J44" s="493"/>
      <c r="K44" s="493"/>
      <c r="L44" s="493"/>
      <c r="M44" s="493"/>
      <c r="N44" s="15"/>
      <c r="O44" s="25"/>
      <c r="Q44" s="602"/>
    </row>
    <row r="45" spans="1:17" ht="12.75" hidden="1" customHeight="1" x14ac:dyDescent="0.2">
      <c r="A45" s="519">
        <v>2125</v>
      </c>
      <c r="B45" s="130" t="s">
        <v>1053</v>
      </c>
      <c r="G45" s="52"/>
      <c r="H45" s="501"/>
      <c r="I45" s="52"/>
      <c r="J45" s="52"/>
      <c r="K45" s="52"/>
      <c r="L45" s="52"/>
      <c r="M45" s="52"/>
      <c r="N45" s="15"/>
      <c r="O45" s="25"/>
    </row>
    <row r="46" spans="1:17" ht="12.75" hidden="1" customHeight="1" x14ac:dyDescent="0.2">
      <c r="A46" s="129" t="s">
        <v>1054</v>
      </c>
      <c r="B46" s="88" t="s">
        <v>1055</v>
      </c>
      <c r="G46" s="97" t="s">
        <v>24</v>
      </c>
      <c r="H46" s="502">
        <v>0</v>
      </c>
      <c r="I46" s="72">
        <f>VLOOKUP(A46,'[1]TAB OGU JUN18'!$A:$G,6,"falso")</f>
        <v>69.17</v>
      </c>
      <c r="J46" s="72">
        <f>VLOOKUP(A46,'[1]TAB OGU JUN18'!$A:$G,4,"falso")</f>
        <v>0</v>
      </c>
      <c r="K46" s="15"/>
      <c r="L46" s="72">
        <f>VLOOKUP(A46,'[1]TAB OGU JUN18'!$A:$G,5,"falso")</f>
        <v>69.17</v>
      </c>
      <c r="M46" s="15">
        <f>H46*L46</f>
        <v>0</v>
      </c>
      <c r="N46" s="15">
        <f>H46*I46</f>
        <v>0</v>
      </c>
      <c r="O46" s="25" t="e">
        <f>N46/N51</f>
        <v>#DIV/0!</v>
      </c>
    </row>
    <row r="47" spans="1:17" ht="12.75" hidden="1" customHeight="1" x14ac:dyDescent="0.2">
      <c r="A47" s="129" t="s">
        <v>1056</v>
      </c>
      <c r="B47" s="88" t="s">
        <v>1057</v>
      </c>
      <c r="G47" s="97" t="s">
        <v>24</v>
      </c>
      <c r="H47" s="502">
        <v>0</v>
      </c>
      <c r="I47" s="72">
        <f>VLOOKUP(A47,'[1]TAB OGU JUN18'!$A:$G,6,"falso")</f>
        <v>79.58</v>
      </c>
      <c r="J47" s="72">
        <f>VLOOKUP(A47,'[1]TAB OGU JUN18'!$A:$G,4,"falso")</f>
        <v>0</v>
      </c>
      <c r="K47" s="15"/>
      <c r="L47" s="72">
        <f>VLOOKUP(A47,'[1]TAB OGU JUN18'!$A:$G,5,"falso")</f>
        <v>79.58</v>
      </c>
      <c r="M47" s="15">
        <f>H47*L47</f>
        <v>0</v>
      </c>
      <c r="N47" s="15">
        <f>H47*I47</f>
        <v>0</v>
      </c>
      <c r="O47" s="25" t="e">
        <f>N47/N51</f>
        <v>#DIV/0!</v>
      </c>
    </row>
    <row r="48" spans="1:17" ht="12.75" hidden="1" customHeight="1" x14ac:dyDescent="0.2">
      <c r="A48" s="129" t="s">
        <v>1165</v>
      </c>
      <c r="B48" s="88" t="s">
        <v>1166</v>
      </c>
      <c r="G48" s="97" t="s">
        <v>24</v>
      </c>
      <c r="H48" s="502">
        <v>0</v>
      </c>
      <c r="I48" s="72">
        <f>VLOOKUP(A48,'[1]TAB OGU JUN18'!$A:$G,6,"falso")</f>
        <v>121.1</v>
      </c>
      <c r="J48" s="72">
        <f>VLOOKUP(A48,'[1]TAB OGU JUN18'!$A:$G,4,"falso")</f>
        <v>0</v>
      </c>
      <c r="K48" s="15"/>
      <c r="L48" s="72">
        <f>VLOOKUP(A48,'[1]TAB OGU JUN18'!$A:$G,5,"falso")</f>
        <v>121.1</v>
      </c>
      <c r="M48" s="15">
        <f>H48*L48</f>
        <v>0</v>
      </c>
      <c r="N48" s="15">
        <f>H48*I48</f>
        <v>0</v>
      </c>
      <c r="O48" s="25" t="e">
        <f>N48/N51</f>
        <v>#DIV/0!</v>
      </c>
      <c r="P48" s="586"/>
    </row>
    <row r="49" spans="1:16" ht="12.75" hidden="1" customHeight="1" x14ac:dyDescent="0.2">
      <c r="A49" s="129" t="s">
        <v>1167</v>
      </c>
      <c r="B49" s="88" t="s">
        <v>1168</v>
      </c>
      <c r="G49" s="97" t="s">
        <v>24</v>
      </c>
      <c r="H49" s="502">
        <v>0</v>
      </c>
      <c r="I49" s="72">
        <f>VLOOKUP(A49,'[1]TAB OGU JUN18'!$A:$G,6,"falso")</f>
        <v>159.12</v>
      </c>
      <c r="J49" s="72">
        <f>VLOOKUP(A49,'[1]TAB OGU JUN18'!$A:$G,4,"falso")</f>
        <v>0</v>
      </c>
      <c r="K49" s="15"/>
      <c r="L49" s="72">
        <f>VLOOKUP(A49,'[1]TAB OGU JUN18'!$A:$G,5,"falso")</f>
        <v>159.12</v>
      </c>
      <c r="M49" s="15">
        <f>H49*L49</f>
        <v>0</v>
      </c>
      <c r="N49" s="15">
        <f>H49*I49</f>
        <v>0</v>
      </c>
      <c r="O49" s="25" t="e">
        <f>N49/N51</f>
        <v>#DIV/0!</v>
      </c>
    </row>
    <row r="50" spans="1:16" ht="12.75" hidden="1" customHeight="1" x14ac:dyDescent="0.2">
      <c r="B50" s="130"/>
      <c r="C50" s="492"/>
      <c r="D50" s="492"/>
      <c r="E50" s="492"/>
      <c r="F50" s="492"/>
      <c r="G50" s="493"/>
      <c r="H50" s="509"/>
      <c r="I50" s="493"/>
      <c r="J50" s="493"/>
      <c r="K50" s="493"/>
      <c r="L50" s="493"/>
      <c r="M50" s="493"/>
      <c r="N50" s="15"/>
      <c r="O50" s="25"/>
    </row>
    <row r="51" spans="1:16" ht="12.75" hidden="1" customHeight="1" x14ac:dyDescent="0.2">
      <c r="B51" s="130" t="s">
        <v>18</v>
      </c>
      <c r="C51" s="131"/>
      <c r="D51" s="131"/>
      <c r="E51" s="131"/>
      <c r="F51" s="131"/>
      <c r="G51" s="53"/>
      <c r="H51" s="503"/>
      <c r="I51" s="53"/>
      <c r="J51" s="53"/>
      <c r="K51" s="53"/>
      <c r="L51" s="53"/>
      <c r="M51" s="53"/>
      <c r="N51" s="15">
        <f>SUM(N46:N49)</f>
        <v>0</v>
      </c>
      <c r="O51" s="25" t="e">
        <f>N51/N64</f>
        <v>#DIV/0!</v>
      </c>
    </row>
    <row r="52" spans="1:16" s="132" customFormat="1" ht="12.75" customHeight="1" x14ac:dyDescent="0.2">
      <c r="A52" s="51"/>
      <c r="B52" s="130"/>
      <c r="C52" s="51"/>
      <c r="D52" s="51"/>
      <c r="E52" s="51"/>
      <c r="F52" s="51"/>
      <c r="G52" s="52"/>
      <c r="H52" s="501"/>
      <c r="I52" s="52"/>
      <c r="J52" s="52"/>
      <c r="K52" s="52"/>
      <c r="L52" s="52"/>
      <c r="M52" s="52"/>
      <c r="N52" s="15"/>
      <c r="O52" s="25"/>
    </row>
    <row r="53" spans="1:16" ht="12.75" customHeight="1" x14ac:dyDescent="0.2">
      <c r="A53" s="98">
        <v>2130</v>
      </c>
      <c r="B53" s="88" t="s">
        <v>822</v>
      </c>
      <c r="G53" s="52"/>
      <c r="H53" s="501"/>
      <c r="I53" s="520"/>
      <c r="J53" s="52"/>
      <c r="K53" s="52"/>
      <c r="L53" s="52"/>
      <c r="M53" s="52"/>
      <c r="N53" s="52"/>
      <c r="O53" s="19"/>
    </row>
    <row r="54" spans="1:16" ht="12.75" customHeight="1" x14ac:dyDescent="0.2">
      <c r="A54" s="494" t="s">
        <v>545</v>
      </c>
      <c r="B54" s="490" t="s">
        <v>898</v>
      </c>
      <c r="C54" s="491"/>
      <c r="D54" s="491"/>
      <c r="E54" s="491"/>
      <c r="F54" s="491"/>
      <c r="G54" s="497" t="s">
        <v>24</v>
      </c>
      <c r="H54" s="502">
        <v>0</v>
      </c>
      <c r="I54" s="489">
        <v>766.26</v>
      </c>
      <c r="J54" s="489">
        <v>766.26</v>
      </c>
      <c r="K54" s="502"/>
      <c r="L54" s="489">
        <v>766.26</v>
      </c>
      <c r="M54" s="502">
        <f t="shared" ref="M54:M55" si="0">H54*L54</f>
        <v>0</v>
      </c>
      <c r="N54" s="502">
        <f>H54*I54</f>
        <v>0</v>
      </c>
      <c r="O54" s="601" t="e">
        <f>N54/N57</f>
        <v>#DIV/0!</v>
      </c>
      <c r="P54" s="61" t="s">
        <v>1330</v>
      </c>
    </row>
    <row r="55" spans="1:16" ht="12.75" hidden="1" customHeight="1" x14ac:dyDescent="0.2">
      <c r="A55" s="494" t="s">
        <v>545</v>
      </c>
      <c r="B55" s="490" t="s">
        <v>1169</v>
      </c>
      <c r="C55" s="491"/>
      <c r="D55" s="491"/>
      <c r="E55" s="491"/>
      <c r="F55" s="491"/>
      <c r="G55" s="497" t="s">
        <v>24</v>
      </c>
      <c r="H55" s="502">
        <v>0</v>
      </c>
      <c r="I55" s="489">
        <v>766.26</v>
      </c>
      <c r="J55" s="489">
        <v>766.26</v>
      </c>
      <c r="K55" s="502"/>
      <c r="L55" s="489">
        <v>766.26</v>
      </c>
      <c r="M55" s="502">
        <f t="shared" si="0"/>
        <v>0</v>
      </c>
      <c r="N55" s="502">
        <f>H55*I55</f>
        <v>0</v>
      </c>
      <c r="O55" s="601" t="e">
        <f>N55/N57</f>
        <v>#DIV/0!</v>
      </c>
      <c r="P55" s="61" t="s">
        <v>1329</v>
      </c>
    </row>
    <row r="56" spans="1:16" ht="12.75" customHeight="1" x14ac:dyDescent="0.2">
      <c r="G56" s="52"/>
      <c r="H56" s="501"/>
      <c r="I56" s="520"/>
      <c r="J56" s="52"/>
      <c r="K56" s="52"/>
      <c r="L56" s="52"/>
      <c r="M56" s="52"/>
      <c r="N56" s="52"/>
      <c r="O56" s="19"/>
    </row>
    <row r="57" spans="1:16" ht="12.75" customHeight="1" x14ac:dyDescent="0.2">
      <c r="B57" s="130" t="s">
        <v>18</v>
      </c>
      <c r="C57" s="131"/>
      <c r="D57" s="131"/>
      <c r="E57" s="131"/>
      <c r="F57" s="131"/>
      <c r="G57" s="53"/>
      <c r="H57" s="503"/>
      <c r="I57" s="521"/>
      <c r="J57" s="53"/>
      <c r="K57" s="53"/>
      <c r="L57" s="53"/>
      <c r="M57" s="53"/>
      <c r="N57" s="15">
        <f>SUM(N54:N55)</f>
        <v>0</v>
      </c>
      <c r="O57" s="25" t="e">
        <f>N57/N64</f>
        <v>#DIV/0!</v>
      </c>
    </row>
    <row r="58" spans="1:16" ht="12.75" customHeight="1" x14ac:dyDescent="0.2">
      <c r="B58" s="130"/>
      <c r="C58" s="492"/>
      <c r="D58" s="492"/>
      <c r="E58" s="492"/>
      <c r="F58" s="492"/>
      <c r="G58" s="493"/>
      <c r="H58" s="509"/>
      <c r="I58" s="522"/>
      <c r="J58" s="493"/>
      <c r="K58" s="493"/>
      <c r="L58" s="493"/>
      <c r="M58" s="493"/>
      <c r="N58" s="15"/>
      <c r="O58" s="25"/>
    </row>
    <row r="59" spans="1:16" ht="12.75" hidden="1" customHeight="1" x14ac:dyDescent="0.2">
      <c r="A59" s="98" t="s">
        <v>1058</v>
      </c>
      <c r="B59" s="88" t="s">
        <v>1059</v>
      </c>
      <c r="G59" s="52"/>
      <c r="H59" s="501"/>
      <c r="I59" s="520"/>
      <c r="J59" s="52"/>
      <c r="K59" s="52"/>
      <c r="L59" s="52"/>
      <c r="M59" s="52"/>
      <c r="N59" s="52"/>
      <c r="O59" s="19"/>
    </row>
    <row r="60" spans="1:16" ht="12.75" hidden="1" customHeight="1" x14ac:dyDescent="0.2">
      <c r="A60" s="98" t="s">
        <v>1060</v>
      </c>
      <c r="B60" s="88" t="s">
        <v>1061</v>
      </c>
      <c r="G60" s="97" t="s">
        <v>24</v>
      </c>
      <c r="H60" s="502">
        <v>0</v>
      </c>
      <c r="I60" s="489">
        <f>VLOOKUP(A60,'[1]TAB OGU JUN18'!$A:$G,6,"falso")</f>
        <v>332.15</v>
      </c>
      <c r="J60" s="72">
        <f>VLOOKUP(A60,'[1]TAB OGU JUN18'!$A:$G,4,"falso")</f>
        <v>0</v>
      </c>
      <c r="K60" s="15"/>
      <c r="L60" s="72">
        <f>VLOOKUP(A60,'[1]TAB OGU JUN18'!$A:$G,5,"falso")</f>
        <v>332.15</v>
      </c>
      <c r="M60" s="15">
        <f>H60*L60</f>
        <v>0</v>
      </c>
      <c r="N60" s="15">
        <f>H60*I60</f>
        <v>0</v>
      </c>
      <c r="O60" s="25" t="e">
        <f>N60/N62</f>
        <v>#DIV/0!</v>
      </c>
    </row>
    <row r="61" spans="1:16" ht="12.75" hidden="1" customHeight="1" x14ac:dyDescent="0.2">
      <c r="B61" s="130"/>
      <c r="C61" s="492"/>
      <c r="D61" s="492"/>
      <c r="E61" s="492"/>
      <c r="F61" s="492"/>
      <c r="G61" s="493"/>
      <c r="H61" s="509"/>
      <c r="I61" s="522"/>
      <c r="J61" s="493"/>
      <c r="K61" s="493"/>
      <c r="L61" s="493"/>
      <c r="M61" s="493"/>
      <c r="N61" s="15"/>
      <c r="O61" s="25"/>
    </row>
    <row r="62" spans="1:16" ht="12.75" hidden="1" customHeight="1" x14ac:dyDescent="0.2">
      <c r="B62" s="130" t="s">
        <v>18</v>
      </c>
      <c r="C62" s="131"/>
      <c r="D62" s="131"/>
      <c r="E62" s="131"/>
      <c r="F62" s="131"/>
      <c r="G62" s="53"/>
      <c r="H62" s="503"/>
      <c r="I62" s="521"/>
      <c r="J62" s="53"/>
      <c r="K62" s="53"/>
      <c r="L62" s="53"/>
      <c r="M62" s="53"/>
      <c r="N62" s="15">
        <f>N60</f>
        <v>0</v>
      </c>
      <c r="O62" s="25" t="e">
        <f>N62/N64</f>
        <v>#DIV/0!</v>
      </c>
    </row>
    <row r="63" spans="1:16" ht="12.75" hidden="1" customHeight="1" x14ac:dyDescent="0.2">
      <c r="B63" s="130"/>
      <c r="G63" s="52"/>
      <c r="H63" s="501"/>
      <c r="I63" s="520"/>
      <c r="J63" s="52"/>
      <c r="K63" s="52"/>
      <c r="L63" s="52"/>
      <c r="M63" s="52"/>
      <c r="N63" s="15"/>
      <c r="O63" s="25"/>
    </row>
    <row r="64" spans="1:16" ht="12.75" customHeight="1" x14ac:dyDescent="0.2">
      <c r="A64" s="132"/>
      <c r="B64" s="133" t="s">
        <v>20</v>
      </c>
      <c r="C64" s="134"/>
      <c r="D64" s="134"/>
      <c r="E64" s="134"/>
      <c r="F64" s="134"/>
      <c r="G64" s="78"/>
      <c r="H64" s="504"/>
      <c r="I64" s="78"/>
      <c r="J64" s="78"/>
      <c r="K64" s="78"/>
      <c r="L64" s="78"/>
      <c r="M64" s="78"/>
      <c r="N64" s="83">
        <f>N18+N25+N34+N43+N51+N57+N62</f>
        <v>0</v>
      </c>
      <c r="O64" s="77" t="e">
        <f>N64/N264</f>
        <v>#DIV/0!</v>
      </c>
    </row>
    <row r="65" spans="1:18" ht="12.75" customHeight="1" x14ac:dyDescent="0.2">
      <c r="G65" s="52"/>
      <c r="H65" s="501"/>
      <c r="I65" s="52"/>
      <c r="J65" s="52"/>
      <c r="K65" s="52"/>
      <c r="L65" s="52"/>
      <c r="M65" s="52"/>
      <c r="N65" s="52"/>
      <c r="O65" s="19"/>
    </row>
    <row r="66" spans="1:18" ht="12.75" customHeight="1" x14ac:dyDescent="0.2">
      <c r="A66" s="129">
        <v>22</v>
      </c>
      <c r="B66" s="88" t="s">
        <v>75</v>
      </c>
      <c r="H66" s="505"/>
      <c r="O66" s="61"/>
      <c r="R66" s="61" t="s">
        <v>1409</v>
      </c>
    </row>
    <row r="67" spans="1:18" ht="12.75" hidden="1" customHeight="1" x14ac:dyDescent="0.2">
      <c r="A67" s="129">
        <v>2207</v>
      </c>
      <c r="B67" s="88" t="s">
        <v>823</v>
      </c>
      <c r="H67" s="505"/>
      <c r="O67" s="61"/>
    </row>
    <row r="68" spans="1:18" ht="12.75" hidden="1" customHeight="1" x14ac:dyDescent="0.2">
      <c r="A68" s="129" t="s">
        <v>899</v>
      </c>
      <c r="B68" s="88" t="s">
        <v>900</v>
      </c>
      <c r="G68" s="97" t="s">
        <v>24</v>
      </c>
      <c r="H68" s="502">
        <v>0</v>
      </c>
      <c r="I68" s="72">
        <f>VLOOKUP(A68,'[1]TAB OGU JUN18'!$A:$G,6,"falso")</f>
        <v>131.28</v>
      </c>
      <c r="J68" s="72">
        <f>VLOOKUP(A68,'[1]TAB OGU JUN18'!$A:$G,4,"falso")</f>
        <v>0</v>
      </c>
      <c r="K68" s="15"/>
      <c r="L68" s="72">
        <f>VLOOKUP(A68,'[1]TAB OGU JUN18'!$A:$G,5,"falso")</f>
        <v>131.28</v>
      </c>
      <c r="M68" s="15">
        <f t="shared" ref="M68:M74" si="1">H68*L68</f>
        <v>0</v>
      </c>
      <c r="N68" s="15">
        <f t="shared" ref="N68:N74" si="2">H68*I68</f>
        <v>0</v>
      </c>
      <c r="O68" s="25" t="e">
        <f>N68/N76</f>
        <v>#DIV/0!</v>
      </c>
    </row>
    <row r="69" spans="1:18" ht="12.75" hidden="1" customHeight="1" x14ac:dyDescent="0.2">
      <c r="A69" s="129" t="s">
        <v>1170</v>
      </c>
      <c r="B69" s="88" t="s">
        <v>1172</v>
      </c>
      <c r="G69" s="97" t="s">
        <v>24</v>
      </c>
      <c r="H69" s="502">
        <v>0</v>
      </c>
      <c r="I69" s="72">
        <f>VLOOKUP(A69,'[1]TAB OGU JUN18'!$A:$G,6,"falso")</f>
        <v>143.22999999999999</v>
      </c>
      <c r="J69" s="72">
        <f>VLOOKUP(A69,'[1]TAB OGU JUN18'!$A:$G,4,"falso")</f>
        <v>0</v>
      </c>
      <c r="K69" s="15"/>
      <c r="L69" s="72">
        <f>VLOOKUP(A69,'[1]TAB OGU JUN18'!$A:$G,5,"falso")</f>
        <v>143.22999999999999</v>
      </c>
      <c r="M69" s="15">
        <f t="shared" si="1"/>
        <v>0</v>
      </c>
      <c r="N69" s="15">
        <f t="shared" si="2"/>
        <v>0</v>
      </c>
      <c r="O69" s="25" t="e">
        <f>N69/N76</f>
        <v>#DIV/0!</v>
      </c>
    </row>
    <row r="70" spans="1:18" ht="12.75" hidden="1" customHeight="1" x14ac:dyDescent="0.2">
      <c r="A70" s="129" t="s">
        <v>1171</v>
      </c>
      <c r="B70" s="88" t="s">
        <v>1173</v>
      </c>
      <c r="G70" s="97" t="s">
        <v>24</v>
      </c>
      <c r="H70" s="502">
        <v>0</v>
      </c>
      <c r="I70" s="72">
        <f>VLOOKUP(A70,'[1]TAB OGU JUN18'!$A:$G,6,"falso")</f>
        <v>222.81</v>
      </c>
      <c r="J70" s="72">
        <f>VLOOKUP(A70,'[1]TAB OGU JUN18'!$A:$G,4,"falso")</f>
        <v>0</v>
      </c>
      <c r="K70" s="15"/>
      <c r="L70" s="72">
        <f>VLOOKUP(A70,'[1]TAB OGU JUN18'!$A:$G,5,"falso")</f>
        <v>222.81</v>
      </c>
      <c r="M70" s="15">
        <f t="shared" si="1"/>
        <v>0</v>
      </c>
      <c r="N70" s="15">
        <f t="shared" si="2"/>
        <v>0</v>
      </c>
      <c r="O70" s="25" t="e">
        <f>N70/N76</f>
        <v>#DIV/0!</v>
      </c>
    </row>
    <row r="71" spans="1:18" ht="12.75" hidden="1" customHeight="1" x14ac:dyDescent="0.2">
      <c r="A71" s="129" t="s">
        <v>901</v>
      </c>
      <c r="B71" s="88" t="s">
        <v>902</v>
      </c>
      <c r="G71" s="97" t="s">
        <v>24</v>
      </c>
      <c r="H71" s="502">
        <v>0</v>
      </c>
      <c r="I71" s="72">
        <f>VLOOKUP(A71,'[1]TAB OGU JUN18'!$A:$G,6,"falso")</f>
        <v>139.27000000000001</v>
      </c>
      <c r="J71" s="72">
        <f>VLOOKUP(A71,'[1]TAB OGU JUN18'!$A:$G,4,"falso")</f>
        <v>0</v>
      </c>
      <c r="K71" s="15"/>
      <c r="L71" s="72">
        <f>VLOOKUP(A71,'[1]TAB OGU JUN18'!$A:$G,5,"falso")</f>
        <v>139.27000000000001</v>
      </c>
      <c r="M71" s="15">
        <f t="shared" si="1"/>
        <v>0</v>
      </c>
      <c r="N71" s="15">
        <f t="shared" si="2"/>
        <v>0</v>
      </c>
      <c r="O71" s="25" t="e">
        <f>N71/N76</f>
        <v>#DIV/0!</v>
      </c>
    </row>
    <row r="72" spans="1:18" ht="12.75" hidden="1" customHeight="1" x14ac:dyDescent="0.2">
      <c r="A72" s="129" t="s">
        <v>1174</v>
      </c>
      <c r="B72" s="88" t="s">
        <v>1176</v>
      </c>
      <c r="G72" s="97" t="s">
        <v>24</v>
      </c>
      <c r="H72" s="502">
        <v>0</v>
      </c>
      <c r="I72" s="72">
        <f>VLOOKUP(A72,'[1]TAB OGU JUN18'!$A:$G,6,"falso")</f>
        <v>151.19999999999999</v>
      </c>
      <c r="J72" s="72">
        <f>VLOOKUP(A72,'[1]TAB OGU JUN18'!$A:$G,4,"falso")</f>
        <v>0</v>
      </c>
      <c r="K72" s="15"/>
      <c r="L72" s="72">
        <f>VLOOKUP(A72,'[1]TAB OGU JUN18'!$A:$G,5,"falso")</f>
        <v>151.19999999999999</v>
      </c>
      <c r="M72" s="15">
        <f t="shared" si="1"/>
        <v>0</v>
      </c>
      <c r="N72" s="15">
        <f t="shared" si="2"/>
        <v>0</v>
      </c>
      <c r="O72" s="25" t="e">
        <f>N72/N76</f>
        <v>#DIV/0!</v>
      </c>
    </row>
    <row r="73" spans="1:18" ht="12.75" hidden="1" customHeight="1" x14ac:dyDescent="0.2">
      <c r="A73" s="129" t="s">
        <v>1175</v>
      </c>
      <c r="B73" s="88" t="s">
        <v>1177</v>
      </c>
      <c r="G73" s="97" t="s">
        <v>24</v>
      </c>
      <c r="H73" s="502">
        <v>0</v>
      </c>
      <c r="I73" s="72">
        <f>VLOOKUP(A73,'[1]TAB OGU JUN18'!$A:$G,6,"falso")</f>
        <v>242.66</v>
      </c>
      <c r="J73" s="72">
        <f>VLOOKUP(A73,'[1]TAB OGU JUN18'!$A:$G,4,"falso")</f>
        <v>0</v>
      </c>
      <c r="K73" s="15"/>
      <c r="L73" s="72">
        <f>VLOOKUP(A73,'[1]TAB OGU JUN18'!$A:$G,5,"falso")</f>
        <v>242.66</v>
      </c>
      <c r="M73" s="15">
        <f t="shared" si="1"/>
        <v>0</v>
      </c>
      <c r="N73" s="15">
        <f t="shared" si="2"/>
        <v>0</v>
      </c>
      <c r="O73" s="25" t="e">
        <f>N73/N76</f>
        <v>#DIV/0!</v>
      </c>
    </row>
    <row r="74" spans="1:18" ht="12.75" hidden="1" customHeight="1" x14ac:dyDescent="0.2">
      <c r="A74" s="129" t="s">
        <v>934</v>
      </c>
      <c r="B74" s="88" t="s">
        <v>1178</v>
      </c>
      <c r="G74" s="97" t="s">
        <v>24</v>
      </c>
      <c r="H74" s="502">
        <v>0</v>
      </c>
      <c r="I74" s="72">
        <f>VLOOKUP(A74,'[1]TAB OGU JUN18'!$A:$G,6,"falso")</f>
        <v>429.71</v>
      </c>
      <c r="J74" s="72">
        <f>VLOOKUP(A74,'[1]TAB OGU JUN18'!$A:$G,4,"falso")</f>
        <v>0</v>
      </c>
      <c r="K74" s="15"/>
      <c r="L74" s="72">
        <f>VLOOKUP(A74,'[1]TAB OGU JUN18'!$A:$G,5,"falso")</f>
        <v>429.71</v>
      </c>
      <c r="M74" s="15">
        <f t="shared" si="1"/>
        <v>0</v>
      </c>
      <c r="N74" s="15">
        <f t="shared" si="2"/>
        <v>0</v>
      </c>
      <c r="O74" s="25" t="e">
        <f>N74/N76</f>
        <v>#DIV/0!</v>
      </c>
    </row>
    <row r="75" spans="1:18" ht="12.75" hidden="1" customHeight="1" x14ac:dyDescent="0.2">
      <c r="G75" s="52"/>
      <c r="H75" s="501"/>
      <c r="I75" s="52"/>
      <c r="J75" s="52"/>
      <c r="K75" s="52"/>
      <c r="L75" s="52"/>
      <c r="M75" s="52"/>
      <c r="N75" s="456"/>
      <c r="O75" s="25"/>
    </row>
    <row r="76" spans="1:18" ht="12.75" hidden="1" customHeight="1" x14ac:dyDescent="0.2">
      <c r="B76" s="130" t="s">
        <v>18</v>
      </c>
      <c r="C76" s="131"/>
      <c r="D76" s="131"/>
      <c r="E76" s="131"/>
      <c r="F76" s="131"/>
      <c r="G76" s="53"/>
      <c r="H76" s="503"/>
      <c r="I76" s="53"/>
      <c r="J76" s="53"/>
      <c r="K76" s="53"/>
      <c r="L76" s="53"/>
      <c r="M76" s="53"/>
      <c r="N76" s="15">
        <f>SUM(N68:N74)</f>
        <v>0</v>
      </c>
      <c r="O76" s="25" t="e">
        <f>N76/N173</f>
        <v>#DIV/0!</v>
      </c>
    </row>
    <row r="77" spans="1:18" ht="12.75" hidden="1" customHeight="1" x14ac:dyDescent="0.2">
      <c r="B77" s="130"/>
      <c r="G77" s="52"/>
      <c r="H77" s="501"/>
      <c r="I77" s="52"/>
      <c r="J77" s="52"/>
      <c r="K77" s="52"/>
      <c r="L77" s="52"/>
      <c r="M77" s="52"/>
      <c r="N77" s="15"/>
      <c r="O77" s="25"/>
    </row>
    <row r="78" spans="1:18" ht="12.75" customHeight="1" x14ac:dyDescent="0.2">
      <c r="A78" s="98">
        <v>2209</v>
      </c>
      <c r="B78" s="88" t="s">
        <v>714</v>
      </c>
      <c r="G78" s="52"/>
      <c r="H78" s="501"/>
      <c r="I78" s="52"/>
      <c r="J78" s="52"/>
      <c r="K78" s="52"/>
      <c r="L78" s="52"/>
      <c r="M78" s="52"/>
      <c r="N78" s="52"/>
      <c r="O78" s="19"/>
    </row>
    <row r="79" spans="1:18" ht="12.75" customHeight="1" x14ac:dyDescent="0.2">
      <c r="A79" s="98" t="s">
        <v>903</v>
      </c>
      <c r="B79" s="88" t="s">
        <v>904</v>
      </c>
      <c r="G79" s="97" t="s">
        <v>24</v>
      </c>
      <c r="H79" s="502">
        <v>0</v>
      </c>
      <c r="I79" s="72">
        <f>VLOOKUP(A79,'[1]TAB OGU JUN18'!$A:$G,6,"falso")</f>
        <v>191.02</v>
      </c>
      <c r="J79" s="72">
        <f>VLOOKUP(A79,'[1]TAB OGU JUN18'!$A:$G,4,"falso")</f>
        <v>0</v>
      </c>
      <c r="K79" s="15"/>
      <c r="L79" s="72">
        <f>VLOOKUP(A79,'[1]TAB OGU JUN18'!$A:$G,5,"falso")</f>
        <v>191.02</v>
      </c>
      <c r="M79" s="15">
        <f t="shared" ref="M79:M84" si="3">H79*L79</f>
        <v>0</v>
      </c>
      <c r="N79" s="15">
        <f t="shared" ref="N79:N84" si="4">H79*I79</f>
        <v>0</v>
      </c>
      <c r="O79" s="25" t="e">
        <f>N79/N86</f>
        <v>#DIV/0!</v>
      </c>
    </row>
    <row r="80" spans="1:18" ht="12.75" hidden="1" customHeight="1" x14ac:dyDescent="0.2">
      <c r="A80" s="98" t="s">
        <v>1181</v>
      </c>
      <c r="B80" s="88" t="s">
        <v>1182</v>
      </c>
      <c r="G80" s="97" t="s">
        <v>24</v>
      </c>
      <c r="H80" s="502">
        <v>0</v>
      </c>
      <c r="I80" s="72">
        <f>VLOOKUP(A80,'[1]TAB OGU JUN18'!$A:$G,6,"falso")</f>
        <v>206.86</v>
      </c>
      <c r="J80" s="72">
        <f>VLOOKUP(A80,'[1]TAB OGU JUN18'!$A:$G,4,"falso")</f>
        <v>0</v>
      </c>
      <c r="K80" s="15"/>
      <c r="L80" s="72">
        <f>VLOOKUP(A80,'[1]TAB OGU JUN18'!$A:$G,5,"falso")</f>
        <v>206.86</v>
      </c>
      <c r="M80" s="15">
        <f t="shared" si="3"/>
        <v>0</v>
      </c>
      <c r="N80" s="15">
        <f t="shared" si="4"/>
        <v>0</v>
      </c>
      <c r="O80" s="25" t="e">
        <f>N80/N86</f>
        <v>#DIV/0!</v>
      </c>
    </row>
    <row r="81" spans="1:16" ht="12.75" hidden="1" customHeight="1" x14ac:dyDescent="0.2">
      <c r="A81" s="98" t="s">
        <v>1179</v>
      </c>
      <c r="B81" s="88" t="s">
        <v>1180</v>
      </c>
      <c r="G81" s="97" t="s">
        <v>24</v>
      </c>
      <c r="H81" s="502">
        <v>0</v>
      </c>
      <c r="I81" s="72">
        <f>VLOOKUP(A81,'[1]TAB OGU JUN18'!$A:$G,6,"falso")</f>
        <v>342.16</v>
      </c>
      <c r="J81" s="72">
        <f>VLOOKUP(A81,'[1]TAB OGU JUN18'!$A:$G,4,"falso")</f>
        <v>0</v>
      </c>
      <c r="K81" s="15"/>
      <c r="L81" s="72">
        <f>VLOOKUP(A81,'[1]TAB OGU JUN18'!$A:$G,5,"falso")</f>
        <v>342.16</v>
      </c>
      <c r="M81" s="15">
        <f t="shared" si="3"/>
        <v>0</v>
      </c>
      <c r="N81" s="15">
        <f t="shared" si="4"/>
        <v>0</v>
      </c>
      <c r="O81" s="25" t="e">
        <f>N81/N86</f>
        <v>#DIV/0!</v>
      </c>
    </row>
    <row r="82" spans="1:16" ht="12.75" customHeight="1" x14ac:dyDescent="0.2">
      <c r="A82" s="98" t="s">
        <v>905</v>
      </c>
      <c r="B82" s="88" t="s">
        <v>906</v>
      </c>
      <c r="G82" s="97" t="s">
        <v>24</v>
      </c>
      <c r="H82" s="502">
        <v>0</v>
      </c>
      <c r="I82" s="72">
        <f>VLOOKUP(A82,'[1]TAB OGU JUN18'!$A:$G,6,"falso")</f>
        <v>198.95</v>
      </c>
      <c r="J82" s="72">
        <f>VLOOKUP(A82,'[1]TAB OGU JUN18'!$A:$G,4,"falso")</f>
        <v>0</v>
      </c>
      <c r="K82" s="15"/>
      <c r="L82" s="72">
        <f>VLOOKUP(A82,'[1]TAB OGU JUN18'!$A:$G,5,"falso")</f>
        <v>198.95</v>
      </c>
      <c r="M82" s="15">
        <f t="shared" si="3"/>
        <v>0</v>
      </c>
      <c r="N82" s="15">
        <f t="shared" si="4"/>
        <v>0</v>
      </c>
      <c r="O82" s="25" t="e">
        <f>N82/N86</f>
        <v>#DIV/0!</v>
      </c>
      <c r="P82" s="586"/>
    </row>
    <row r="83" spans="1:16" ht="12.75" hidden="1" customHeight="1" x14ac:dyDescent="0.2">
      <c r="A83" s="98" t="s">
        <v>1183</v>
      </c>
      <c r="B83" s="88" t="s">
        <v>1184</v>
      </c>
      <c r="G83" s="97" t="s">
        <v>24</v>
      </c>
      <c r="H83" s="502">
        <v>0</v>
      </c>
      <c r="I83" s="72">
        <f>VLOOKUP(A83,'[1]TAB OGU JUN18'!$A:$G,6,"falso")</f>
        <v>206.86</v>
      </c>
      <c r="J83" s="72">
        <f>VLOOKUP(A83,'[1]TAB OGU JUN18'!$A:$G,4,"falso")</f>
        <v>0</v>
      </c>
      <c r="K83" s="15"/>
      <c r="L83" s="72">
        <f>VLOOKUP(A83,'[1]TAB OGU JUN18'!$A:$G,5,"falso")</f>
        <v>206.86</v>
      </c>
      <c r="M83" s="15">
        <f t="shared" si="3"/>
        <v>0</v>
      </c>
      <c r="N83" s="15">
        <f t="shared" si="4"/>
        <v>0</v>
      </c>
      <c r="O83" s="25" t="e">
        <f>N83/N86</f>
        <v>#DIV/0!</v>
      </c>
    </row>
    <row r="84" spans="1:16" ht="12.75" hidden="1" customHeight="1" x14ac:dyDescent="0.2">
      <c r="A84" s="98" t="s">
        <v>1185</v>
      </c>
      <c r="B84" s="88" t="s">
        <v>1186</v>
      </c>
      <c r="G84" s="97" t="s">
        <v>24</v>
      </c>
      <c r="H84" s="502">
        <v>0</v>
      </c>
      <c r="I84" s="72">
        <f>VLOOKUP(A84,'[1]TAB OGU JUN18'!$A:$G,6,"falso")</f>
        <v>342.15</v>
      </c>
      <c r="J84" s="72">
        <f>VLOOKUP(A84,'[1]TAB OGU JUN18'!$A:$G,4,"falso")</f>
        <v>0</v>
      </c>
      <c r="K84" s="15"/>
      <c r="L84" s="72">
        <f>VLOOKUP(A84,'[1]TAB OGU JUN18'!$A:$G,5,"falso")</f>
        <v>342.15</v>
      </c>
      <c r="M84" s="15">
        <f t="shared" si="3"/>
        <v>0</v>
      </c>
      <c r="N84" s="15">
        <f t="shared" si="4"/>
        <v>0</v>
      </c>
      <c r="O84" s="25" t="e">
        <f>N84/N86</f>
        <v>#DIV/0!</v>
      </c>
    </row>
    <row r="85" spans="1:16" ht="12.75" customHeight="1" x14ac:dyDescent="0.2">
      <c r="G85" s="52"/>
      <c r="H85" s="501"/>
      <c r="I85" s="52"/>
      <c r="J85" s="52"/>
      <c r="K85" s="52"/>
      <c r="L85" s="52"/>
      <c r="M85" s="52"/>
      <c r="N85" s="52"/>
      <c r="O85" s="19"/>
    </row>
    <row r="86" spans="1:16" ht="12.75" customHeight="1" x14ac:dyDescent="0.2">
      <c r="B86" s="130" t="s">
        <v>18</v>
      </c>
      <c r="C86" s="131"/>
      <c r="D86" s="131"/>
      <c r="E86" s="131"/>
      <c r="F86" s="131"/>
      <c r="G86" s="53"/>
      <c r="H86" s="503"/>
      <c r="I86" s="53"/>
      <c r="J86" s="53"/>
      <c r="K86" s="53"/>
      <c r="L86" s="53"/>
      <c r="M86" s="53"/>
      <c r="N86" s="15">
        <f>SUM(N79:N84)</f>
        <v>0</v>
      </c>
      <c r="O86" s="25" t="e">
        <f>N86/N173</f>
        <v>#DIV/0!</v>
      </c>
    </row>
    <row r="87" spans="1:16" ht="12.75" customHeight="1" x14ac:dyDescent="0.2">
      <c r="B87" s="130"/>
      <c r="G87" s="52"/>
      <c r="H87" s="501"/>
      <c r="I87" s="52"/>
      <c r="J87" s="52"/>
      <c r="K87" s="52"/>
      <c r="L87" s="52"/>
      <c r="M87" s="52"/>
      <c r="N87" s="15"/>
      <c r="O87" s="25"/>
    </row>
    <row r="88" spans="1:16" ht="12.75" customHeight="1" x14ac:dyDescent="0.2">
      <c r="A88" s="98">
        <v>2224</v>
      </c>
      <c r="B88" s="88" t="s">
        <v>824</v>
      </c>
      <c r="G88" s="97"/>
      <c r="H88" s="502"/>
      <c r="I88" s="15"/>
      <c r="J88" s="15"/>
      <c r="K88" s="15"/>
      <c r="L88" s="15"/>
      <c r="M88" s="15"/>
      <c r="N88" s="15"/>
      <c r="O88" s="25"/>
    </row>
    <row r="89" spans="1:16" ht="12.75" customHeight="1" x14ac:dyDescent="0.2">
      <c r="A89" s="98" t="s">
        <v>945</v>
      </c>
      <c r="B89" s="88" t="s">
        <v>946</v>
      </c>
      <c r="G89" s="97" t="s">
        <v>24</v>
      </c>
      <c r="H89" s="502">
        <v>0</v>
      </c>
      <c r="I89" s="72">
        <f>VLOOKUP(A89,'[1]TAB OGU JUN18'!$A:$G,6,"falso")</f>
        <v>350.08</v>
      </c>
      <c r="J89" s="72">
        <f>VLOOKUP(A89,'[1]TAB OGU JUN18'!$A:$G,4,"falso")</f>
        <v>0</v>
      </c>
      <c r="K89" s="15"/>
      <c r="L89" s="72">
        <f>VLOOKUP(A89,'[1]TAB OGU JUN18'!$A:$G,5,"falso")</f>
        <v>350.08</v>
      </c>
      <c r="M89" s="15">
        <f>H89*L89</f>
        <v>0</v>
      </c>
      <c r="N89" s="15">
        <f>H89*I89</f>
        <v>0</v>
      </c>
      <c r="O89" s="25" t="e">
        <f>N89/N92</f>
        <v>#DIV/0!</v>
      </c>
    </row>
    <row r="90" spans="1:16" ht="12.75" hidden="1" customHeight="1" x14ac:dyDescent="0.2">
      <c r="A90" s="98" t="s">
        <v>1187</v>
      </c>
      <c r="B90" s="88" t="s">
        <v>1188</v>
      </c>
      <c r="G90" s="97" t="s">
        <v>24</v>
      </c>
      <c r="H90" s="502">
        <v>0</v>
      </c>
      <c r="I90" s="72">
        <f>VLOOKUP(A90,'[1]TAB OGU JUN18'!$A:$G,6,"falso")</f>
        <v>750.41</v>
      </c>
      <c r="J90" s="72">
        <f>VLOOKUP(A90,'[1]TAB OGU JUN18'!$A:$G,4,"falso")</f>
        <v>0</v>
      </c>
      <c r="K90" s="15"/>
      <c r="L90" s="72">
        <f>VLOOKUP(A90,'[1]TAB OGU JUN18'!$A:$G,5,"falso")</f>
        <v>750.41</v>
      </c>
      <c r="M90" s="15">
        <f>H90*L90</f>
        <v>0</v>
      </c>
      <c r="N90" s="15">
        <f>H90*I90</f>
        <v>0</v>
      </c>
      <c r="O90" s="25" t="e">
        <f>N90/N92</f>
        <v>#DIV/0!</v>
      </c>
    </row>
    <row r="91" spans="1:16" ht="12.75" customHeight="1" x14ac:dyDescent="0.2">
      <c r="B91" s="130"/>
      <c r="G91" s="52"/>
      <c r="H91" s="501"/>
      <c r="I91" s="52"/>
      <c r="J91" s="52"/>
      <c r="K91" s="52"/>
      <c r="L91" s="52"/>
      <c r="M91" s="52"/>
      <c r="N91" s="15"/>
      <c r="O91" s="25"/>
    </row>
    <row r="92" spans="1:16" ht="12.75" customHeight="1" x14ac:dyDescent="0.2">
      <c r="B92" s="130" t="s">
        <v>18</v>
      </c>
      <c r="C92" s="131"/>
      <c r="D92" s="131"/>
      <c r="E92" s="131"/>
      <c r="F92" s="131"/>
      <c r="G92" s="53"/>
      <c r="H92" s="503"/>
      <c r="I92" s="53"/>
      <c r="J92" s="53"/>
      <c r="K92" s="53"/>
      <c r="L92" s="53"/>
      <c r="M92" s="53"/>
      <c r="N92" s="15">
        <f>SUM(N89:N90)</f>
        <v>0</v>
      </c>
      <c r="O92" s="25" t="e">
        <f>N92/N173</f>
        <v>#DIV/0!</v>
      </c>
    </row>
    <row r="93" spans="1:16" ht="12.75" customHeight="1" x14ac:dyDescent="0.2">
      <c r="B93" s="130"/>
      <c r="G93" s="52"/>
      <c r="H93" s="501"/>
      <c r="I93" s="52"/>
      <c r="J93" s="52"/>
      <c r="K93" s="52"/>
      <c r="L93" s="52"/>
      <c r="M93" s="52"/>
      <c r="N93" s="15"/>
      <c r="O93" s="25"/>
    </row>
    <row r="94" spans="1:16" ht="12.75" hidden="1" customHeight="1" x14ac:dyDescent="0.2">
      <c r="A94" s="494">
        <v>2230</v>
      </c>
      <c r="B94" s="88" t="s">
        <v>825</v>
      </c>
      <c r="G94" s="97"/>
      <c r="H94" s="502"/>
      <c r="I94" s="15"/>
      <c r="J94" s="15"/>
      <c r="K94" s="15"/>
      <c r="L94" s="15"/>
      <c r="M94" s="15"/>
      <c r="N94" s="15"/>
      <c r="O94" s="25"/>
    </row>
    <row r="95" spans="1:16" ht="12.75" hidden="1" customHeight="1" x14ac:dyDescent="0.2">
      <c r="A95" s="494" t="s">
        <v>826</v>
      </c>
      <c r="B95" s="88" t="s">
        <v>827</v>
      </c>
      <c r="G95" s="97" t="s">
        <v>24</v>
      </c>
      <c r="H95" s="502">
        <v>0</v>
      </c>
      <c r="I95" s="72">
        <f>VLOOKUP(A95,'[1]TAB OGU JUN18'!$A:$G,6,"falso")</f>
        <v>281.41000000000003</v>
      </c>
      <c r="J95" s="72">
        <f>VLOOKUP(A95,'[1]TAB OGU JUN18'!$A:$G,4,"falso")</f>
        <v>0</v>
      </c>
      <c r="K95" s="15"/>
      <c r="L95" s="72">
        <f>VLOOKUP(A95,'[1]TAB OGU JUN18'!$A:$G,5,"falso")</f>
        <v>281.41000000000003</v>
      </c>
      <c r="M95" s="15">
        <f>H95*L95</f>
        <v>0</v>
      </c>
      <c r="N95" s="15">
        <f>H95*I95</f>
        <v>0</v>
      </c>
      <c r="O95" s="25" t="e">
        <f>N95/N97</f>
        <v>#DIV/0!</v>
      </c>
    </row>
    <row r="96" spans="1:16" ht="12.75" hidden="1" customHeight="1" x14ac:dyDescent="0.2">
      <c r="A96" s="494"/>
      <c r="B96" s="88"/>
      <c r="G96" s="97"/>
      <c r="H96" s="502"/>
      <c r="I96" s="72"/>
      <c r="J96" s="72"/>
      <c r="K96" s="15"/>
      <c r="L96" s="72"/>
      <c r="M96" s="15"/>
      <c r="N96" s="15"/>
      <c r="O96" s="25"/>
    </row>
    <row r="97" spans="1:15" ht="12.75" hidden="1" customHeight="1" x14ac:dyDescent="0.2">
      <c r="B97" s="130" t="s">
        <v>18</v>
      </c>
      <c r="C97" s="131"/>
      <c r="D97" s="131"/>
      <c r="E97" s="131"/>
      <c r="F97" s="131"/>
      <c r="G97" s="53"/>
      <c r="H97" s="503"/>
      <c r="I97" s="53"/>
      <c r="J97" s="53"/>
      <c r="K97" s="53"/>
      <c r="L97" s="53"/>
      <c r="M97" s="53"/>
      <c r="N97" s="15">
        <f>N95</f>
        <v>0</v>
      </c>
      <c r="O97" s="25" t="e">
        <f>N97/N173</f>
        <v>#DIV/0!</v>
      </c>
    </row>
    <row r="98" spans="1:15" ht="12.75" hidden="1" customHeight="1" x14ac:dyDescent="0.2">
      <c r="A98" s="494"/>
      <c r="B98" s="88"/>
      <c r="G98" s="97"/>
      <c r="H98" s="502"/>
      <c r="I98" s="72"/>
      <c r="J98" s="72"/>
      <c r="K98" s="15"/>
      <c r="L98" s="72"/>
      <c r="M98" s="15"/>
      <c r="N98" s="15"/>
      <c r="O98" s="25"/>
    </row>
    <row r="99" spans="1:15" ht="12.75" customHeight="1" x14ac:dyDescent="0.2">
      <c r="A99" s="494" t="s">
        <v>269</v>
      </c>
      <c r="B99" s="88" t="s">
        <v>74</v>
      </c>
      <c r="G99" s="97"/>
      <c r="H99" s="502"/>
      <c r="I99" s="15"/>
      <c r="J99" s="15"/>
      <c r="K99" s="15"/>
      <c r="L99" s="15"/>
      <c r="M99" s="15"/>
      <c r="N99" s="15"/>
      <c r="O99" s="25"/>
    </row>
    <row r="100" spans="1:15" ht="12.75" customHeight="1" x14ac:dyDescent="0.2">
      <c r="A100" s="494" t="s">
        <v>1062</v>
      </c>
      <c r="B100" s="88" t="s">
        <v>1063</v>
      </c>
      <c r="G100" s="97" t="s">
        <v>24</v>
      </c>
      <c r="H100" s="502">
        <v>0</v>
      </c>
      <c r="I100" s="72">
        <f>VLOOKUP(A100,'[1]TAB OGU JUN18'!$A:$G,6,"falso")</f>
        <v>220</v>
      </c>
      <c r="J100" s="72">
        <f>VLOOKUP(A100,'[1]TAB OGU JUN18'!$A:$G,4,"falso")</f>
        <v>0</v>
      </c>
      <c r="K100" s="15"/>
      <c r="L100" s="72">
        <f>VLOOKUP(A100,'[1]TAB OGU JUN18'!$A:$G,5,"falso")</f>
        <v>220</v>
      </c>
      <c r="M100" s="15">
        <f>H100*L100</f>
        <v>0</v>
      </c>
      <c r="N100" s="15">
        <f>H100*I100</f>
        <v>0</v>
      </c>
      <c r="O100" s="25" t="e">
        <f>N100/N102</f>
        <v>#DIV/0!</v>
      </c>
    </row>
    <row r="101" spans="1:15" ht="12.75" customHeight="1" x14ac:dyDescent="0.2">
      <c r="A101" s="494"/>
      <c r="B101" s="88"/>
      <c r="G101" s="97"/>
      <c r="H101" s="502"/>
      <c r="I101" s="72"/>
      <c r="J101" s="72"/>
      <c r="K101" s="15"/>
      <c r="L101" s="72"/>
      <c r="M101" s="15"/>
      <c r="N101" s="15"/>
      <c r="O101" s="25"/>
    </row>
    <row r="102" spans="1:15" ht="12.75" customHeight="1" x14ac:dyDescent="0.2">
      <c r="A102" s="491"/>
      <c r="B102" s="130" t="s">
        <v>18</v>
      </c>
      <c r="C102" s="131"/>
      <c r="D102" s="131"/>
      <c r="E102" s="131"/>
      <c r="F102" s="131"/>
      <c r="G102" s="53"/>
      <c r="H102" s="503"/>
      <c r="I102" s="53"/>
      <c r="J102" s="53"/>
      <c r="K102" s="53"/>
      <c r="L102" s="53"/>
      <c r="M102" s="53"/>
      <c r="N102" s="15">
        <f>N100</f>
        <v>0</v>
      </c>
      <c r="O102" s="25" t="e">
        <f>N102/N173</f>
        <v>#DIV/0!</v>
      </c>
    </row>
    <row r="103" spans="1:15" ht="12.75" customHeight="1" x14ac:dyDescent="0.2">
      <c r="A103" s="491"/>
      <c r="B103" s="130"/>
      <c r="G103" s="52"/>
      <c r="H103" s="501"/>
      <c r="I103" s="52"/>
      <c r="J103" s="52"/>
      <c r="K103" s="52"/>
      <c r="L103" s="52"/>
      <c r="M103" s="52"/>
      <c r="N103" s="15"/>
      <c r="O103" s="25"/>
    </row>
    <row r="104" spans="1:15" ht="12.75" hidden="1" customHeight="1" x14ac:dyDescent="0.2">
      <c r="A104" s="494">
        <v>2240</v>
      </c>
      <c r="B104" s="88" t="s">
        <v>715</v>
      </c>
      <c r="G104" s="52"/>
      <c r="H104" s="501"/>
      <c r="I104" s="52"/>
      <c r="J104" s="52"/>
      <c r="K104" s="52"/>
      <c r="L104" s="52"/>
      <c r="M104" s="52"/>
      <c r="N104" s="52"/>
      <c r="O104" s="19"/>
    </row>
    <row r="105" spans="1:15" ht="12.75" hidden="1" customHeight="1" x14ac:dyDescent="0.2">
      <c r="A105" s="494" t="s">
        <v>1193</v>
      </c>
      <c r="B105" s="88" t="s">
        <v>1194</v>
      </c>
      <c r="G105" s="97" t="s">
        <v>24</v>
      </c>
      <c r="H105" s="502">
        <v>0</v>
      </c>
      <c r="I105" s="72">
        <f>VLOOKUP(A105,'[1]TAB OGU JUN18'!$A:$G,6,"falso")</f>
        <v>381.97</v>
      </c>
      <c r="J105" s="72">
        <f>VLOOKUP(A105,'[1]TAB OGU JUN18'!$A:$G,4,"falso")</f>
        <v>0</v>
      </c>
      <c r="K105" s="15"/>
      <c r="L105" s="72">
        <f>VLOOKUP(A105,'[1]TAB OGU JUN18'!$A:$G,5,"falso")</f>
        <v>381.97</v>
      </c>
      <c r="M105" s="15">
        <f>H105*L105</f>
        <v>0</v>
      </c>
      <c r="N105" s="15">
        <f>H105*I105</f>
        <v>0</v>
      </c>
      <c r="O105" s="25" t="e">
        <f>N105/N110</f>
        <v>#DIV/0!</v>
      </c>
    </row>
    <row r="106" spans="1:15" ht="12.75" hidden="1" customHeight="1" x14ac:dyDescent="0.2">
      <c r="A106" s="494" t="s">
        <v>1064</v>
      </c>
      <c r="B106" s="88" t="s">
        <v>1065</v>
      </c>
      <c r="G106" s="97" t="s">
        <v>24</v>
      </c>
      <c r="H106" s="502">
        <v>0</v>
      </c>
      <c r="I106" s="72">
        <f>VLOOKUP(A106,'[1]TAB OGU JUN18'!$A:$G,6,"falso")</f>
        <v>381.97</v>
      </c>
      <c r="J106" s="72">
        <f>VLOOKUP(A106,'[1]TAB OGU JUN18'!$A:$G,4,"falso")</f>
        <v>0</v>
      </c>
      <c r="K106" s="15"/>
      <c r="L106" s="72">
        <f>VLOOKUP(A106,'[1]TAB OGU JUN18'!$A:$G,5,"falso")</f>
        <v>381.97</v>
      </c>
      <c r="M106" s="15">
        <f>H106*L106</f>
        <v>0</v>
      </c>
      <c r="N106" s="15">
        <f>H106*I106</f>
        <v>0</v>
      </c>
      <c r="O106" s="25" t="e">
        <f>N106/N110</f>
        <v>#DIV/0!</v>
      </c>
    </row>
    <row r="107" spans="1:15" ht="12.75" hidden="1" customHeight="1" x14ac:dyDescent="0.2">
      <c r="A107" s="494" t="s">
        <v>1189</v>
      </c>
      <c r="B107" s="88" t="s">
        <v>1190</v>
      </c>
      <c r="G107" s="97" t="s">
        <v>24</v>
      </c>
      <c r="H107" s="502">
        <v>0</v>
      </c>
      <c r="I107" s="72">
        <f>VLOOKUP(A107,'[1]TAB OGU JUN18'!$A:$G,6,"falso")</f>
        <v>588.83000000000004</v>
      </c>
      <c r="J107" s="72">
        <f>VLOOKUP(A107,'[1]TAB OGU JUN18'!$A:$G,4,"falso")</f>
        <v>0</v>
      </c>
      <c r="K107" s="15"/>
      <c r="L107" s="72">
        <f>VLOOKUP(A107,'[1]TAB OGU JUN18'!$A:$G,5,"falso")</f>
        <v>588.83000000000004</v>
      </c>
      <c r="M107" s="15">
        <f>H107*L107</f>
        <v>0</v>
      </c>
      <c r="N107" s="15">
        <f>H107*I107</f>
        <v>0</v>
      </c>
      <c r="O107" s="25" t="e">
        <f>N107/N110</f>
        <v>#DIV/0!</v>
      </c>
    </row>
    <row r="108" spans="1:15" ht="12.75" hidden="1" customHeight="1" x14ac:dyDescent="0.2">
      <c r="A108" s="494" t="s">
        <v>1191</v>
      </c>
      <c r="B108" s="88" t="s">
        <v>1192</v>
      </c>
      <c r="G108" s="97" t="s">
        <v>24</v>
      </c>
      <c r="H108" s="502">
        <v>0</v>
      </c>
      <c r="I108" s="72">
        <f>VLOOKUP(A108,'[1]TAB OGU JUN18'!$A:$G,6,"falso")</f>
        <v>923.02</v>
      </c>
      <c r="J108" s="72">
        <f>VLOOKUP(A108,'[1]TAB OGU JUN18'!$A:$G,4,"falso")</f>
        <v>0</v>
      </c>
      <c r="K108" s="15"/>
      <c r="L108" s="72">
        <f>VLOOKUP(A108,'[1]TAB OGU JUN18'!$A:$G,5,"falso")</f>
        <v>923.02</v>
      </c>
      <c r="M108" s="15">
        <f>H108*L108</f>
        <v>0</v>
      </c>
      <c r="N108" s="15">
        <f>H108*I108</f>
        <v>0</v>
      </c>
      <c r="O108" s="25" t="e">
        <f>N108/N110</f>
        <v>#DIV/0!</v>
      </c>
    </row>
    <row r="109" spans="1:15" ht="12.75" hidden="1" customHeight="1" x14ac:dyDescent="0.2">
      <c r="G109" s="52"/>
      <c r="H109" s="501"/>
      <c r="I109" s="52"/>
      <c r="J109" s="52"/>
      <c r="K109" s="52"/>
      <c r="L109" s="52"/>
      <c r="M109" s="52"/>
      <c r="N109" s="52"/>
      <c r="O109" s="19"/>
    </row>
    <row r="110" spans="1:15" ht="12.75" hidden="1" customHeight="1" x14ac:dyDescent="0.2">
      <c r="B110" s="130" t="s">
        <v>18</v>
      </c>
      <c r="C110" s="131"/>
      <c r="D110" s="131"/>
      <c r="E110" s="131"/>
      <c r="F110" s="131"/>
      <c r="G110" s="53"/>
      <c r="H110" s="503"/>
      <c r="I110" s="53"/>
      <c r="J110" s="53"/>
      <c r="K110" s="53"/>
      <c r="L110" s="53"/>
      <c r="M110" s="53"/>
      <c r="N110" s="15">
        <f>SUM(N105:N108)</f>
        <v>0</v>
      </c>
      <c r="O110" s="25" t="e">
        <f>N110/N173</f>
        <v>#DIV/0!</v>
      </c>
    </row>
    <row r="111" spans="1:15" ht="12.75" hidden="1" customHeight="1" x14ac:dyDescent="0.2">
      <c r="B111" s="130"/>
      <c r="G111" s="52"/>
      <c r="H111" s="501"/>
      <c r="I111" s="52"/>
      <c r="J111" s="52"/>
      <c r="K111" s="52"/>
      <c r="L111" s="52"/>
      <c r="M111" s="52"/>
      <c r="N111" s="15"/>
      <c r="O111" s="25"/>
    </row>
    <row r="112" spans="1:15" ht="12.75" customHeight="1" x14ac:dyDescent="0.2">
      <c r="A112" s="98">
        <v>2280</v>
      </c>
      <c r="B112" s="88" t="s">
        <v>720</v>
      </c>
      <c r="G112" s="52"/>
      <c r="H112" s="501"/>
      <c r="I112" s="52"/>
      <c r="J112" s="52"/>
      <c r="K112" s="52"/>
      <c r="L112" s="52"/>
      <c r="M112" s="52"/>
      <c r="N112" s="52"/>
      <c r="O112" s="19"/>
    </row>
    <row r="113" spans="1:15" ht="12.75" customHeight="1" x14ac:dyDescent="0.2">
      <c r="A113" s="494" t="s">
        <v>1195</v>
      </c>
      <c r="B113" s="591" t="s">
        <v>1199</v>
      </c>
      <c r="C113" s="491"/>
      <c r="D113" s="491"/>
      <c r="E113" s="491"/>
      <c r="F113" s="491"/>
      <c r="G113" s="97" t="s">
        <v>24</v>
      </c>
      <c r="H113" s="502">
        <v>0</v>
      </c>
      <c r="I113" s="72">
        <f>VLOOKUP(A113,'[1]TAB OGU JUN18'!$A:$G,6,"falso")</f>
        <v>188.8</v>
      </c>
      <c r="J113" s="72">
        <f>VLOOKUP(A113,'[1]TAB OGU JUN18'!$A:$G,4,"falso")</f>
        <v>0</v>
      </c>
      <c r="K113" s="15"/>
      <c r="L113" s="72">
        <f>VLOOKUP(A113,'[1]TAB OGU JUN18'!$A:$G,5,"falso")</f>
        <v>188.8</v>
      </c>
      <c r="M113" s="15">
        <f>H113*L113</f>
        <v>0</v>
      </c>
      <c r="N113" s="15">
        <f t="shared" ref="N113:N128" si="5">H113*I113</f>
        <v>0</v>
      </c>
      <c r="O113" s="25" t="e">
        <f t="shared" ref="O113:O128" si="6">N113/$N$130</f>
        <v>#DIV/0!</v>
      </c>
    </row>
    <row r="114" spans="1:15" ht="12.75" customHeight="1" x14ac:dyDescent="0.2">
      <c r="A114" s="494" t="s">
        <v>1196</v>
      </c>
      <c r="B114" s="591" t="s">
        <v>1200</v>
      </c>
      <c r="C114" s="491"/>
      <c r="D114" s="491"/>
      <c r="E114" s="491"/>
      <c r="F114" s="491"/>
      <c r="G114" s="97" t="s">
        <v>24</v>
      </c>
      <c r="H114" s="502">
        <v>0</v>
      </c>
      <c r="I114" s="72">
        <f>VLOOKUP(A114,'[1]TAB OGU JUN18'!$A:$G,6,"falso")</f>
        <v>252.83</v>
      </c>
      <c r="J114" s="72">
        <f>VLOOKUP(A114,'[1]TAB OGU JUN18'!$A:$G,4,"falso")</f>
        <v>0</v>
      </c>
      <c r="K114" s="15"/>
      <c r="L114" s="72">
        <f>VLOOKUP(A114,'[1]TAB OGU JUN18'!$A:$G,5,"falso")</f>
        <v>252.83</v>
      </c>
      <c r="M114" s="15">
        <f t="shared" ref="M114:M128" si="7">H114*L114</f>
        <v>0</v>
      </c>
      <c r="N114" s="15">
        <f t="shared" si="5"/>
        <v>0</v>
      </c>
      <c r="O114" s="25" t="e">
        <f t="shared" si="6"/>
        <v>#DIV/0!</v>
      </c>
    </row>
    <row r="115" spans="1:15" ht="12.75" hidden="1" customHeight="1" x14ac:dyDescent="0.2">
      <c r="A115" s="494" t="s">
        <v>1197</v>
      </c>
      <c r="B115" s="591" t="s">
        <v>1201</v>
      </c>
      <c r="C115" s="491"/>
      <c r="D115" s="491"/>
      <c r="E115" s="491"/>
      <c r="F115" s="491"/>
      <c r="G115" s="97" t="s">
        <v>24</v>
      </c>
      <c r="H115" s="502">
        <v>0</v>
      </c>
      <c r="I115" s="72">
        <f>VLOOKUP(A115,'[1]TAB OGU JUN18'!$A:$G,6,"falso")</f>
        <v>442.45</v>
      </c>
      <c r="J115" s="72">
        <f>VLOOKUP(A115,'[1]TAB OGU JUN18'!$A:$G,4,"falso")</f>
        <v>0</v>
      </c>
      <c r="K115" s="15"/>
      <c r="L115" s="72">
        <f>VLOOKUP(A115,'[1]TAB OGU JUN18'!$A:$G,5,"falso")</f>
        <v>442.45</v>
      </c>
      <c r="M115" s="15">
        <f t="shared" si="7"/>
        <v>0</v>
      </c>
      <c r="N115" s="15">
        <f t="shared" si="5"/>
        <v>0</v>
      </c>
      <c r="O115" s="25" t="e">
        <f t="shared" si="6"/>
        <v>#DIV/0!</v>
      </c>
    </row>
    <row r="116" spans="1:15" ht="12.75" customHeight="1" x14ac:dyDescent="0.2">
      <c r="A116" s="494" t="s">
        <v>1198</v>
      </c>
      <c r="B116" s="591" t="s">
        <v>1202</v>
      </c>
      <c r="C116" s="491"/>
      <c r="D116" s="491"/>
      <c r="E116" s="491"/>
      <c r="F116" s="491"/>
      <c r="G116" s="97" t="s">
        <v>24</v>
      </c>
      <c r="H116" s="502">
        <v>0</v>
      </c>
      <c r="I116" s="72">
        <f>VLOOKUP(A116,'[1]TAB OGU JUN18'!$A:$G,6,"falso")</f>
        <v>739.42</v>
      </c>
      <c r="J116" s="72">
        <f>VLOOKUP(A116,'[1]TAB OGU JUN18'!$A:$G,4,"falso")</f>
        <v>0</v>
      </c>
      <c r="K116" s="15"/>
      <c r="L116" s="72">
        <f>VLOOKUP(A116,'[1]TAB OGU JUN18'!$A:$G,5,"falso")</f>
        <v>739.42</v>
      </c>
      <c r="M116" s="15">
        <f t="shared" si="7"/>
        <v>0</v>
      </c>
      <c r="N116" s="15">
        <f t="shared" si="5"/>
        <v>0</v>
      </c>
      <c r="O116" s="25" t="e">
        <f t="shared" si="6"/>
        <v>#DIV/0!</v>
      </c>
    </row>
    <row r="117" spans="1:15" ht="12.75" hidden="1" customHeight="1" x14ac:dyDescent="0.2">
      <c r="A117" s="494" t="s">
        <v>1203</v>
      </c>
      <c r="B117" s="591" t="s">
        <v>1205</v>
      </c>
      <c r="C117" s="491"/>
      <c r="D117" s="491"/>
      <c r="E117" s="491"/>
      <c r="F117" s="491"/>
      <c r="G117" s="97" t="s">
        <v>24</v>
      </c>
      <c r="H117" s="502">
        <v>0</v>
      </c>
      <c r="I117" s="72">
        <f>VLOOKUP(A117,'[1]TAB OGU JUN18'!$A:$G,6,"falso")</f>
        <v>888.07</v>
      </c>
      <c r="J117" s="72">
        <f>VLOOKUP(A117,'[1]TAB OGU JUN18'!$A:$G,4,"falso")</f>
        <v>0</v>
      </c>
      <c r="K117" s="15"/>
      <c r="L117" s="72">
        <f>VLOOKUP(A117,'[1]TAB OGU JUN18'!$A:$G,5,"falso")</f>
        <v>888.07</v>
      </c>
      <c r="M117" s="15">
        <f t="shared" si="7"/>
        <v>0</v>
      </c>
      <c r="N117" s="15">
        <f t="shared" si="5"/>
        <v>0</v>
      </c>
      <c r="O117" s="25" t="e">
        <f t="shared" si="6"/>
        <v>#DIV/0!</v>
      </c>
    </row>
    <row r="118" spans="1:15" ht="12.75" hidden="1" customHeight="1" x14ac:dyDescent="0.2">
      <c r="A118" s="494" t="s">
        <v>1204</v>
      </c>
      <c r="B118" s="591" t="s">
        <v>1206</v>
      </c>
      <c r="C118" s="491"/>
      <c r="D118" s="491"/>
      <c r="E118" s="491"/>
      <c r="F118" s="491"/>
      <c r="G118" s="97" t="s">
        <v>24</v>
      </c>
      <c r="H118" s="502">
        <v>0</v>
      </c>
      <c r="I118" s="72">
        <f>VLOOKUP(A118,'[1]TAB OGU JUN18'!$A:$G,6,"falso")</f>
        <v>1036.72</v>
      </c>
      <c r="J118" s="72">
        <f>VLOOKUP(A118,'[1]TAB OGU JUN18'!$A:$G,4,"falso")</f>
        <v>0</v>
      </c>
      <c r="K118" s="15"/>
      <c r="L118" s="72">
        <f>VLOOKUP(A118,'[1]TAB OGU JUN18'!$A:$G,5,"falso")</f>
        <v>1036.72</v>
      </c>
      <c r="M118" s="15">
        <f t="shared" si="7"/>
        <v>0</v>
      </c>
      <c r="N118" s="15">
        <f t="shared" si="5"/>
        <v>0</v>
      </c>
      <c r="O118" s="25" t="e">
        <f t="shared" si="6"/>
        <v>#DIV/0!</v>
      </c>
    </row>
    <row r="119" spans="1:15" ht="12.75" hidden="1" customHeight="1" x14ac:dyDescent="0.2">
      <c r="A119" s="494" t="s">
        <v>1067</v>
      </c>
      <c r="B119" s="591" t="s">
        <v>1207</v>
      </c>
      <c r="C119" s="491"/>
      <c r="D119" s="491"/>
      <c r="E119" s="491"/>
      <c r="F119" s="491"/>
      <c r="G119" s="97" t="s">
        <v>24</v>
      </c>
      <c r="H119" s="502">
        <v>0</v>
      </c>
      <c r="I119" s="72">
        <f>VLOOKUP(A119,'[1]TAB OGU JUN18'!$A:$G,6,"falso")</f>
        <v>1181.1099999999999</v>
      </c>
      <c r="J119" s="72">
        <f>VLOOKUP(A119,'[1]TAB OGU JUN18'!$A:$G,4,"falso")</f>
        <v>0</v>
      </c>
      <c r="K119" s="15"/>
      <c r="L119" s="72">
        <f>VLOOKUP(A119,'[1]TAB OGU JUN18'!$A:$G,5,"falso")</f>
        <v>1181.1099999999999</v>
      </c>
      <c r="M119" s="15">
        <f t="shared" si="7"/>
        <v>0</v>
      </c>
      <c r="N119" s="15">
        <f t="shared" si="5"/>
        <v>0</v>
      </c>
      <c r="O119" s="25" t="e">
        <f t="shared" si="6"/>
        <v>#DIV/0!</v>
      </c>
    </row>
    <row r="120" spans="1:15" ht="12.75" hidden="1" customHeight="1" x14ac:dyDescent="0.2">
      <c r="A120" s="494" t="s">
        <v>1208</v>
      </c>
      <c r="B120" s="591" t="s">
        <v>1210</v>
      </c>
      <c r="C120" s="491"/>
      <c r="D120" s="491"/>
      <c r="E120" s="491"/>
      <c r="F120" s="491"/>
      <c r="G120" s="97" t="s">
        <v>24</v>
      </c>
      <c r="H120" s="502">
        <v>0</v>
      </c>
      <c r="I120" s="72">
        <f>VLOOKUP(A120,'[1]TAB OGU JUN18'!$A:$G,6,"falso")</f>
        <v>1279.1500000000001</v>
      </c>
      <c r="J120" s="72">
        <f>VLOOKUP(A120,'[1]TAB OGU JUN18'!$A:$G,4,"falso")</f>
        <v>0</v>
      </c>
      <c r="K120" s="15"/>
      <c r="L120" s="72">
        <f>VLOOKUP(A120,'[1]TAB OGU JUN18'!$A:$G,5,"falso")</f>
        <v>1279.1500000000001</v>
      </c>
      <c r="M120" s="15">
        <f t="shared" si="7"/>
        <v>0</v>
      </c>
      <c r="N120" s="15">
        <f t="shared" si="5"/>
        <v>0</v>
      </c>
      <c r="O120" s="25" t="e">
        <f t="shared" si="6"/>
        <v>#DIV/0!</v>
      </c>
    </row>
    <row r="121" spans="1:15" ht="12.75" hidden="1" customHeight="1" x14ac:dyDescent="0.2">
      <c r="A121" s="494" t="s">
        <v>1209</v>
      </c>
      <c r="B121" s="591" t="s">
        <v>1211</v>
      </c>
      <c r="C121" s="491"/>
      <c r="D121" s="491"/>
      <c r="E121" s="491"/>
      <c r="F121" s="491"/>
      <c r="G121" s="97" t="s">
        <v>24</v>
      </c>
      <c r="H121" s="502">
        <v>0</v>
      </c>
      <c r="I121" s="72">
        <f>VLOOKUP(A121,'[1]TAB OGU JUN18'!$A:$G,6,"falso")</f>
        <v>1478.48</v>
      </c>
      <c r="J121" s="72">
        <f>VLOOKUP(A121,'[1]TAB OGU JUN18'!$A:$G,4,"falso")</f>
        <v>0</v>
      </c>
      <c r="K121" s="15"/>
      <c r="L121" s="72">
        <f>VLOOKUP(A121,'[1]TAB OGU JUN18'!$A:$G,5,"falso")</f>
        <v>1478.48</v>
      </c>
      <c r="M121" s="15">
        <f t="shared" si="7"/>
        <v>0</v>
      </c>
      <c r="N121" s="15">
        <f t="shared" si="5"/>
        <v>0</v>
      </c>
      <c r="O121" s="25" t="e">
        <f t="shared" si="6"/>
        <v>#DIV/0!</v>
      </c>
    </row>
    <row r="122" spans="1:15" ht="12.75" customHeight="1" x14ac:dyDescent="0.2">
      <c r="A122" s="494" t="s">
        <v>1022</v>
      </c>
      <c r="B122" s="591" t="s">
        <v>1212</v>
      </c>
      <c r="C122" s="491"/>
      <c r="D122" s="491"/>
      <c r="E122" s="491"/>
      <c r="F122" s="491"/>
      <c r="G122" s="97" t="s">
        <v>24</v>
      </c>
      <c r="H122" s="502">
        <v>0</v>
      </c>
      <c r="I122" s="72">
        <f>VLOOKUP(A122,'[1]TAB OGU JUN18'!$A:$G,6,"falso")</f>
        <v>1691.57</v>
      </c>
      <c r="J122" s="72">
        <f>VLOOKUP(A122,'[1]TAB OGU JUN18'!$A:$G,4,"falso")</f>
        <v>0</v>
      </c>
      <c r="K122" s="15"/>
      <c r="L122" s="72">
        <f>VLOOKUP(A122,'[1]TAB OGU JUN18'!$A:$G,5,"falso")</f>
        <v>1691.57</v>
      </c>
      <c r="M122" s="15">
        <f t="shared" si="7"/>
        <v>0</v>
      </c>
      <c r="N122" s="15">
        <f t="shared" si="5"/>
        <v>0</v>
      </c>
      <c r="O122" s="25" t="e">
        <f t="shared" si="6"/>
        <v>#DIV/0!</v>
      </c>
    </row>
    <row r="123" spans="1:15" ht="12.75" hidden="1" customHeight="1" x14ac:dyDescent="0.2">
      <c r="A123" s="494" t="s">
        <v>1066</v>
      </c>
      <c r="B123" s="591" t="s">
        <v>1068</v>
      </c>
      <c r="C123" s="491"/>
      <c r="D123" s="491"/>
      <c r="E123" s="491"/>
      <c r="F123" s="491"/>
      <c r="G123" s="97" t="s">
        <v>24</v>
      </c>
      <c r="H123" s="502">
        <v>0</v>
      </c>
      <c r="I123" s="72">
        <f>VLOOKUP(A123,'[1]TAB OGU JUN18'!$A:$G,6,"falso")</f>
        <v>654.57000000000005</v>
      </c>
      <c r="J123" s="72">
        <f>VLOOKUP(A123,'[1]TAB OGU JUN18'!$A:$G,4,"falso")</f>
        <v>0</v>
      </c>
      <c r="K123" s="15"/>
      <c r="L123" s="72">
        <f>VLOOKUP(A123,'[1]TAB OGU JUN18'!$A:$G,5,"falso")</f>
        <v>654.57000000000005</v>
      </c>
      <c r="M123" s="15">
        <f t="shared" si="7"/>
        <v>0</v>
      </c>
      <c r="N123" s="15">
        <f t="shared" si="5"/>
        <v>0</v>
      </c>
      <c r="O123" s="25" t="e">
        <f t="shared" si="6"/>
        <v>#DIV/0!</v>
      </c>
    </row>
    <row r="124" spans="1:15" ht="12.75" hidden="1" customHeight="1" x14ac:dyDescent="0.2">
      <c r="A124" s="494" t="s">
        <v>1213</v>
      </c>
      <c r="B124" s="591" t="s">
        <v>1218</v>
      </c>
      <c r="C124" s="491"/>
      <c r="D124" s="491"/>
      <c r="E124" s="491"/>
      <c r="F124" s="491"/>
      <c r="G124" s="97" t="s">
        <v>24</v>
      </c>
      <c r="H124" s="502">
        <v>0</v>
      </c>
      <c r="I124" s="72">
        <f>VLOOKUP(A124,'[1]TAB OGU JUN18'!$A:$G,6,"falso")</f>
        <v>329.45</v>
      </c>
      <c r="J124" s="72">
        <f>VLOOKUP(A124,'[1]TAB OGU JUN18'!$A:$G,4,"falso")</f>
        <v>0</v>
      </c>
      <c r="K124" s="15"/>
      <c r="L124" s="72">
        <f>VLOOKUP(A124,'[1]TAB OGU JUN18'!$A:$G,5,"falso")</f>
        <v>329.45</v>
      </c>
      <c r="M124" s="15">
        <f t="shared" si="7"/>
        <v>0</v>
      </c>
      <c r="N124" s="15">
        <f t="shared" si="5"/>
        <v>0</v>
      </c>
      <c r="O124" s="25" t="e">
        <f t="shared" si="6"/>
        <v>#DIV/0!</v>
      </c>
    </row>
    <row r="125" spans="1:15" ht="12.75" hidden="1" customHeight="1" x14ac:dyDescent="0.2">
      <c r="A125" s="494" t="s">
        <v>1214</v>
      </c>
      <c r="B125" s="591" t="s">
        <v>1219</v>
      </c>
      <c r="C125" s="491"/>
      <c r="D125" s="491"/>
      <c r="E125" s="491"/>
      <c r="F125" s="491"/>
      <c r="G125" s="97" t="s">
        <v>24</v>
      </c>
      <c r="H125" s="502">
        <v>0</v>
      </c>
      <c r="I125" s="72">
        <f>VLOOKUP(A125,'[1]TAB OGU JUN18'!$A:$G,6,"falso")</f>
        <v>465.47</v>
      </c>
      <c r="J125" s="72">
        <f>VLOOKUP(A125,'[1]TAB OGU JUN18'!$A:$G,4,"falso")</f>
        <v>0</v>
      </c>
      <c r="K125" s="15"/>
      <c r="L125" s="72">
        <f>VLOOKUP(A125,'[1]TAB OGU JUN18'!$A:$G,5,"falso")</f>
        <v>465.47</v>
      </c>
      <c r="M125" s="15">
        <f t="shared" si="7"/>
        <v>0</v>
      </c>
      <c r="N125" s="15">
        <f t="shared" si="5"/>
        <v>0</v>
      </c>
      <c r="O125" s="25" t="e">
        <f t="shared" si="6"/>
        <v>#DIV/0!</v>
      </c>
    </row>
    <row r="126" spans="1:15" ht="12.75" hidden="1" customHeight="1" x14ac:dyDescent="0.2">
      <c r="A126" s="494" t="s">
        <v>1215</v>
      </c>
      <c r="B126" s="591" t="s">
        <v>1220</v>
      </c>
      <c r="C126" s="491"/>
      <c r="D126" s="491"/>
      <c r="E126" s="491"/>
      <c r="F126" s="491"/>
      <c r="G126" s="97" t="s">
        <v>24</v>
      </c>
      <c r="H126" s="502">
        <v>0</v>
      </c>
      <c r="I126" s="72">
        <f>VLOOKUP(A126,'[1]TAB OGU JUN18'!$A:$G,6,"falso")</f>
        <v>795.28</v>
      </c>
      <c r="J126" s="72">
        <f>VLOOKUP(A126,'[1]TAB OGU JUN18'!$A:$G,4,"falso")</f>
        <v>0</v>
      </c>
      <c r="K126" s="15"/>
      <c r="L126" s="72">
        <f>VLOOKUP(A126,'[1]TAB OGU JUN18'!$A:$G,5,"falso")</f>
        <v>795.28</v>
      </c>
      <c r="M126" s="15">
        <f t="shared" si="7"/>
        <v>0</v>
      </c>
      <c r="N126" s="15">
        <f t="shared" si="5"/>
        <v>0</v>
      </c>
      <c r="O126" s="25" t="e">
        <f t="shared" si="6"/>
        <v>#DIV/0!</v>
      </c>
    </row>
    <row r="127" spans="1:15" ht="12.75" hidden="1" customHeight="1" x14ac:dyDescent="0.2">
      <c r="A127" s="494" t="s">
        <v>1216</v>
      </c>
      <c r="B127" s="591" t="s">
        <v>1221</v>
      </c>
      <c r="C127" s="491"/>
      <c r="D127" s="491"/>
      <c r="E127" s="491"/>
      <c r="F127" s="491"/>
      <c r="G127" s="97" t="s">
        <v>24</v>
      </c>
      <c r="H127" s="502">
        <v>0</v>
      </c>
      <c r="I127" s="72">
        <f>VLOOKUP(A127,'[1]TAB OGU JUN18'!$A:$G,6,"falso")</f>
        <v>1026.32</v>
      </c>
      <c r="J127" s="72">
        <f>VLOOKUP(A127,'[1]TAB OGU JUN18'!$A:$G,4,"falso")</f>
        <v>0</v>
      </c>
      <c r="K127" s="15"/>
      <c r="L127" s="72">
        <f>VLOOKUP(A127,'[1]TAB OGU JUN18'!$A:$G,5,"falso")</f>
        <v>1026.32</v>
      </c>
      <c r="M127" s="15">
        <f t="shared" si="7"/>
        <v>0</v>
      </c>
      <c r="N127" s="15">
        <f t="shared" si="5"/>
        <v>0</v>
      </c>
      <c r="O127" s="25" t="e">
        <f t="shared" si="6"/>
        <v>#DIV/0!</v>
      </c>
    </row>
    <row r="128" spans="1:15" ht="12.75" hidden="1" customHeight="1" x14ac:dyDescent="0.2">
      <c r="A128" s="494" t="s">
        <v>1217</v>
      </c>
      <c r="B128" s="591" t="s">
        <v>1222</v>
      </c>
      <c r="C128" s="491"/>
      <c r="D128" s="491"/>
      <c r="E128" s="491"/>
      <c r="F128" s="491"/>
      <c r="G128" s="97" t="s">
        <v>24</v>
      </c>
      <c r="H128" s="502">
        <v>0</v>
      </c>
      <c r="I128" s="72">
        <f>VLOOKUP(A128,'[1]TAB OGU JUN18'!$A:$G,6,"falso")</f>
        <v>1205.46</v>
      </c>
      <c r="J128" s="72">
        <f>VLOOKUP(A128,'[1]TAB OGU JUN18'!$A:$G,4,"falso")</f>
        <v>0</v>
      </c>
      <c r="K128" s="15"/>
      <c r="L128" s="72">
        <f>VLOOKUP(A128,'[1]TAB OGU JUN18'!$A:$G,5,"falso")</f>
        <v>1205.46</v>
      </c>
      <c r="M128" s="15">
        <f t="shared" si="7"/>
        <v>0</v>
      </c>
      <c r="N128" s="15">
        <f t="shared" si="5"/>
        <v>0</v>
      </c>
      <c r="O128" s="25" t="e">
        <f t="shared" si="6"/>
        <v>#DIV/0!</v>
      </c>
    </row>
    <row r="129" spans="1:15" ht="12.75" customHeight="1" x14ac:dyDescent="0.2">
      <c r="G129" s="52"/>
      <c r="H129" s="501"/>
      <c r="I129" s="52"/>
      <c r="J129" s="52"/>
      <c r="K129" s="52"/>
      <c r="L129" s="52"/>
      <c r="M129" s="52"/>
      <c r="N129" s="52"/>
      <c r="O129" s="19"/>
    </row>
    <row r="130" spans="1:15" ht="12.75" customHeight="1" x14ac:dyDescent="0.2">
      <c r="B130" s="130" t="s">
        <v>18</v>
      </c>
      <c r="C130" s="131"/>
      <c r="D130" s="131"/>
      <c r="E130" s="131"/>
      <c r="F130" s="131"/>
      <c r="G130" s="53"/>
      <c r="H130" s="503"/>
      <c r="I130" s="53"/>
      <c r="J130" s="53"/>
      <c r="K130" s="53"/>
      <c r="L130" s="53"/>
      <c r="M130" s="53"/>
      <c r="N130" s="15">
        <f>SUM(N113:N128)</f>
        <v>0</v>
      </c>
      <c r="O130" s="25" t="e">
        <f>N130/N173</f>
        <v>#DIV/0!</v>
      </c>
    </row>
    <row r="131" spans="1:15" ht="12.75" customHeight="1" x14ac:dyDescent="0.2">
      <c r="B131" s="130"/>
      <c r="G131" s="52"/>
      <c r="H131" s="501"/>
      <c r="I131" s="52"/>
      <c r="J131" s="52"/>
      <c r="K131" s="52"/>
      <c r="L131" s="52"/>
      <c r="M131" s="52"/>
      <c r="N131" s="15"/>
      <c r="O131" s="25"/>
    </row>
    <row r="132" spans="1:15" ht="12.75" customHeight="1" x14ac:dyDescent="0.2">
      <c r="A132" s="494">
        <v>2281</v>
      </c>
      <c r="B132" s="490" t="s">
        <v>487</v>
      </c>
      <c r="C132" s="491"/>
      <c r="D132" s="491"/>
      <c r="E132" s="491"/>
      <c r="F132" s="491"/>
      <c r="G132" s="52"/>
      <c r="H132" s="501"/>
      <c r="I132" s="52"/>
      <c r="J132" s="52"/>
      <c r="K132" s="52"/>
      <c r="L132" s="52"/>
      <c r="M132" s="52"/>
      <c r="N132" s="52"/>
      <c r="O132" s="19"/>
    </row>
    <row r="133" spans="1:15" ht="12.75" hidden="1" customHeight="1" x14ac:dyDescent="0.2">
      <c r="A133" s="494" t="s">
        <v>907</v>
      </c>
      <c r="B133" s="490" t="s">
        <v>908</v>
      </c>
      <c r="C133" s="491"/>
      <c r="D133" s="491"/>
      <c r="E133" s="491"/>
      <c r="F133" s="491"/>
      <c r="G133" s="97" t="s">
        <v>24</v>
      </c>
      <c r="H133" s="502">
        <v>0</v>
      </c>
      <c r="I133" s="72">
        <f>VLOOKUP(A133,'[1]TAB OGU JUN18'!$A:$G,6,"falso")</f>
        <v>173.99</v>
      </c>
      <c r="J133" s="72">
        <f>VLOOKUP(A133,'[1]TAB OGU JUN18'!$A:$G,4,"falso")</f>
        <v>0</v>
      </c>
      <c r="K133" s="15"/>
      <c r="L133" s="72">
        <f>VLOOKUP(A133,'[1]TAB OGU JUN18'!$A:$G,5,"falso")</f>
        <v>173.99</v>
      </c>
      <c r="M133" s="15">
        <f>H133*L133</f>
        <v>0</v>
      </c>
      <c r="N133" s="15">
        <f t="shared" ref="N133:N141" si="8">H133*I133</f>
        <v>0</v>
      </c>
      <c r="O133" s="25" t="e">
        <f>N133/$N$143</f>
        <v>#DIV/0!</v>
      </c>
    </row>
    <row r="134" spans="1:15" ht="12.75" customHeight="1" x14ac:dyDescent="0.2">
      <c r="A134" s="494" t="s">
        <v>909</v>
      </c>
      <c r="B134" s="490" t="s">
        <v>910</v>
      </c>
      <c r="C134" s="491"/>
      <c r="D134" s="491"/>
      <c r="E134" s="491"/>
      <c r="F134" s="491"/>
      <c r="G134" s="97" t="s">
        <v>24</v>
      </c>
      <c r="H134" s="502">
        <v>0</v>
      </c>
      <c r="I134" s="72">
        <f>VLOOKUP(A134,'[1]TAB OGU JUN18'!$A:$G,6,"falso")</f>
        <v>259.82</v>
      </c>
      <c r="J134" s="72">
        <f>VLOOKUP(A134,'[1]TAB OGU JUN18'!$A:$G,4,"falso")</f>
        <v>0</v>
      </c>
      <c r="K134" s="15"/>
      <c r="L134" s="72">
        <f>VLOOKUP(A134,'[1]TAB OGU JUN18'!$A:$G,5,"falso")</f>
        <v>259.82</v>
      </c>
      <c r="M134" s="15">
        <f t="shared" ref="M134:M135" si="9">H134*L134</f>
        <v>0</v>
      </c>
      <c r="N134" s="15">
        <f t="shared" si="8"/>
        <v>0</v>
      </c>
      <c r="O134" s="25" t="e">
        <f>N134/$N$143</f>
        <v>#DIV/0!</v>
      </c>
    </row>
    <row r="135" spans="1:15" ht="12.75" customHeight="1" x14ac:dyDescent="0.2">
      <c r="A135" s="494" t="s">
        <v>911</v>
      </c>
      <c r="B135" s="490" t="s">
        <v>912</v>
      </c>
      <c r="C135" s="491"/>
      <c r="D135" s="491"/>
      <c r="E135" s="491"/>
      <c r="F135" s="491"/>
      <c r="G135" s="97" t="s">
        <v>24</v>
      </c>
      <c r="H135" s="502">
        <v>0</v>
      </c>
      <c r="I135" s="72">
        <f>VLOOKUP(A135,'[1]TAB OGU JUN18'!$A:$G,6,"falso")</f>
        <v>288.39999999999998</v>
      </c>
      <c r="J135" s="72">
        <f>VLOOKUP(A135,'[1]TAB OGU JUN18'!$A:$G,4,"falso")</f>
        <v>0</v>
      </c>
      <c r="K135" s="15"/>
      <c r="L135" s="72">
        <f>VLOOKUP(A135,'[1]TAB OGU JUN18'!$A:$G,5,"falso")</f>
        <v>288.39999999999998</v>
      </c>
      <c r="M135" s="15">
        <f t="shared" si="9"/>
        <v>0</v>
      </c>
      <c r="N135" s="15">
        <f t="shared" si="8"/>
        <v>0</v>
      </c>
      <c r="O135" s="25" t="e">
        <f>N135/$N$143</f>
        <v>#DIV/0!</v>
      </c>
    </row>
    <row r="136" spans="1:15" ht="12.75" hidden="1" customHeight="1" x14ac:dyDescent="0.2">
      <c r="A136" s="494" t="s">
        <v>1223</v>
      </c>
      <c r="B136" s="490" t="s">
        <v>1049</v>
      </c>
      <c r="C136" s="491"/>
      <c r="D136" s="491"/>
      <c r="E136" s="491"/>
      <c r="F136" s="491"/>
      <c r="G136" s="97" t="s">
        <v>24</v>
      </c>
      <c r="H136" s="502">
        <v>0</v>
      </c>
      <c r="I136" s="72">
        <f>VLOOKUP(A136,'[1]TAB OGU JUN18'!$A:$G,6,"falso")</f>
        <v>786.96</v>
      </c>
      <c r="J136" s="72">
        <f>VLOOKUP(A136,'[1]TAB OGU JUN18'!$A:$G,4,"falso")</f>
        <v>0</v>
      </c>
      <c r="K136" s="15"/>
      <c r="L136" s="72">
        <f>VLOOKUP(A136,'[1]TAB OGU JUN18'!$A:$G,5,"falso")</f>
        <v>786.96</v>
      </c>
      <c r="M136" s="15">
        <f>H136*L136</f>
        <v>0</v>
      </c>
      <c r="N136" s="15">
        <f t="shared" si="8"/>
        <v>0</v>
      </c>
      <c r="O136" s="25" t="e">
        <f t="shared" ref="O136:O141" si="10">N136/$N$143</f>
        <v>#DIV/0!</v>
      </c>
    </row>
    <row r="137" spans="1:15" ht="12.75" hidden="1" customHeight="1" x14ac:dyDescent="0.2">
      <c r="A137" s="494" t="s">
        <v>1224</v>
      </c>
      <c r="B137" s="591" t="s">
        <v>1227</v>
      </c>
      <c r="C137" s="491"/>
      <c r="D137" s="491"/>
      <c r="E137" s="491"/>
      <c r="F137" s="491"/>
      <c r="G137" s="97" t="s">
        <v>24</v>
      </c>
      <c r="H137" s="502">
        <v>0</v>
      </c>
      <c r="I137" s="72">
        <f>VLOOKUP(A137,'[1]TAB OGU JUN18'!$A:$G,6,"falso")</f>
        <v>367.04</v>
      </c>
      <c r="J137" s="72">
        <f>VLOOKUP(A137,'[1]TAB OGU JUN18'!$A:$G,4,"falso")</f>
        <v>0</v>
      </c>
      <c r="K137" s="15"/>
      <c r="L137" s="72">
        <f>VLOOKUP(A137,'[1]TAB OGU JUN18'!$A:$G,5,"falso")</f>
        <v>367.04</v>
      </c>
      <c r="M137" s="15">
        <f t="shared" ref="M137:M139" si="11">H137*L137</f>
        <v>0</v>
      </c>
      <c r="N137" s="15">
        <f t="shared" si="8"/>
        <v>0</v>
      </c>
      <c r="O137" s="25" t="e">
        <f t="shared" si="10"/>
        <v>#DIV/0!</v>
      </c>
    </row>
    <row r="138" spans="1:15" ht="12.75" hidden="1" customHeight="1" x14ac:dyDescent="0.2">
      <c r="A138" s="494" t="s">
        <v>1225</v>
      </c>
      <c r="B138" s="591" t="s">
        <v>1228</v>
      </c>
      <c r="C138" s="491"/>
      <c r="D138" s="491"/>
      <c r="E138" s="491"/>
      <c r="F138" s="491"/>
      <c r="G138" s="97" t="s">
        <v>24</v>
      </c>
      <c r="H138" s="502">
        <v>0</v>
      </c>
      <c r="I138" s="72">
        <f>VLOOKUP(A138,'[1]TAB OGU JUN18'!$A:$G,6,"falso")</f>
        <v>675.36</v>
      </c>
      <c r="J138" s="72">
        <f>VLOOKUP(A138,'[1]TAB OGU JUN18'!$A:$G,4,"falso")</f>
        <v>0</v>
      </c>
      <c r="K138" s="15"/>
      <c r="L138" s="72">
        <f>VLOOKUP(A138,'[1]TAB OGU JUN18'!$A:$G,5,"falso")</f>
        <v>675.36</v>
      </c>
      <c r="M138" s="15">
        <f t="shared" si="11"/>
        <v>0</v>
      </c>
      <c r="N138" s="15">
        <f t="shared" si="8"/>
        <v>0</v>
      </c>
      <c r="O138" s="25" t="e">
        <f t="shared" si="10"/>
        <v>#DIV/0!</v>
      </c>
    </row>
    <row r="139" spans="1:15" ht="12.75" hidden="1" customHeight="1" x14ac:dyDescent="0.2">
      <c r="A139" s="494" t="s">
        <v>1226</v>
      </c>
      <c r="B139" s="591" t="s">
        <v>1229</v>
      </c>
      <c r="C139" s="491"/>
      <c r="D139" s="491"/>
      <c r="E139" s="491"/>
      <c r="F139" s="491"/>
      <c r="G139" s="97" t="s">
        <v>24</v>
      </c>
      <c r="H139" s="502">
        <v>0</v>
      </c>
      <c r="I139" s="72">
        <f>VLOOKUP(A139,'[1]TAB OGU JUN18'!$A:$G,6,"falso")</f>
        <v>781.87</v>
      </c>
      <c r="J139" s="72">
        <f>VLOOKUP(A139,'[1]TAB OGU JUN18'!$A:$G,4,"falso")</f>
        <v>0</v>
      </c>
      <c r="K139" s="15"/>
      <c r="L139" s="72">
        <f>VLOOKUP(A139,'[1]TAB OGU JUN18'!$A:$G,5,"falso")</f>
        <v>781.87</v>
      </c>
      <c r="M139" s="15">
        <f t="shared" si="11"/>
        <v>0</v>
      </c>
      <c r="N139" s="15">
        <f t="shared" si="8"/>
        <v>0</v>
      </c>
      <c r="O139" s="25" t="e">
        <f t="shared" si="10"/>
        <v>#DIV/0!</v>
      </c>
    </row>
    <row r="140" spans="1:15" ht="12.75" hidden="1" customHeight="1" x14ac:dyDescent="0.2">
      <c r="A140" s="494" t="s">
        <v>1230</v>
      </c>
      <c r="B140" s="490" t="s">
        <v>1231</v>
      </c>
      <c r="C140" s="491"/>
      <c r="D140" s="491"/>
      <c r="E140" s="491"/>
      <c r="F140" s="491"/>
      <c r="G140" s="97" t="s">
        <v>24</v>
      </c>
      <c r="H140" s="502">
        <v>0</v>
      </c>
      <c r="I140" s="72">
        <f>VLOOKUP(A140,'[1]TAB OGU JUN18'!$A:$G,6,"falso")</f>
        <v>478.25</v>
      </c>
      <c r="J140" s="72">
        <f>VLOOKUP(A140,'[1]TAB OGU JUN18'!$A:$G,4,"falso")</f>
        <v>0</v>
      </c>
      <c r="K140" s="15"/>
      <c r="L140" s="72">
        <f>VLOOKUP(A140,'[1]TAB OGU JUN18'!$A:$G,5,"falso")</f>
        <v>478.25</v>
      </c>
      <c r="M140" s="15">
        <f>H140*L140</f>
        <v>0</v>
      </c>
      <c r="N140" s="15">
        <f t="shared" si="8"/>
        <v>0</v>
      </c>
      <c r="O140" s="25" t="e">
        <f t="shared" si="10"/>
        <v>#DIV/0!</v>
      </c>
    </row>
    <row r="141" spans="1:15" ht="12.75" hidden="1" customHeight="1" x14ac:dyDescent="0.2">
      <c r="A141" s="494" t="s">
        <v>1232</v>
      </c>
      <c r="B141" s="490" t="s">
        <v>1233</v>
      </c>
      <c r="C141" s="491"/>
      <c r="D141" s="491"/>
      <c r="E141" s="491"/>
      <c r="F141" s="491"/>
      <c r="G141" s="97" t="s">
        <v>24</v>
      </c>
      <c r="H141" s="502">
        <v>0</v>
      </c>
      <c r="I141" s="72">
        <f>VLOOKUP(A141,'[1]TAB OGU JUN18'!$A:$G,6,"falso")</f>
        <v>988.89</v>
      </c>
      <c r="J141" s="72">
        <f>VLOOKUP(A141,'[1]TAB OGU JUN18'!$A:$G,4,"falso")</f>
        <v>0</v>
      </c>
      <c r="K141" s="15"/>
      <c r="L141" s="72">
        <f>VLOOKUP(A141,'[1]TAB OGU JUN18'!$A:$G,5,"falso")</f>
        <v>988.89</v>
      </c>
      <c r="M141" s="15">
        <f>H141*L141</f>
        <v>0</v>
      </c>
      <c r="N141" s="15">
        <f t="shared" si="8"/>
        <v>0</v>
      </c>
      <c r="O141" s="25" t="e">
        <f t="shared" si="10"/>
        <v>#DIV/0!</v>
      </c>
    </row>
    <row r="142" spans="1:15" ht="12.75" customHeight="1" x14ac:dyDescent="0.2">
      <c r="G142" s="52"/>
      <c r="H142" s="501"/>
      <c r="I142" s="52"/>
      <c r="J142" s="52"/>
      <c r="K142" s="52"/>
      <c r="L142" s="52"/>
      <c r="M142" s="52"/>
      <c r="N142" s="52"/>
      <c r="O142" s="19"/>
    </row>
    <row r="143" spans="1:15" ht="12.75" customHeight="1" x14ac:dyDescent="0.2">
      <c r="B143" s="130" t="s">
        <v>18</v>
      </c>
      <c r="C143" s="131"/>
      <c r="D143" s="131"/>
      <c r="E143" s="131"/>
      <c r="F143" s="131"/>
      <c r="G143" s="53"/>
      <c r="H143" s="503"/>
      <c r="I143" s="53"/>
      <c r="J143" s="53"/>
      <c r="K143" s="53"/>
      <c r="L143" s="53"/>
      <c r="M143" s="53"/>
      <c r="N143" s="15">
        <f>SUM(N133:N141)</f>
        <v>0</v>
      </c>
      <c r="O143" s="25" t="e">
        <f>N143/N173</f>
        <v>#DIV/0!</v>
      </c>
    </row>
    <row r="144" spans="1:15" ht="12.75" customHeight="1" x14ac:dyDescent="0.2">
      <c r="B144" s="130"/>
      <c r="G144" s="52"/>
      <c r="H144" s="501"/>
      <c r="I144" s="52"/>
      <c r="J144" s="52"/>
      <c r="K144" s="52"/>
      <c r="L144" s="52"/>
      <c r="M144" s="52"/>
      <c r="N144" s="15"/>
      <c r="O144" s="25"/>
    </row>
    <row r="145" spans="1:16" ht="12.75" customHeight="1" x14ac:dyDescent="0.2">
      <c r="A145" s="494" t="s">
        <v>947</v>
      </c>
      <c r="B145" s="490" t="s">
        <v>948</v>
      </c>
      <c r="C145" s="491"/>
      <c r="D145" s="491"/>
      <c r="E145" s="491"/>
      <c r="F145" s="491"/>
      <c r="G145" s="52"/>
      <c r="H145" s="501"/>
      <c r="I145" s="52"/>
      <c r="J145" s="52"/>
      <c r="K145" s="52"/>
      <c r="L145" s="52"/>
      <c r="M145" s="52"/>
      <c r="N145" s="52"/>
      <c r="O145" s="19"/>
    </row>
    <row r="146" spans="1:16" ht="12.75" customHeight="1" x14ac:dyDescent="0.2">
      <c r="A146" s="494" t="s">
        <v>949</v>
      </c>
      <c r="B146" s="490" t="s">
        <v>950</v>
      </c>
      <c r="C146" s="491"/>
      <c r="D146" s="491"/>
      <c r="E146" s="491"/>
      <c r="F146" s="491"/>
      <c r="G146" s="97" t="s">
        <v>24</v>
      </c>
      <c r="H146" s="502">
        <v>0</v>
      </c>
      <c r="I146" s="72">
        <f>VLOOKUP(A146,'[1]TAB OGU JUN18'!$A:$G,6,"falso")</f>
        <v>507.8</v>
      </c>
      <c r="J146" s="72">
        <f>VLOOKUP(A146,'[1]TAB OGU JUN18'!$A:$G,4,"falso")</f>
        <v>0</v>
      </c>
      <c r="K146" s="15"/>
      <c r="L146" s="72">
        <f>VLOOKUP(A146,'[1]TAB OGU JUN18'!$A:$G,5,"falso")</f>
        <v>507.8</v>
      </c>
      <c r="M146" s="15">
        <f t="shared" ref="M146:M152" si="12">H146*L146</f>
        <v>0</v>
      </c>
      <c r="N146" s="15">
        <f t="shared" ref="N146:N152" si="13">H146*I146</f>
        <v>0</v>
      </c>
      <c r="O146" s="25" t="e">
        <f t="shared" ref="O146:O152" si="14">N146/$N$154</f>
        <v>#DIV/0!</v>
      </c>
    </row>
    <row r="147" spans="1:16" s="132" customFormat="1" ht="12.75" customHeight="1" x14ac:dyDescent="0.2">
      <c r="A147" s="494" t="s">
        <v>981</v>
      </c>
      <c r="B147" s="490" t="s">
        <v>982</v>
      </c>
      <c r="C147" s="491"/>
      <c r="D147" s="491"/>
      <c r="E147" s="491"/>
      <c r="F147" s="491"/>
      <c r="G147" s="97" t="s">
        <v>24</v>
      </c>
      <c r="H147" s="502">
        <v>0</v>
      </c>
      <c r="I147" s="72">
        <f>VLOOKUP(A147,'[1]TAB OGU JUN18'!$A:$G,6,"falso")</f>
        <v>665.55</v>
      </c>
      <c r="J147" s="72">
        <f>VLOOKUP(A147,'[1]TAB OGU JUN18'!$A:$G,4,"falso")</f>
        <v>0</v>
      </c>
      <c r="K147" s="15"/>
      <c r="L147" s="72">
        <f>VLOOKUP(A147,'[1]TAB OGU JUN18'!$A:$G,5,"falso")</f>
        <v>665.55</v>
      </c>
      <c r="M147" s="15">
        <f t="shared" si="12"/>
        <v>0</v>
      </c>
      <c r="N147" s="15">
        <f t="shared" si="13"/>
        <v>0</v>
      </c>
      <c r="O147" s="25" t="e">
        <f t="shared" si="14"/>
        <v>#DIV/0!</v>
      </c>
    </row>
    <row r="148" spans="1:16" ht="12.75" hidden="1" customHeight="1" x14ac:dyDescent="0.2">
      <c r="A148" s="494" t="s">
        <v>1069</v>
      </c>
      <c r="B148" s="490" t="s">
        <v>1070</v>
      </c>
      <c r="C148" s="491"/>
      <c r="D148" s="491"/>
      <c r="E148" s="491"/>
      <c r="F148" s="491"/>
      <c r="G148" s="97" t="s">
        <v>24</v>
      </c>
      <c r="H148" s="502">
        <v>0</v>
      </c>
      <c r="I148" s="72">
        <f>VLOOKUP(A148,'[1]TAB OGU JUN18'!$A:$G,6,"falso")</f>
        <v>1033.7</v>
      </c>
      <c r="J148" s="72">
        <f>VLOOKUP(A148,'[1]TAB OGU JUN18'!$A:$G,4,"falso")</f>
        <v>0</v>
      </c>
      <c r="K148" s="15"/>
      <c r="L148" s="72">
        <f>VLOOKUP(A148,'[1]TAB OGU JUN18'!$A:$G,5,"falso")</f>
        <v>1033.7</v>
      </c>
      <c r="M148" s="15">
        <f t="shared" si="12"/>
        <v>0</v>
      </c>
      <c r="N148" s="15">
        <f t="shared" si="13"/>
        <v>0</v>
      </c>
      <c r="O148" s="25" t="e">
        <f t="shared" si="14"/>
        <v>#DIV/0!</v>
      </c>
    </row>
    <row r="149" spans="1:16" ht="12.75" hidden="1" customHeight="1" x14ac:dyDescent="0.2">
      <c r="A149" s="494" t="s">
        <v>1238</v>
      </c>
      <c r="B149" s="490" t="s">
        <v>1239</v>
      </c>
      <c r="C149" s="491"/>
      <c r="D149" s="491"/>
      <c r="E149" s="491"/>
      <c r="F149" s="491"/>
      <c r="G149" s="97" t="s">
        <v>24</v>
      </c>
      <c r="H149" s="502">
        <v>0</v>
      </c>
      <c r="I149" s="72">
        <f>VLOOKUP(A149,'[1]TAB OGU JUN18'!$A:$G,6,"falso")</f>
        <v>1182.44</v>
      </c>
      <c r="J149" s="72">
        <f>VLOOKUP(A149,'[1]TAB OGU JUN18'!$A:$G,4,"falso")</f>
        <v>0</v>
      </c>
      <c r="K149" s="15"/>
      <c r="L149" s="72">
        <f>VLOOKUP(A149,'[1]TAB OGU JUN18'!$A:$G,5,"falso")</f>
        <v>1182.44</v>
      </c>
      <c r="M149" s="15">
        <f t="shared" si="12"/>
        <v>0</v>
      </c>
      <c r="N149" s="15">
        <f t="shared" si="13"/>
        <v>0</v>
      </c>
      <c r="O149" s="25" t="e">
        <f t="shared" si="14"/>
        <v>#DIV/0!</v>
      </c>
    </row>
    <row r="150" spans="1:16" ht="12.75" hidden="1" customHeight="1" x14ac:dyDescent="0.2">
      <c r="A150" s="494" t="s">
        <v>1242</v>
      </c>
      <c r="B150" s="490" t="s">
        <v>1243</v>
      </c>
      <c r="C150" s="491"/>
      <c r="D150" s="491"/>
      <c r="E150" s="491"/>
      <c r="F150" s="491"/>
      <c r="G150" s="97" t="s">
        <v>24</v>
      </c>
      <c r="H150" s="502">
        <v>0</v>
      </c>
      <c r="I150" s="72">
        <f>VLOOKUP(A150,'[1]TAB OGU JUN18'!$A:$G,6,"falso")</f>
        <v>1331.15</v>
      </c>
      <c r="J150" s="72">
        <f>VLOOKUP(A150,'[1]TAB OGU JUN18'!$A:$G,4,"falso")</f>
        <v>0</v>
      </c>
      <c r="K150" s="15"/>
      <c r="L150" s="72">
        <f>VLOOKUP(A150,'[1]TAB OGU JUN18'!$A:$G,5,"falso")</f>
        <v>1331.15</v>
      </c>
      <c r="M150" s="15">
        <f t="shared" si="12"/>
        <v>0</v>
      </c>
      <c r="N150" s="15">
        <f t="shared" si="13"/>
        <v>0</v>
      </c>
      <c r="O150" s="25" t="e">
        <f t="shared" si="14"/>
        <v>#DIV/0!</v>
      </c>
    </row>
    <row r="151" spans="1:16" ht="12.75" customHeight="1" x14ac:dyDescent="0.2">
      <c r="A151" s="494" t="s">
        <v>1241</v>
      </c>
      <c r="B151" s="490" t="s">
        <v>1240</v>
      </c>
      <c r="C151" s="491"/>
      <c r="D151" s="491"/>
      <c r="E151" s="491"/>
      <c r="F151" s="491"/>
      <c r="G151" s="97" t="s">
        <v>24</v>
      </c>
      <c r="H151" s="502">
        <v>0</v>
      </c>
      <c r="I151" s="72">
        <f>VLOOKUP(A151,'[1]TAB OGU JUN18'!$A:$G,6,"falso")</f>
        <v>1479.85</v>
      </c>
      <c r="J151" s="72">
        <f>VLOOKUP(A151,'[1]TAB OGU JUN18'!$A:$G,4,"falso")</f>
        <v>0</v>
      </c>
      <c r="K151" s="15"/>
      <c r="L151" s="72">
        <f>VLOOKUP(A151,'[1]TAB OGU JUN18'!$A:$G,5,"falso")</f>
        <v>1479.85</v>
      </c>
      <c r="M151" s="15">
        <f t="shared" si="12"/>
        <v>0</v>
      </c>
      <c r="N151" s="15">
        <f t="shared" si="13"/>
        <v>0</v>
      </c>
      <c r="O151" s="25" t="e">
        <f t="shared" si="14"/>
        <v>#DIV/0!</v>
      </c>
    </row>
    <row r="152" spans="1:16" ht="12.75" hidden="1" customHeight="1" x14ac:dyDescent="0.2">
      <c r="A152" s="494" t="s">
        <v>1236</v>
      </c>
      <c r="B152" s="490" t="s">
        <v>1237</v>
      </c>
      <c r="C152" s="491"/>
      <c r="D152" s="491"/>
      <c r="E152" s="491"/>
      <c r="F152" s="491"/>
      <c r="G152" s="97" t="s">
        <v>24</v>
      </c>
      <c r="H152" s="502">
        <v>0</v>
      </c>
      <c r="I152" s="72">
        <f>VLOOKUP(A152,'[1]TAB OGU JUN18'!$A:$G,6,"falso")</f>
        <v>1249.08</v>
      </c>
      <c r="J152" s="72">
        <f>VLOOKUP(A152,'[1]TAB OGU JUN18'!$A:$G,4,"falso")</f>
        <v>0</v>
      </c>
      <c r="K152" s="15"/>
      <c r="L152" s="72">
        <f>VLOOKUP(A152,'[1]TAB OGU JUN18'!$A:$G,5,"falso")</f>
        <v>1249.08</v>
      </c>
      <c r="M152" s="15">
        <f t="shared" si="12"/>
        <v>0</v>
      </c>
      <c r="N152" s="15">
        <f t="shared" si="13"/>
        <v>0</v>
      </c>
      <c r="O152" s="25" t="e">
        <f t="shared" si="14"/>
        <v>#DIV/0!</v>
      </c>
    </row>
    <row r="153" spans="1:16" ht="12.75" customHeight="1" x14ac:dyDescent="0.2">
      <c r="A153" s="98"/>
      <c r="B153" s="88"/>
      <c r="G153" s="52"/>
      <c r="H153" s="501"/>
      <c r="I153" s="52"/>
      <c r="J153" s="52"/>
      <c r="K153" s="52"/>
      <c r="L153" s="52"/>
      <c r="M153" s="52"/>
      <c r="N153" s="52"/>
      <c r="O153" s="19"/>
    </row>
    <row r="154" spans="1:16" ht="12.75" customHeight="1" x14ac:dyDescent="0.2">
      <c r="B154" s="130" t="s">
        <v>18</v>
      </c>
      <c r="C154" s="131"/>
      <c r="D154" s="131"/>
      <c r="E154" s="131"/>
      <c r="F154" s="131"/>
      <c r="G154" s="53"/>
      <c r="H154" s="503"/>
      <c r="I154" s="53"/>
      <c r="J154" s="53"/>
      <c r="K154" s="53"/>
      <c r="L154" s="53"/>
      <c r="M154" s="53"/>
      <c r="N154" s="15">
        <f>SUM(N146:N152)</f>
        <v>0</v>
      </c>
      <c r="O154" s="25" t="e">
        <f>N154/N173</f>
        <v>#DIV/0!</v>
      </c>
    </row>
    <row r="155" spans="1:16" s="272" customFormat="1" ht="12.75" customHeight="1" x14ac:dyDescent="0.2">
      <c r="A155" s="98"/>
      <c r="B155" s="88"/>
      <c r="C155" s="51"/>
      <c r="D155" s="51"/>
      <c r="E155" s="51"/>
      <c r="F155" s="51"/>
      <c r="G155" s="52"/>
      <c r="H155" s="501"/>
      <c r="I155" s="52"/>
      <c r="J155" s="52"/>
      <c r="K155" s="52"/>
      <c r="L155" s="52"/>
      <c r="M155" s="52"/>
      <c r="N155" s="52"/>
      <c r="O155" s="19"/>
    </row>
    <row r="156" spans="1:16" s="272" customFormat="1" ht="12.75" customHeight="1" x14ac:dyDescent="0.2">
      <c r="A156" s="494" t="s">
        <v>951</v>
      </c>
      <c r="B156" s="490" t="s">
        <v>952</v>
      </c>
      <c r="C156" s="491"/>
      <c r="D156" s="491"/>
      <c r="E156" s="491"/>
      <c r="F156" s="491"/>
      <c r="G156" s="52"/>
      <c r="H156" s="501"/>
      <c r="I156" s="52"/>
      <c r="J156" s="52"/>
      <c r="K156" s="52"/>
      <c r="L156" s="52"/>
      <c r="M156" s="52"/>
      <c r="N156" s="52"/>
      <c r="O156" s="19"/>
      <c r="P156" s="461">
        <v>3524</v>
      </c>
    </row>
    <row r="157" spans="1:16" ht="12.75" hidden="1" customHeight="1" x14ac:dyDescent="0.2">
      <c r="A157" s="494" t="s">
        <v>1025</v>
      </c>
      <c r="B157" s="490" t="s">
        <v>1023</v>
      </c>
      <c r="C157" s="491"/>
      <c r="D157" s="491"/>
      <c r="E157" s="491"/>
      <c r="F157" s="491"/>
      <c r="G157" s="97" t="s">
        <v>24</v>
      </c>
      <c r="H157" s="502">
        <v>0</v>
      </c>
      <c r="I157" s="72">
        <f>VLOOKUP(A157,'[1]TAB OGU JUN18'!$A:$G,6,"falso")</f>
        <v>397.85</v>
      </c>
      <c r="J157" s="72">
        <f>VLOOKUP(A157,'[1]TAB OGU JUN18'!$A:$G,4,"falso")</f>
        <v>0</v>
      </c>
      <c r="K157" s="15"/>
      <c r="L157" s="72">
        <f>VLOOKUP(A157,'[1]TAB OGU JUN18'!$A:$G,5,"falso")</f>
        <v>397.85</v>
      </c>
      <c r="M157" s="15">
        <f t="shared" ref="M157:M164" si="15">H157*L157</f>
        <v>0</v>
      </c>
      <c r="N157" s="15">
        <f t="shared" ref="N157:N164" si="16">H157*I157</f>
        <v>0</v>
      </c>
      <c r="O157" s="25" t="e">
        <f t="shared" ref="O157:O164" si="17">N157/$N$166</f>
        <v>#DIV/0!</v>
      </c>
    </row>
    <row r="158" spans="1:16" ht="12.75" customHeight="1" x14ac:dyDescent="0.2">
      <c r="A158" s="494" t="s">
        <v>956</v>
      </c>
      <c r="B158" s="490" t="s">
        <v>957</v>
      </c>
      <c r="C158" s="491"/>
      <c r="D158" s="491"/>
      <c r="E158" s="491"/>
      <c r="F158" s="491"/>
      <c r="G158" s="97" t="s">
        <v>24</v>
      </c>
      <c r="H158" s="502">
        <v>0</v>
      </c>
      <c r="I158" s="72">
        <f>VLOOKUP(A158,'[1]TAB OGU JUN18'!$A:$G,6,"falso")</f>
        <v>360.5</v>
      </c>
      <c r="J158" s="72">
        <f>VLOOKUP(A158,'[1]TAB OGU JUN18'!$A:$G,4,"falso")</f>
        <v>0</v>
      </c>
      <c r="K158" s="15"/>
      <c r="L158" s="72">
        <f>VLOOKUP(A158,'[1]TAB OGU JUN18'!$A:$G,5,"falso")</f>
        <v>360.5</v>
      </c>
      <c r="M158" s="15">
        <f t="shared" si="15"/>
        <v>0</v>
      </c>
      <c r="N158" s="15">
        <f t="shared" si="16"/>
        <v>0</v>
      </c>
      <c r="O158" s="25" t="e">
        <f t="shared" si="17"/>
        <v>#DIV/0!</v>
      </c>
    </row>
    <row r="159" spans="1:16" ht="12.75" hidden="1" customHeight="1" x14ac:dyDescent="0.2">
      <c r="A159" s="494" t="s">
        <v>1234</v>
      </c>
      <c r="B159" s="490" t="s">
        <v>1235</v>
      </c>
      <c r="C159" s="491"/>
      <c r="D159" s="491"/>
      <c r="E159" s="491"/>
      <c r="F159" s="491"/>
      <c r="G159" s="97" t="s">
        <v>24</v>
      </c>
      <c r="H159" s="502">
        <v>0</v>
      </c>
      <c r="I159" s="72">
        <f>VLOOKUP(A159,'[1]TAB OGU JUN18'!$A:$G,6,"falso")</f>
        <v>739.92</v>
      </c>
      <c r="J159" s="72">
        <f>VLOOKUP(A159,'[1]TAB OGU JUN18'!$A:$G,4,"falso")</f>
        <v>0</v>
      </c>
      <c r="K159" s="15"/>
      <c r="L159" s="72">
        <f>VLOOKUP(A159,'[1]TAB OGU JUN18'!$A:$G,5,"falso")</f>
        <v>739.92</v>
      </c>
      <c r="M159" s="15">
        <f t="shared" si="15"/>
        <v>0</v>
      </c>
      <c r="N159" s="15">
        <f t="shared" si="16"/>
        <v>0</v>
      </c>
      <c r="O159" s="25" t="e">
        <f t="shared" si="17"/>
        <v>#DIV/0!</v>
      </c>
    </row>
    <row r="160" spans="1:16" ht="12.75" hidden="1" customHeight="1" x14ac:dyDescent="0.2">
      <c r="A160" s="494" t="s">
        <v>1026</v>
      </c>
      <c r="B160" s="490" t="s">
        <v>1024</v>
      </c>
      <c r="C160" s="491"/>
      <c r="D160" s="491"/>
      <c r="E160" s="491"/>
      <c r="F160" s="491"/>
      <c r="G160" s="97" t="s">
        <v>24</v>
      </c>
      <c r="H160" s="502">
        <v>0</v>
      </c>
      <c r="I160" s="72">
        <f>VLOOKUP(A160,'[1]TAB OGU JUN18'!$A:$G,6,"falso")</f>
        <v>888.6</v>
      </c>
      <c r="J160" s="72">
        <f>VLOOKUP(A160,'[1]TAB OGU JUN18'!$A:$G,4,"falso")</f>
        <v>0</v>
      </c>
      <c r="K160" s="15"/>
      <c r="L160" s="72">
        <f>VLOOKUP(A160,'[1]TAB OGU JUN18'!$A:$G,5,"falso")</f>
        <v>888.6</v>
      </c>
      <c r="M160" s="15">
        <f t="shared" si="15"/>
        <v>0</v>
      </c>
      <c r="N160" s="15">
        <f t="shared" si="16"/>
        <v>0</v>
      </c>
      <c r="O160" s="25" t="e">
        <f t="shared" si="17"/>
        <v>#DIV/0!</v>
      </c>
    </row>
    <row r="161" spans="1:15" ht="12.75" hidden="1" customHeight="1" x14ac:dyDescent="0.2">
      <c r="A161" s="494" t="s">
        <v>1244</v>
      </c>
      <c r="B161" s="591" t="s">
        <v>1246</v>
      </c>
      <c r="C161" s="491"/>
      <c r="D161" s="491"/>
      <c r="E161" s="491"/>
      <c r="F161" s="491"/>
      <c r="G161" s="97" t="s">
        <v>24</v>
      </c>
      <c r="H161" s="502">
        <v>0</v>
      </c>
      <c r="I161" s="72">
        <f>VLOOKUP(A161,'[1]TAB OGU JUN18'!$A:$G,6,"falso")</f>
        <v>641.30999999999995</v>
      </c>
      <c r="J161" s="72">
        <f>VLOOKUP(A161,'[1]TAB OGU JUN18'!$A:$G,4,"falso")</f>
        <v>0</v>
      </c>
      <c r="K161" s="15"/>
      <c r="L161" s="72">
        <f>VLOOKUP(A161,'[1]TAB OGU JUN18'!$A:$G,5,"falso")</f>
        <v>641.30999999999995</v>
      </c>
      <c r="M161" s="15">
        <f t="shared" si="15"/>
        <v>0</v>
      </c>
      <c r="N161" s="15">
        <f t="shared" si="16"/>
        <v>0</v>
      </c>
      <c r="O161" s="25" t="e">
        <f t="shared" si="17"/>
        <v>#DIV/0!</v>
      </c>
    </row>
    <row r="162" spans="1:15" ht="12.75" hidden="1" customHeight="1" x14ac:dyDescent="0.2">
      <c r="A162" s="494" t="s">
        <v>1245</v>
      </c>
      <c r="B162" s="591" t="s">
        <v>1247</v>
      </c>
      <c r="C162" s="491"/>
      <c r="D162" s="491"/>
      <c r="E162" s="491"/>
      <c r="F162" s="491"/>
      <c r="G162" s="97" t="s">
        <v>24</v>
      </c>
      <c r="H162" s="502">
        <v>0</v>
      </c>
      <c r="I162" s="72">
        <f>VLOOKUP(A162,'[1]TAB OGU JUN18'!$A:$G,6,"falso")</f>
        <v>800.31</v>
      </c>
      <c r="J162" s="72">
        <f>VLOOKUP(A162,'[1]TAB OGU JUN18'!$A:$G,4,"falso")</f>
        <v>0</v>
      </c>
      <c r="K162" s="15"/>
      <c r="L162" s="72">
        <f>VLOOKUP(A162,'[1]TAB OGU JUN18'!$A:$G,5,"falso")</f>
        <v>800.31</v>
      </c>
      <c r="M162" s="15">
        <f t="shared" si="15"/>
        <v>0</v>
      </c>
      <c r="N162" s="15">
        <f t="shared" si="16"/>
        <v>0</v>
      </c>
      <c r="O162" s="25" t="e">
        <f t="shared" si="17"/>
        <v>#DIV/0!</v>
      </c>
    </row>
    <row r="163" spans="1:15" ht="12.75" hidden="1" customHeight="1" x14ac:dyDescent="0.2">
      <c r="A163" s="494" t="s">
        <v>1248</v>
      </c>
      <c r="B163" s="591" t="s">
        <v>1249</v>
      </c>
      <c r="C163" s="491"/>
      <c r="D163" s="491"/>
      <c r="E163" s="491"/>
      <c r="F163" s="491"/>
      <c r="G163" s="97" t="s">
        <v>24</v>
      </c>
      <c r="H163" s="502">
        <v>0</v>
      </c>
      <c r="I163" s="72">
        <f>VLOOKUP(A163,'[1]TAB OGU JUN18'!$A:$G,6,"falso")</f>
        <v>595.58000000000004</v>
      </c>
      <c r="J163" s="72">
        <f>VLOOKUP(A163,'[1]TAB OGU JUN18'!$A:$G,4,"falso")</f>
        <v>0</v>
      </c>
      <c r="K163" s="15"/>
      <c r="L163" s="72">
        <f>VLOOKUP(A163,'[1]TAB OGU JUN18'!$A:$G,5,"falso")</f>
        <v>595.58000000000004</v>
      </c>
      <c r="M163" s="15">
        <f t="shared" si="15"/>
        <v>0</v>
      </c>
      <c r="N163" s="15">
        <f t="shared" si="16"/>
        <v>0</v>
      </c>
      <c r="O163" s="25" t="e">
        <f t="shared" si="17"/>
        <v>#DIV/0!</v>
      </c>
    </row>
    <row r="164" spans="1:15" ht="12.75" hidden="1" customHeight="1" x14ac:dyDescent="0.2">
      <c r="A164" s="494" t="s">
        <v>1250</v>
      </c>
      <c r="B164" s="591" t="s">
        <v>1251</v>
      </c>
      <c r="C164" s="491"/>
      <c r="D164" s="491"/>
      <c r="E164" s="491"/>
      <c r="F164" s="491"/>
      <c r="G164" s="97" t="s">
        <v>24</v>
      </c>
      <c r="H164" s="502">
        <v>0</v>
      </c>
      <c r="I164" s="72">
        <f>VLOOKUP(A164,'[1]TAB OGU JUN18'!$A:$G,6,"falso")</f>
        <v>1249.3699999999999</v>
      </c>
      <c r="J164" s="72">
        <f>VLOOKUP(A164,'[1]TAB OGU JUN18'!$A:$G,4,"falso")</f>
        <v>0</v>
      </c>
      <c r="K164" s="15"/>
      <c r="L164" s="72">
        <f>VLOOKUP(A164,'[1]TAB OGU JUN18'!$A:$G,5,"falso")</f>
        <v>1249.3699999999999</v>
      </c>
      <c r="M164" s="15">
        <f t="shared" si="15"/>
        <v>0</v>
      </c>
      <c r="N164" s="15">
        <f t="shared" si="16"/>
        <v>0</v>
      </c>
      <c r="O164" s="25" t="e">
        <f t="shared" si="17"/>
        <v>#DIV/0!</v>
      </c>
    </row>
    <row r="165" spans="1:15" s="132" customFormat="1" ht="12.75" customHeight="1" x14ac:dyDescent="0.2">
      <c r="A165" s="51"/>
      <c r="B165" s="130"/>
      <c r="C165" s="51"/>
      <c r="D165" s="51"/>
      <c r="E165" s="51"/>
      <c r="F165" s="51"/>
      <c r="G165" s="52"/>
      <c r="H165" s="501"/>
      <c r="I165" s="52"/>
      <c r="J165" s="52"/>
      <c r="K165" s="52"/>
      <c r="L165" s="52"/>
      <c r="M165" s="52"/>
      <c r="N165" s="15"/>
      <c r="O165" s="25"/>
    </row>
    <row r="166" spans="1:15" s="132" customFormat="1" ht="12.75" customHeight="1" x14ac:dyDescent="0.2">
      <c r="A166" s="51"/>
      <c r="B166" s="130" t="s">
        <v>18</v>
      </c>
      <c r="C166" s="131"/>
      <c r="D166" s="131"/>
      <c r="E166" s="131"/>
      <c r="F166" s="131"/>
      <c r="G166" s="53"/>
      <c r="H166" s="503"/>
      <c r="I166" s="53"/>
      <c r="J166" s="53"/>
      <c r="K166" s="53"/>
      <c r="L166" s="53"/>
      <c r="M166" s="53"/>
      <c r="N166" s="15">
        <f>SUM(N157:N164)</f>
        <v>0</v>
      </c>
      <c r="O166" s="25" t="e">
        <f>N166/N173</f>
        <v>#DIV/0!</v>
      </c>
    </row>
    <row r="167" spans="1:15" ht="12.75" customHeight="1" x14ac:dyDescent="0.2">
      <c r="B167" s="130"/>
      <c r="G167" s="52"/>
      <c r="H167" s="501"/>
      <c r="I167" s="52"/>
      <c r="J167" s="52"/>
      <c r="K167" s="52"/>
      <c r="L167" s="52"/>
      <c r="M167" s="52"/>
      <c r="N167" s="15"/>
      <c r="O167" s="25"/>
    </row>
    <row r="168" spans="1:15" ht="12.75" hidden="1" customHeight="1" x14ac:dyDescent="0.2">
      <c r="A168" s="98" t="s">
        <v>828</v>
      </c>
      <c r="B168" s="88" t="s">
        <v>829</v>
      </c>
      <c r="G168" s="52"/>
      <c r="H168" s="501"/>
      <c r="I168" s="52"/>
      <c r="J168" s="52"/>
      <c r="K168" s="52"/>
      <c r="L168" s="52"/>
      <c r="M168" s="52"/>
      <c r="N168" s="52"/>
      <c r="O168" s="19"/>
    </row>
    <row r="169" spans="1:15" ht="12.75" hidden="1" customHeight="1" x14ac:dyDescent="0.2">
      <c r="A169" s="98" t="s">
        <v>830</v>
      </c>
      <c r="B169" s="88" t="s">
        <v>831</v>
      </c>
      <c r="G169" s="97" t="s">
        <v>24</v>
      </c>
      <c r="H169" s="502">
        <v>0</v>
      </c>
      <c r="I169" s="72">
        <v>949.82</v>
      </c>
      <c r="J169" s="72">
        <v>949.82</v>
      </c>
      <c r="K169" s="15"/>
      <c r="L169" s="72">
        <v>949.82</v>
      </c>
      <c r="M169" s="15">
        <f t="shared" ref="M169" si="18">H169*L169</f>
        <v>0</v>
      </c>
      <c r="N169" s="15">
        <f>H169*I169</f>
        <v>0</v>
      </c>
      <c r="O169" s="25" t="e">
        <f>N169/N171</f>
        <v>#DIV/0!</v>
      </c>
    </row>
    <row r="170" spans="1:15" ht="12.75" hidden="1" customHeight="1" x14ac:dyDescent="0.2">
      <c r="G170" s="52"/>
      <c r="H170" s="501"/>
      <c r="I170" s="52"/>
      <c r="J170" s="52"/>
      <c r="K170" s="52"/>
      <c r="L170" s="52"/>
      <c r="M170" s="52"/>
      <c r="N170" s="52"/>
      <c r="O170" s="19"/>
    </row>
    <row r="171" spans="1:15" ht="12.75" hidden="1" customHeight="1" x14ac:dyDescent="0.2">
      <c r="B171" s="130" t="s">
        <v>18</v>
      </c>
      <c r="C171" s="131"/>
      <c r="D171" s="131"/>
      <c r="E171" s="131"/>
      <c r="F171" s="131"/>
      <c r="G171" s="53"/>
      <c r="H171" s="503"/>
      <c r="I171" s="53"/>
      <c r="J171" s="53"/>
      <c r="K171" s="53"/>
      <c r="L171" s="53"/>
      <c r="M171" s="53"/>
      <c r="N171" s="15">
        <f>N169</f>
        <v>0</v>
      </c>
      <c r="O171" s="25" t="e">
        <f>N171/N173</f>
        <v>#DIV/0!</v>
      </c>
    </row>
    <row r="172" spans="1:15" ht="12.75" hidden="1" customHeight="1" x14ac:dyDescent="0.2">
      <c r="B172" s="130"/>
      <c r="G172" s="52"/>
      <c r="H172" s="501"/>
      <c r="I172" s="52"/>
      <c r="J172" s="52"/>
      <c r="K172" s="52"/>
      <c r="L172" s="52"/>
      <c r="M172" s="52"/>
      <c r="N172" s="15"/>
      <c r="O172" s="25"/>
    </row>
    <row r="173" spans="1:15" s="132" customFormat="1" ht="12.75" customHeight="1" x14ac:dyDescent="0.2">
      <c r="B173" s="133" t="s">
        <v>20</v>
      </c>
      <c r="C173" s="134"/>
      <c r="D173" s="134"/>
      <c r="E173" s="134"/>
      <c r="F173" s="134"/>
      <c r="G173" s="78"/>
      <c r="H173" s="504"/>
      <c r="I173" s="78"/>
      <c r="J173" s="78"/>
      <c r="K173" s="78"/>
      <c r="L173" s="78"/>
      <c r="M173" s="78"/>
      <c r="N173" s="83">
        <f>N76+N86+N92+N130+N143+N154+N166+N97+N102+N110+N171</f>
        <v>0</v>
      </c>
      <c r="O173" s="77" t="e">
        <f>N173/N264</f>
        <v>#DIV/0!</v>
      </c>
    </row>
    <row r="174" spans="1:15" ht="12.75" customHeight="1" x14ac:dyDescent="0.2">
      <c r="B174" s="130"/>
      <c r="G174" s="52"/>
      <c r="H174" s="501"/>
      <c r="I174" s="52"/>
      <c r="J174" s="52"/>
      <c r="K174" s="52"/>
      <c r="L174" s="52"/>
      <c r="M174" s="52"/>
      <c r="N174" s="15"/>
      <c r="O174" s="25"/>
    </row>
    <row r="175" spans="1:15" ht="12.75" customHeight="1" x14ac:dyDescent="0.2">
      <c r="A175" s="98" t="s">
        <v>488</v>
      </c>
      <c r="B175" s="88" t="s">
        <v>489</v>
      </c>
      <c r="G175" s="97"/>
      <c r="H175" s="502"/>
      <c r="I175" s="15"/>
      <c r="J175" s="15"/>
      <c r="K175" s="15"/>
      <c r="L175" s="15"/>
      <c r="M175" s="15"/>
      <c r="N175" s="15"/>
      <c r="O175" s="25"/>
    </row>
    <row r="176" spans="1:15" ht="12.75" customHeight="1" x14ac:dyDescent="0.2">
      <c r="A176" s="98" t="s">
        <v>832</v>
      </c>
      <c r="B176" s="88" t="s">
        <v>34</v>
      </c>
      <c r="G176" s="97"/>
      <c r="H176" s="502"/>
      <c r="I176" s="15"/>
      <c r="J176" s="15"/>
      <c r="K176" s="15"/>
      <c r="L176" s="15"/>
      <c r="M176" s="15"/>
      <c r="N176" s="15"/>
      <c r="O176" s="25"/>
    </row>
    <row r="177" spans="1:16" ht="12.75" customHeight="1" x14ac:dyDescent="0.2">
      <c r="A177" s="98" t="s">
        <v>491</v>
      </c>
      <c r="B177" s="88" t="s">
        <v>1027</v>
      </c>
      <c r="G177" s="97" t="s">
        <v>24</v>
      </c>
      <c r="H177" s="502">
        <v>0</v>
      </c>
      <c r="I177" s="72">
        <f>VLOOKUP(A177,'[1]TAB OGU JUN18'!$A:$G,6,"falso")</f>
        <v>1.67</v>
      </c>
      <c r="J177" s="72">
        <f>VLOOKUP(A177,'[1]TAB OGU JUN18'!$A:$G,4,"falso")</f>
        <v>0</v>
      </c>
      <c r="K177" s="15"/>
      <c r="L177" s="72">
        <f>VLOOKUP(A177,'[1]TAB OGU JUN18'!$A:$G,5,"falso")</f>
        <v>1.67</v>
      </c>
      <c r="M177" s="15">
        <f>L177*H177</f>
        <v>0</v>
      </c>
      <c r="N177" s="15">
        <f>H177*I177</f>
        <v>0</v>
      </c>
      <c r="O177" s="25" t="e">
        <f>N177/N180</f>
        <v>#DIV/0!</v>
      </c>
    </row>
    <row r="178" spans="1:16" ht="12.75" hidden="1" customHeight="1" x14ac:dyDescent="0.2">
      <c r="A178" s="98" t="s">
        <v>1252</v>
      </c>
      <c r="B178" s="88" t="s">
        <v>1253</v>
      </c>
      <c r="G178" s="97" t="s">
        <v>24</v>
      </c>
      <c r="H178" s="502">
        <v>0</v>
      </c>
      <c r="I178" s="72">
        <f>VLOOKUP(A178,'[1]TAB OGU JUN18'!$A:$G,6,"falso")</f>
        <v>3.37</v>
      </c>
      <c r="J178" s="72">
        <f>VLOOKUP(A178,'[1]TAB OGU JUN18'!$A:$G,4,"falso")</f>
        <v>0</v>
      </c>
      <c r="K178" s="15"/>
      <c r="L178" s="72">
        <f>VLOOKUP(A178,'[1]TAB OGU JUN18'!$A:$G,5,"falso")</f>
        <v>3.37</v>
      </c>
      <c r="M178" s="15">
        <f>L178*H178</f>
        <v>0</v>
      </c>
      <c r="N178" s="15">
        <f>H178*I178</f>
        <v>0</v>
      </c>
      <c r="O178" s="25" t="e">
        <f>N178/N180</f>
        <v>#DIV/0!</v>
      </c>
    </row>
    <row r="179" spans="1:16" ht="12.75" customHeight="1" x14ac:dyDescent="0.2">
      <c r="A179" s="98"/>
      <c r="B179" s="88"/>
      <c r="G179" s="97"/>
      <c r="H179" s="502"/>
      <c r="I179" s="72"/>
      <c r="J179" s="72"/>
      <c r="K179" s="15"/>
      <c r="L179" s="72"/>
      <c r="M179" s="15"/>
      <c r="N179" s="15"/>
      <c r="O179" s="25"/>
    </row>
    <row r="180" spans="1:16" ht="12.75" customHeight="1" x14ac:dyDescent="0.2">
      <c r="B180" s="130" t="s">
        <v>18</v>
      </c>
      <c r="C180" s="131"/>
      <c r="D180" s="131"/>
      <c r="E180" s="131"/>
      <c r="F180" s="131"/>
      <c r="G180" s="53"/>
      <c r="H180" s="503"/>
      <c r="I180" s="53"/>
      <c r="J180" s="53"/>
      <c r="K180" s="53"/>
      <c r="L180" s="53"/>
      <c r="M180" s="53"/>
      <c r="N180" s="15">
        <f>SUM(N177:N178)</f>
        <v>0</v>
      </c>
      <c r="O180" s="25" t="e">
        <f>N180/N195</f>
        <v>#DIV/0!</v>
      </c>
    </row>
    <row r="181" spans="1:16" ht="12.75" customHeight="1" x14ac:dyDescent="0.2">
      <c r="B181" s="130"/>
      <c r="C181" s="492"/>
      <c r="D181" s="492"/>
      <c r="E181" s="492"/>
      <c r="F181" s="492"/>
      <c r="G181" s="493"/>
      <c r="H181" s="509"/>
      <c r="I181" s="493"/>
      <c r="J181" s="493"/>
      <c r="K181" s="493"/>
      <c r="L181" s="493"/>
      <c r="M181" s="493"/>
      <c r="N181" s="15"/>
      <c r="O181" s="25"/>
    </row>
    <row r="182" spans="1:16" ht="12.75" customHeight="1" x14ac:dyDescent="0.2">
      <c r="A182" s="98" t="s">
        <v>1071</v>
      </c>
      <c r="B182" s="88" t="s">
        <v>1072</v>
      </c>
      <c r="G182" s="97"/>
      <c r="H182" s="502"/>
      <c r="I182" s="15"/>
      <c r="J182" s="15"/>
      <c r="K182" s="15"/>
      <c r="L182" s="15"/>
      <c r="M182" s="15"/>
      <c r="N182" s="15"/>
      <c r="O182" s="25"/>
    </row>
    <row r="183" spans="1:16" ht="12.75" customHeight="1" x14ac:dyDescent="0.2">
      <c r="A183" s="98" t="s">
        <v>1073</v>
      </c>
      <c r="B183" s="88" t="s">
        <v>1074</v>
      </c>
      <c r="G183" s="97" t="s">
        <v>24</v>
      </c>
      <c r="H183" s="502">
        <v>0</v>
      </c>
      <c r="I183" s="72">
        <f>VLOOKUP(A183,'[1]TAB OGU JUN18'!$A:$G,6,"falso")</f>
        <v>32.03</v>
      </c>
      <c r="J183" s="72">
        <f>VLOOKUP(A183,'[1]TAB OGU JUN18'!$A:$G,4,"falso")</f>
        <v>0</v>
      </c>
      <c r="K183" s="15"/>
      <c r="L183" s="72">
        <f>VLOOKUP(A183,'[1]TAB OGU JUN18'!$A:$G,5,"falso")</f>
        <v>32.03</v>
      </c>
      <c r="M183" s="15">
        <f>L183*H183</f>
        <v>0</v>
      </c>
      <c r="N183" s="15">
        <f>H183*I183</f>
        <v>0</v>
      </c>
      <c r="O183" s="25" t="e">
        <f>N183/N185</f>
        <v>#DIV/0!</v>
      </c>
    </row>
    <row r="184" spans="1:16" ht="12.75" customHeight="1" x14ac:dyDescent="0.2">
      <c r="B184" s="130"/>
      <c r="C184" s="492"/>
      <c r="D184" s="492"/>
      <c r="E184" s="492"/>
      <c r="F184" s="492"/>
      <c r="G184" s="493"/>
      <c r="H184" s="509"/>
      <c r="I184" s="493"/>
      <c r="J184" s="493"/>
      <c r="K184" s="493"/>
      <c r="L184" s="493"/>
      <c r="M184" s="493"/>
      <c r="N184" s="15"/>
      <c r="O184" s="25"/>
    </row>
    <row r="185" spans="1:16" ht="12.75" customHeight="1" x14ac:dyDescent="0.2">
      <c r="B185" s="130" t="s">
        <v>18</v>
      </c>
      <c r="C185" s="131"/>
      <c r="D185" s="131"/>
      <c r="E185" s="131"/>
      <c r="F185" s="131"/>
      <c r="G185" s="53"/>
      <c r="H185" s="503"/>
      <c r="I185" s="53"/>
      <c r="J185" s="53"/>
      <c r="K185" s="53"/>
      <c r="L185" s="53"/>
      <c r="M185" s="53"/>
      <c r="N185" s="15">
        <f>SUM(N183)</f>
        <v>0</v>
      </c>
      <c r="O185" s="25" t="e">
        <f>N185/N195</f>
        <v>#DIV/0!</v>
      </c>
    </row>
    <row r="186" spans="1:16" ht="12.75" customHeight="1" x14ac:dyDescent="0.2">
      <c r="A186" s="98"/>
      <c r="B186" s="88"/>
      <c r="G186" s="97"/>
      <c r="H186" s="502"/>
      <c r="I186" s="72"/>
      <c r="J186" s="72"/>
      <c r="K186" s="15"/>
      <c r="L186" s="72"/>
      <c r="M186" s="15"/>
      <c r="N186" s="15"/>
      <c r="O186" s="25"/>
    </row>
    <row r="187" spans="1:16" s="132" customFormat="1" ht="12.75" customHeight="1" x14ac:dyDescent="0.2">
      <c r="A187" s="98" t="s">
        <v>492</v>
      </c>
      <c r="B187" s="88" t="s">
        <v>35</v>
      </c>
      <c r="C187" s="51"/>
      <c r="D187" s="51"/>
      <c r="E187" s="51"/>
      <c r="F187" s="51"/>
      <c r="G187" s="97"/>
      <c r="H187" s="502"/>
      <c r="I187" s="15"/>
      <c r="J187" s="15"/>
      <c r="K187" s="15"/>
      <c r="L187" s="15"/>
      <c r="M187" s="15"/>
      <c r="N187" s="15"/>
      <c r="O187" s="25"/>
    </row>
    <row r="188" spans="1:16" ht="12.75" customHeight="1" x14ac:dyDescent="0.2">
      <c r="A188" s="98" t="s">
        <v>694</v>
      </c>
      <c r="B188" s="88" t="s">
        <v>1028</v>
      </c>
      <c r="G188" s="97" t="s">
        <v>24</v>
      </c>
      <c r="H188" s="502">
        <v>0</v>
      </c>
      <c r="I188" s="72">
        <f>VLOOKUP(A188,'[1]TAB OGU JUN18'!$A:$G,6,"falso")</f>
        <v>1.02</v>
      </c>
      <c r="J188" s="72">
        <f>VLOOKUP(A188,'[1]TAB OGU JUN18'!$A:$G,4,"falso")</f>
        <v>0</v>
      </c>
      <c r="K188" s="15"/>
      <c r="L188" s="72">
        <f>VLOOKUP(A188,'[1]TAB OGU JUN18'!$A:$G,5,"falso")</f>
        <v>1.02</v>
      </c>
      <c r="M188" s="15">
        <f>L188*H188</f>
        <v>0</v>
      </c>
      <c r="N188" s="15">
        <f>H188*I188</f>
        <v>0</v>
      </c>
      <c r="O188" s="25" t="e">
        <f>N188/$N$193</f>
        <v>#DIV/0!</v>
      </c>
    </row>
    <row r="189" spans="1:16" ht="12.75" hidden="1" customHeight="1" x14ac:dyDescent="0.2">
      <c r="A189" s="494" t="s">
        <v>495</v>
      </c>
      <c r="B189" s="490" t="s">
        <v>496</v>
      </c>
      <c r="C189" s="491"/>
      <c r="D189" s="491"/>
      <c r="E189" s="491"/>
      <c r="F189" s="491"/>
      <c r="G189" s="97" t="s">
        <v>24</v>
      </c>
      <c r="H189" s="502">
        <v>0</v>
      </c>
      <c r="I189" s="72">
        <f>VLOOKUP(A189,'[1]TAB OGU JUN18'!$A:$G,6,"falso")</f>
        <v>2.5299999999999998</v>
      </c>
      <c r="J189" s="72">
        <f>VLOOKUP(A189,'[1]TAB OGU JUN18'!$A:$G,4,"falso")</f>
        <v>0</v>
      </c>
      <c r="K189" s="15"/>
      <c r="L189" s="72">
        <f>VLOOKUP(A189,'[1]TAB OGU JUN18'!$A:$G,5,"falso")</f>
        <v>2.5299999999999998</v>
      </c>
      <c r="M189" s="15">
        <f>L189*H189</f>
        <v>0</v>
      </c>
      <c r="N189" s="15">
        <f>H189*I189</f>
        <v>0</v>
      </c>
      <c r="O189" s="25" t="e">
        <f>N189/$N$193</f>
        <v>#DIV/0!</v>
      </c>
    </row>
    <row r="190" spans="1:16" ht="12.75" customHeight="1" x14ac:dyDescent="0.2">
      <c r="A190" s="494" t="s">
        <v>833</v>
      </c>
      <c r="B190" s="490" t="s">
        <v>834</v>
      </c>
      <c r="C190" s="491"/>
      <c r="D190" s="491"/>
      <c r="E190" s="491"/>
      <c r="F190" s="491"/>
      <c r="G190" s="97" t="s">
        <v>24</v>
      </c>
      <c r="H190" s="502">
        <v>0</v>
      </c>
      <c r="I190" s="489">
        <v>5.23</v>
      </c>
      <c r="J190" s="72">
        <v>5.23</v>
      </c>
      <c r="K190" s="15"/>
      <c r="L190" s="72">
        <v>5.23</v>
      </c>
      <c r="M190" s="15">
        <f>L190*H190</f>
        <v>0</v>
      </c>
      <c r="N190" s="15">
        <f>H190*I190</f>
        <v>0</v>
      </c>
      <c r="O190" s="25" t="e">
        <f>N190/N193</f>
        <v>#DIV/0!</v>
      </c>
    </row>
    <row r="191" spans="1:16" ht="12.75" hidden="1" customHeight="1" x14ac:dyDescent="0.2">
      <c r="A191" s="494" t="s">
        <v>1254</v>
      </c>
      <c r="B191" s="490" t="s">
        <v>1255</v>
      </c>
      <c r="C191" s="491"/>
      <c r="D191" s="491"/>
      <c r="E191" s="491"/>
      <c r="F191" s="491"/>
      <c r="G191" s="97" t="s">
        <v>24</v>
      </c>
      <c r="H191" s="502">
        <v>0</v>
      </c>
      <c r="I191" s="489">
        <v>9.57</v>
      </c>
      <c r="J191" s="72">
        <v>9.57</v>
      </c>
      <c r="K191" s="15"/>
      <c r="L191" s="72">
        <v>9.57</v>
      </c>
      <c r="M191" s="15">
        <f>L191*H191</f>
        <v>0</v>
      </c>
      <c r="N191" s="15">
        <f>H191*I191</f>
        <v>0</v>
      </c>
      <c r="O191" s="25" t="e">
        <f>N191/N193</f>
        <v>#DIV/0!</v>
      </c>
    </row>
    <row r="192" spans="1:16" ht="12.75" customHeight="1" x14ac:dyDescent="0.2">
      <c r="A192" s="494"/>
      <c r="B192" s="490"/>
      <c r="C192" s="491"/>
      <c r="D192" s="491"/>
      <c r="E192" s="491"/>
      <c r="F192" s="491"/>
      <c r="G192" s="97"/>
      <c r="H192" s="502"/>
      <c r="I192" s="72"/>
      <c r="J192" s="72"/>
      <c r="K192" s="15"/>
      <c r="L192" s="72"/>
      <c r="M192" s="15"/>
      <c r="N192" s="15"/>
      <c r="O192" s="25"/>
      <c r="P192" s="51">
        <v>20068</v>
      </c>
    </row>
    <row r="193" spans="1:16" ht="12.75" customHeight="1" x14ac:dyDescent="0.2">
      <c r="A193" s="491"/>
      <c r="B193" s="594" t="s">
        <v>18</v>
      </c>
      <c r="C193" s="595"/>
      <c r="D193" s="595"/>
      <c r="E193" s="595"/>
      <c r="F193" s="595"/>
      <c r="G193" s="53"/>
      <c r="H193" s="503"/>
      <c r="I193" s="53"/>
      <c r="J193" s="53"/>
      <c r="K193" s="53"/>
      <c r="L193" s="53"/>
      <c r="M193" s="53"/>
      <c r="N193" s="15">
        <f>SUM(N188:N191)</f>
        <v>0</v>
      </c>
      <c r="O193" s="25" t="e">
        <f>N193/N195</f>
        <v>#DIV/0!</v>
      </c>
      <c r="P193" s="51">
        <v>20155</v>
      </c>
    </row>
    <row r="194" spans="1:16" ht="12.75" customHeight="1" x14ac:dyDescent="0.2">
      <c r="A194" s="494"/>
      <c r="B194" s="490"/>
      <c r="C194" s="491"/>
      <c r="D194" s="491"/>
      <c r="E194" s="491"/>
      <c r="F194" s="491"/>
      <c r="G194" s="97"/>
      <c r="H194" s="502"/>
      <c r="I194" s="72"/>
      <c r="J194" s="72"/>
      <c r="K194" s="15"/>
      <c r="L194" s="72"/>
      <c r="M194" s="15"/>
      <c r="N194" s="15"/>
      <c r="O194" s="25"/>
      <c r="P194" s="51">
        <v>5103</v>
      </c>
    </row>
    <row r="195" spans="1:16" ht="12.75" customHeight="1" x14ac:dyDescent="0.2">
      <c r="A195" s="596"/>
      <c r="B195" s="597" t="s">
        <v>20</v>
      </c>
      <c r="C195" s="598"/>
      <c r="D195" s="598"/>
      <c r="E195" s="598"/>
      <c r="F195" s="598"/>
      <c r="G195" s="78"/>
      <c r="H195" s="504"/>
      <c r="I195" s="78"/>
      <c r="J195" s="78"/>
      <c r="K195" s="78"/>
      <c r="L195" s="78"/>
      <c r="M195" s="78"/>
      <c r="N195" s="83">
        <f>N180+N185+N193</f>
        <v>0</v>
      </c>
      <c r="O195" s="77" t="e">
        <f>N195/N264</f>
        <v>#DIV/0!</v>
      </c>
    </row>
    <row r="196" spans="1:16" ht="12.75" customHeight="1" x14ac:dyDescent="0.2">
      <c r="A196" s="596"/>
      <c r="B196" s="597"/>
      <c r="C196" s="599"/>
      <c r="D196" s="599"/>
      <c r="E196" s="599"/>
      <c r="F196" s="599"/>
      <c r="G196" s="479"/>
      <c r="H196" s="512"/>
      <c r="I196" s="479"/>
      <c r="J196" s="479"/>
      <c r="K196" s="479"/>
      <c r="L196" s="479"/>
      <c r="M196" s="479"/>
      <c r="N196" s="83"/>
      <c r="O196" s="77"/>
    </row>
    <row r="197" spans="1:16" ht="12.75" customHeight="1" x14ac:dyDescent="0.2">
      <c r="A197" s="600" t="s">
        <v>270</v>
      </c>
      <c r="B197" s="490" t="s">
        <v>29</v>
      </c>
      <c r="C197" s="491"/>
      <c r="D197" s="491"/>
      <c r="E197" s="491"/>
      <c r="F197" s="491"/>
      <c r="H197" s="505"/>
      <c r="O197" s="61"/>
    </row>
    <row r="198" spans="1:16" s="132" customFormat="1" x14ac:dyDescent="0.2">
      <c r="A198" s="600" t="s">
        <v>958</v>
      </c>
      <c r="B198" s="490" t="s">
        <v>959</v>
      </c>
      <c r="C198" s="491"/>
      <c r="D198" s="491"/>
      <c r="E198" s="491"/>
      <c r="F198" s="491"/>
      <c r="G198" s="51"/>
      <c r="H198" s="505"/>
      <c r="I198" s="51"/>
      <c r="J198" s="51"/>
      <c r="K198" s="51"/>
      <c r="L198" s="51"/>
      <c r="M198" s="51"/>
      <c r="N198" s="51"/>
      <c r="O198" s="61"/>
    </row>
    <row r="199" spans="1:16" x14ac:dyDescent="0.2">
      <c r="A199" s="494" t="s">
        <v>960</v>
      </c>
      <c r="B199" s="490" t="s">
        <v>961</v>
      </c>
      <c r="C199" s="491"/>
      <c r="D199" s="491"/>
      <c r="E199" s="491"/>
      <c r="F199" s="491"/>
      <c r="G199" s="97" t="s">
        <v>24</v>
      </c>
      <c r="H199" s="502">
        <v>0</v>
      </c>
      <c r="I199" s="72">
        <f>VLOOKUP(A199,'[1]TAB OGU JUN18'!$A:$G,6,"falso")</f>
        <v>112.48</v>
      </c>
      <c r="J199" s="72">
        <f>VLOOKUP(A199,'[1]TAB OGU JUN18'!$A:$G,4,"falso")</f>
        <v>0</v>
      </c>
      <c r="K199" s="15"/>
      <c r="L199" s="72">
        <f>VLOOKUP(A199,'[1]TAB OGU JUN18'!$A:$G,5,"falso")</f>
        <v>112.48</v>
      </c>
      <c r="M199" s="15">
        <f>L199*H199</f>
        <v>0</v>
      </c>
      <c r="N199" s="15">
        <f>H199*I199</f>
        <v>0</v>
      </c>
      <c r="O199" s="25" t="e">
        <f>N199/N201</f>
        <v>#DIV/0!</v>
      </c>
    </row>
    <row r="200" spans="1:16" ht="12.75" customHeight="1" x14ac:dyDescent="0.2">
      <c r="A200" s="494"/>
      <c r="B200" s="490"/>
      <c r="C200" s="491"/>
      <c r="D200" s="491"/>
      <c r="E200" s="491"/>
      <c r="F200" s="491"/>
      <c r="G200" s="97"/>
      <c r="H200" s="502"/>
      <c r="I200" s="72"/>
      <c r="J200" s="72"/>
      <c r="K200" s="15"/>
      <c r="L200" s="72"/>
      <c r="M200" s="15"/>
      <c r="N200" s="15"/>
      <c r="O200" s="25"/>
      <c r="P200" s="149"/>
    </row>
    <row r="201" spans="1:16" x14ac:dyDescent="0.2">
      <c r="A201" s="491"/>
      <c r="B201" s="594" t="s">
        <v>18</v>
      </c>
      <c r="C201" s="595"/>
      <c r="D201" s="595"/>
      <c r="E201" s="595"/>
      <c r="F201" s="595"/>
      <c r="G201" s="53"/>
      <c r="H201" s="503"/>
      <c r="I201" s="53"/>
      <c r="J201" s="53"/>
      <c r="K201" s="53"/>
      <c r="L201" s="53"/>
      <c r="M201" s="53"/>
      <c r="N201" s="15">
        <f>N199</f>
        <v>0</v>
      </c>
      <c r="O201" s="25" t="e">
        <f>N201/N220</f>
        <v>#DIV/0!</v>
      </c>
    </row>
    <row r="202" spans="1:16" x14ac:dyDescent="0.2">
      <c r="A202" s="494"/>
      <c r="B202" s="490"/>
      <c r="C202" s="491"/>
      <c r="D202" s="491"/>
      <c r="E202" s="491"/>
      <c r="F202" s="491"/>
      <c r="G202" s="97"/>
      <c r="H202" s="502"/>
      <c r="I202" s="72"/>
      <c r="J202" s="72"/>
      <c r="K202" s="15"/>
      <c r="L202" s="72"/>
      <c r="M202" s="15"/>
      <c r="N202" s="15"/>
      <c r="O202" s="25"/>
    </row>
    <row r="203" spans="1:16" ht="12.75" customHeight="1" x14ac:dyDescent="0.2">
      <c r="A203" s="600" t="s">
        <v>271</v>
      </c>
      <c r="B203" s="490" t="s">
        <v>34</v>
      </c>
      <c r="C203" s="491"/>
      <c r="D203" s="491"/>
      <c r="E203" s="491"/>
      <c r="F203" s="491"/>
      <c r="H203" s="505"/>
      <c r="O203" s="61"/>
      <c r="P203" s="149"/>
    </row>
    <row r="204" spans="1:16" x14ac:dyDescent="0.2">
      <c r="A204" s="494" t="s">
        <v>962</v>
      </c>
      <c r="B204" s="490" t="s">
        <v>963</v>
      </c>
      <c r="C204" s="491"/>
      <c r="D204" s="491"/>
      <c r="E204" s="491"/>
      <c r="F204" s="491"/>
      <c r="G204" s="97" t="s">
        <v>24</v>
      </c>
      <c r="H204" s="502">
        <v>0</v>
      </c>
      <c r="I204" s="72">
        <f>VLOOKUP(A204,'[1]TAB OGU JUN18'!$A:$G,6,"falso")</f>
        <v>86.64</v>
      </c>
      <c r="J204" s="72">
        <f>VLOOKUP(A204,'[1]TAB OGU JUN18'!$A:$G,4,"falso")</f>
        <v>0</v>
      </c>
      <c r="K204" s="15"/>
      <c r="L204" s="72">
        <f>VLOOKUP(A204,'[1]TAB OGU JUN18'!$A:$G,5,"falso")</f>
        <v>86.64</v>
      </c>
      <c r="M204" s="15">
        <f>L204*H204</f>
        <v>0</v>
      </c>
      <c r="N204" s="15">
        <f>H204*I204</f>
        <v>0</v>
      </c>
      <c r="O204" s="25" t="e">
        <f>N204/N207</f>
        <v>#DIV/0!</v>
      </c>
    </row>
    <row r="205" spans="1:16" hidden="1" x14ac:dyDescent="0.2">
      <c r="A205" s="494" t="s">
        <v>272</v>
      </c>
      <c r="B205" s="490" t="s">
        <v>1256</v>
      </c>
      <c r="C205" s="491"/>
      <c r="D205" s="491"/>
      <c r="E205" s="491"/>
      <c r="F205" s="491"/>
      <c r="G205" s="97" t="s">
        <v>24</v>
      </c>
      <c r="H205" s="502">
        <v>0</v>
      </c>
      <c r="I205" s="72">
        <f>VLOOKUP(A205,'[1]TAB OGU JUN18'!$A:$G,6,"falso")</f>
        <v>87.25</v>
      </c>
      <c r="J205" s="72">
        <f>VLOOKUP(A205,'[1]TAB OGU JUN18'!$A:$G,4,"falso")</f>
        <v>0</v>
      </c>
      <c r="K205" s="15"/>
      <c r="L205" s="72">
        <f>VLOOKUP(A205,'[1]TAB OGU JUN18'!$A:$G,5,"falso")</f>
        <v>87.25</v>
      </c>
      <c r="M205" s="15">
        <f>L205*H205</f>
        <v>0</v>
      </c>
      <c r="N205" s="15">
        <f>H205*I205</f>
        <v>0</v>
      </c>
      <c r="O205" s="25" t="e">
        <f>N205/N207</f>
        <v>#DIV/0!</v>
      </c>
    </row>
    <row r="206" spans="1:16" ht="12.75" customHeight="1" x14ac:dyDescent="0.2">
      <c r="A206" s="494"/>
      <c r="B206" s="490"/>
      <c r="C206" s="491"/>
      <c r="D206" s="491"/>
      <c r="E206" s="491"/>
      <c r="F206" s="491"/>
      <c r="G206" s="97"/>
      <c r="H206" s="502"/>
      <c r="I206" s="72"/>
      <c r="J206" s="72"/>
      <c r="K206" s="15"/>
      <c r="L206" s="72"/>
      <c r="M206" s="15"/>
      <c r="N206" s="15"/>
      <c r="O206" s="25"/>
      <c r="P206" s="149"/>
    </row>
    <row r="207" spans="1:16" x14ac:dyDescent="0.2">
      <c r="A207" s="491"/>
      <c r="B207" s="594" t="s">
        <v>18</v>
      </c>
      <c r="C207" s="595"/>
      <c r="D207" s="595"/>
      <c r="E207" s="595"/>
      <c r="F207" s="595"/>
      <c r="G207" s="53"/>
      <c r="H207" s="503"/>
      <c r="I207" s="53"/>
      <c r="J207" s="53"/>
      <c r="K207" s="53"/>
      <c r="L207" s="53"/>
      <c r="M207" s="53"/>
      <c r="N207" s="15">
        <f>SUM(N204:N205)</f>
        <v>0</v>
      </c>
      <c r="O207" s="25" t="e">
        <f>N207/N220</f>
        <v>#DIV/0!</v>
      </c>
    </row>
    <row r="208" spans="1:16" ht="12.75" customHeight="1" x14ac:dyDescent="0.2">
      <c r="A208" s="494"/>
      <c r="B208" s="490"/>
      <c r="C208" s="491"/>
      <c r="D208" s="491"/>
      <c r="E208" s="491"/>
      <c r="F208" s="491"/>
      <c r="G208" s="97"/>
      <c r="H208" s="502"/>
      <c r="I208" s="72"/>
      <c r="J208" s="72"/>
      <c r="K208" s="15"/>
      <c r="L208" s="72"/>
      <c r="M208" s="15"/>
      <c r="N208" s="15"/>
      <c r="O208" s="25"/>
      <c r="P208" s="149"/>
    </row>
    <row r="209" spans="1:16" ht="12.75" customHeight="1" x14ac:dyDescent="0.2">
      <c r="A209" s="600" t="s">
        <v>273</v>
      </c>
      <c r="B209" s="490" t="s">
        <v>35</v>
      </c>
      <c r="C209" s="491"/>
      <c r="D209" s="491"/>
      <c r="E209" s="491"/>
      <c r="F209" s="491"/>
      <c r="H209" s="505"/>
      <c r="O209" s="61"/>
      <c r="P209" s="149"/>
    </row>
    <row r="210" spans="1:16" ht="12.75" customHeight="1" x14ac:dyDescent="0.2">
      <c r="A210" s="494" t="s">
        <v>274</v>
      </c>
      <c r="B210" s="490" t="s">
        <v>964</v>
      </c>
      <c r="C210" s="491"/>
      <c r="D210" s="491"/>
      <c r="E210" s="491"/>
      <c r="F210" s="491"/>
      <c r="G210" s="97" t="s">
        <v>24</v>
      </c>
      <c r="H210" s="502">
        <v>0</v>
      </c>
      <c r="I210" s="72">
        <f>VLOOKUP(A210,'[1]TAB OGU JUN18'!$A:$G,6,"falso")</f>
        <v>112</v>
      </c>
      <c r="J210" s="72">
        <f>VLOOKUP(A210,'[1]TAB OGU JUN18'!$A:$G,4,"falso")</f>
        <v>0</v>
      </c>
      <c r="K210" s="15"/>
      <c r="L210" s="72">
        <f>VLOOKUP(A210,'[1]TAB OGU JUN18'!$A:$G,5,"falso")</f>
        <v>112</v>
      </c>
      <c r="M210" s="15">
        <f>L210*H210</f>
        <v>0</v>
      </c>
      <c r="N210" s="15">
        <f>H210*I210</f>
        <v>0</v>
      </c>
      <c r="O210" s="25" t="e">
        <f>N210/N212</f>
        <v>#DIV/0!</v>
      </c>
      <c r="P210" s="149"/>
    </row>
    <row r="211" spans="1:16" ht="12.75" customHeight="1" x14ac:dyDescent="0.2">
      <c r="A211" s="494"/>
      <c r="B211" s="490"/>
      <c r="C211" s="491"/>
      <c r="D211" s="491"/>
      <c r="E211" s="491"/>
      <c r="F211" s="491"/>
      <c r="G211" s="97"/>
      <c r="H211" s="502"/>
      <c r="I211" s="72"/>
      <c r="J211" s="72"/>
      <c r="K211" s="15"/>
      <c r="L211" s="72"/>
      <c r="M211" s="15"/>
      <c r="N211" s="15"/>
      <c r="O211" s="25"/>
    </row>
    <row r="212" spans="1:16" ht="12.75" customHeight="1" x14ac:dyDescent="0.2">
      <c r="A212" s="491"/>
      <c r="B212" s="594" t="s">
        <v>18</v>
      </c>
      <c r="C212" s="595"/>
      <c r="D212" s="595"/>
      <c r="E212" s="595"/>
      <c r="F212" s="595"/>
      <c r="G212" s="53"/>
      <c r="H212" s="503"/>
      <c r="I212" s="53"/>
      <c r="J212" s="53"/>
      <c r="K212" s="53"/>
      <c r="L212" s="53"/>
      <c r="M212" s="53"/>
      <c r="N212" s="15">
        <f>N210</f>
        <v>0</v>
      </c>
      <c r="O212" s="25" t="e">
        <f>N212/N220</f>
        <v>#DIV/0!</v>
      </c>
    </row>
    <row r="213" spans="1:16" ht="12.75" customHeight="1" x14ac:dyDescent="0.2">
      <c r="A213" s="494"/>
      <c r="B213" s="490"/>
      <c r="C213" s="491"/>
      <c r="D213" s="491"/>
      <c r="E213" s="491"/>
      <c r="F213" s="491"/>
      <c r="G213" s="97"/>
      <c r="H213" s="502"/>
      <c r="I213" s="72"/>
      <c r="J213" s="72"/>
      <c r="K213" s="15"/>
      <c r="L213" s="72"/>
      <c r="M213" s="15"/>
      <c r="N213" s="15"/>
      <c r="O213" s="25"/>
    </row>
    <row r="214" spans="1:16" ht="12.75" customHeight="1" x14ac:dyDescent="0.2">
      <c r="A214" s="600"/>
      <c r="B214" s="490"/>
      <c r="C214" s="491"/>
      <c r="D214" s="491"/>
      <c r="E214" s="491"/>
      <c r="F214" s="491"/>
      <c r="H214" s="505"/>
      <c r="O214" s="61"/>
    </row>
    <row r="215" spans="1:16" s="150" customFormat="1" ht="12.75" customHeight="1" x14ac:dyDescent="0.2">
      <c r="A215" s="600" t="s">
        <v>275</v>
      </c>
      <c r="B215" s="490" t="s">
        <v>36</v>
      </c>
      <c r="C215" s="491"/>
      <c r="D215" s="491"/>
      <c r="E215" s="491"/>
      <c r="F215" s="491"/>
      <c r="G215" s="51"/>
      <c r="H215" s="505"/>
      <c r="I215" s="51"/>
      <c r="J215" s="51"/>
      <c r="K215" s="51"/>
      <c r="L215" s="51"/>
      <c r="M215" s="51"/>
      <c r="N215" s="51"/>
      <c r="O215" s="61"/>
    </row>
    <row r="216" spans="1:16" s="150" customFormat="1" ht="12.75" customHeight="1" x14ac:dyDescent="0.2">
      <c r="A216" s="600" t="s">
        <v>276</v>
      </c>
      <c r="B216" s="490" t="s">
        <v>78</v>
      </c>
      <c r="C216" s="491"/>
      <c r="D216" s="491"/>
      <c r="E216" s="491"/>
      <c r="F216" s="491"/>
      <c r="G216" s="97" t="s">
        <v>17</v>
      </c>
      <c r="H216" s="502">
        <v>0</v>
      </c>
      <c r="I216" s="72">
        <f>VLOOKUP(A216,'[1]TAB OGU JUN18'!$A:$G,6,"falso")</f>
        <v>37.630000000000003</v>
      </c>
      <c r="J216" s="72">
        <f>VLOOKUP(A216,'[1]TAB OGU JUN18'!$A:$G,4,"falso")</f>
        <v>0</v>
      </c>
      <c r="K216" s="15"/>
      <c r="L216" s="72">
        <f>VLOOKUP(A216,'[1]TAB OGU JUN18'!$A:$G,5,"falso")</f>
        <v>37.630000000000003</v>
      </c>
      <c r="M216" s="15">
        <f>L216*H216</f>
        <v>0</v>
      </c>
      <c r="N216" s="15">
        <f>H216*I216</f>
        <v>0</v>
      </c>
      <c r="O216" s="25" t="e">
        <f>N216/N218</f>
        <v>#DIV/0!</v>
      </c>
    </row>
    <row r="217" spans="1:16" ht="12.75" customHeight="1" x14ac:dyDescent="0.2">
      <c r="A217" s="491"/>
      <c r="B217" s="491"/>
      <c r="C217" s="491"/>
      <c r="D217" s="491"/>
      <c r="E217" s="491"/>
      <c r="F217" s="491"/>
      <c r="G217" s="52"/>
      <c r="H217" s="501"/>
      <c r="I217" s="52"/>
      <c r="J217" s="52"/>
      <c r="K217" s="52"/>
      <c r="L217" s="52"/>
      <c r="M217" s="52"/>
      <c r="N217" s="456"/>
      <c r="O217" s="25"/>
    </row>
    <row r="218" spans="1:16" ht="12.75" customHeight="1" x14ac:dyDescent="0.2">
      <c r="A218" s="491"/>
      <c r="B218" s="594" t="s">
        <v>18</v>
      </c>
      <c r="C218" s="595"/>
      <c r="D218" s="595"/>
      <c r="E218" s="595"/>
      <c r="F218" s="595"/>
      <c r="G218" s="53"/>
      <c r="H218" s="503"/>
      <c r="I218" s="53"/>
      <c r="J218" s="53"/>
      <c r="K218" s="53"/>
      <c r="L218" s="53"/>
      <c r="M218" s="53"/>
      <c r="N218" s="15">
        <f>N216</f>
        <v>0</v>
      </c>
      <c r="O218" s="25" t="e">
        <f>N218/N220</f>
        <v>#DIV/0!</v>
      </c>
    </row>
    <row r="219" spans="1:16" ht="12.75" customHeight="1" x14ac:dyDescent="0.2">
      <c r="A219" s="491"/>
      <c r="B219" s="594"/>
      <c r="C219" s="491"/>
      <c r="D219" s="491"/>
      <c r="E219" s="491"/>
      <c r="F219" s="491"/>
      <c r="G219" s="52"/>
      <c r="H219" s="501"/>
      <c r="I219" s="52"/>
      <c r="J219" s="52"/>
      <c r="K219" s="52"/>
      <c r="L219" s="52"/>
      <c r="M219" s="52"/>
      <c r="N219" s="15"/>
      <c r="O219" s="25"/>
    </row>
    <row r="220" spans="1:16" ht="12.75" customHeight="1" x14ac:dyDescent="0.2">
      <c r="A220" s="599"/>
      <c r="B220" s="597" t="s">
        <v>20</v>
      </c>
      <c r="C220" s="598"/>
      <c r="D220" s="598"/>
      <c r="E220" s="598"/>
      <c r="F220" s="598"/>
      <c r="G220" s="78"/>
      <c r="H220" s="504"/>
      <c r="I220" s="78"/>
      <c r="J220" s="78"/>
      <c r="K220" s="78"/>
      <c r="L220" s="78"/>
      <c r="M220" s="78"/>
      <c r="N220" s="83">
        <f>N201+N207+N212+N218</f>
        <v>0</v>
      </c>
      <c r="O220" s="77" t="e">
        <f>N220/N264</f>
        <v>#DIV/0!</v>
      </c>
    </row>
    <row r="221" spans="1:16" ht="12.75" customHeight="1" x14ac:dyDescent="0.2">
      <c r="A221" s="491"/>
      <c r="B221" s="594"/>
      <c r="C221" s="491"/>
      <c r="D221" s="491"/>
      <c r="E221" s="491"/>
      <c r="F221" s="491"/>
      <c r="G221" s="52"/>
      <c r="H221" s="501"/>
      <c r="I221" s="520"/>
      <c r="J221" s="52"/>
      <c r="K221" s="52"/>
      <c r="L221" s="52"/>
      <c r="M221" s="52"/>
      <c r="N221" s="15"/>
      <c r="O221" s="25"/>
    </row>
    <row r="222" spans="1:16" ht="12.75" customHeight="1" x14ac:dyDescent="0.2">
      <c r="A222" s="600">
        <v>29</v>
      </c>
      <c r="B222" s="490" t="s">
        <v>507</v>
      </c>
      <c r="C222" s="491"/>
      <c r="D222" s="491"/>
      <c r="E222" s="491"/>
      <c r="F222" s="491"/>
      <c r="H222" s="505"/>
      <c r="I222" s="491"/>
      <c r="O222" s="61"/>
    </row>
    <row r="223" spans="1:16" ht="12.75" hidden="1" customHeight="1" x14ac:dyDescent="0.2">
      <c r="A223" s="600" t="s">
        <v>1029</v>
      </c>
      <c r="B223" s="490" t="s">
        <v>508</v>
      </c>
      <c r="C223" s="491"/>
      <c r="D223" s="491"/>
      <c r="E223" s="491"/>
      <c r="F223" s="491"/>
      <c r="H223" s="505"/>
      <c r="I223" s="491"/>
      <c r="O223" s="61"/>
    </row>
    <row r="224" spans="1:16" ht="12.75" hidden="1" customHeight="1" x14ac:dyDescent="0.2">
      <c r="A224" s="600" t="s">
        <v>1030</v>
      </c>
      <c r="B224" s="490" t="s">
        <v>1031</v>
      </c>
      <c r="C224" s="491"/>
      <c r="D224" s="491"/>
      <c r="E224" s="491"/>
      <c r="F224" s="491"/>
      <c r="G224" s="497" t="s">
        <v>24</v>
      </c>
      <c r="H224" s="502">
        <v>0</v>
      </c>
      <c r="I224" s="489">
        <v>352.27</v>
      </c>
      <c r="J224" s="489">
        <v>352.27</v>
      </c>
      <c r="K224" s="502"/>
      <c r="L224" s="489">
        <v>352.27</v>
      </c>
      <c r="M224" s="502">
        <f>H224*L224</f>
        <v>0</v>
      </c>
      <c r="N224" s="502">
        <f>H224*I224</f>
        <v>0</v>
      </c>
      <c r="O224" s="601" t="e">
        <f>N224/N227</f>
        <v>#DIV/0!</v>
      </c>
      <c r="P224" s="61" t="s">
        <v>1328</v>
      </c>
    </row>
    <row r="225" spans="1:16" ht="12.75" hidden="1" customHeight="1" x14ac:dyDescent="0.2">
      <c r="A225" s="600" t="s">
        <v>1258</v>
      </c>
      <c r="B225" s="490" t="s">
        <v>1257</v>
      </c>
      <c r="C225" s="491"/>
      <c r="D225" s="491"/>
      <c r="E225" s="491"/>
      <c r="F225" s="491"/>
      <c r="G225" s="497" t="s">
        <v>24</v>
      </c>
      <c r="H225" s="502">
        <v>0</v>
      </c>
      <c r="I225" s="489">
        <v>757.76</v>
      </c>
      <c r="J225" s="489">
        <v>757.76</v>
      </c>
      <c r="K225" s="502"/>
      <c r="L225" s="489">
        <v>757.76</v>
      </c>
      <c r="M225" s="502">
        <f>H225*L225</f>
        <v>0</v>
      </c>
      <c r="N225" s="502">
        <f>H225*I225</f>
        <v>0</v>
      </c>
      <c r="O225" s="601" t="e">
        <f>N225/N227</f>
        <v>#DIV/0!</v>
      </c>
      <c r="P225" s="61" t="s">
        <v>1332</v>
      </c>
    </row>
    <row r="226" spans="1:16" ht="12.75" hidden="1" customHeight="1" x14ac:dyDescent="0.2">
      <c r="A226" s="600"/>
      <c r="B226" s="490"/>
      <c r="C226" s="491"/>
      <c r="D226" s="491"/>
      <c r="E226" s="491"/>
      <c r="F226" s="491"/>
      <c r="H226" s="505"/>
      <c r="I226" s="491"/>
      <c r="O226" s="61"/>
    </row>
    <row r="227" spans="1:16" ht="12.75" hidden="1" customHeight="1" x14ac:dyDescent="0.2">
      <c r="A227" s="491"/>
      <c r="B227" s="594" t="s">
        <v>18</v>
      </c>
      <c r="C227" s="595"/>
      <c r="D227" s="595"/>
      <c r="E227" s="595"/>
      <c r="F227" s="595"/>
      <c r="G227" s="53"/>
      <c r="H227" s="503"/>
      <c r="I227" s="521"/>
      <c r="J227" s="53"/>
      <c r="K227" s="53"/>
      <c r="L227" s="53"/>
      <c r="M227" s="53"/>
      <c r="N227" s="15">
        <f>SUM(N224:N225)</f>
        <v>0</v>
      </c>
      <c r="O227" s="25" t="e">
        <f>N227/N246</f>
        <v>#DIV/0!</v>
      </c>
    </row>
    <row r="228" spans="1:16" ht="12.75" hidden="1" customHeight="1" x14ac:dyDescent="0.2">
      <c r="A228" s="600"/>
      <c r="B228" s="490"/>
      <c r="C228" s="491"/>
      <c r="D228" s="491"/>
      <c r="E228" s="491"/>
      <c r="F228" s="491"/>
      <c r="H228" s="505"/>
      <c r="I228" s="491"/>
      <c r="O228" s="61"/>
    </row>
    <row r="229" spans="1:16" ht="12.75" customHeight="1" x14ac:dyDescent="0.2">
      <c r="A229" s="600" t="s">
        <v>975</v>
      </c>
      <c r="B229" s="490" t="s">
        <v>976</v>
      </c>
      <c r="C229" s="491"/>
      <c r="D229" s="491"/>
      <c r="E229" s="491"/>
      <c r="F229" s="491"/>
      <c r="G229" s="491"/>
      <c r="H229" s="505"/>
      <c r="I229" s="491"/>
      <c r="J229" s="491"/>
      <c r="K229" s="491"/>
      <c r="L229" s="491"/>
      <c r="M229" s="491"/>
      <c r="N229" s="491"/>
      <c r="O229" s="505"/>
    </row>
    <row r="230" spans="1:16" ht="12.75" customHeight="1" x14ac:dyDescent="0.2">
      <c r="A230" s="600" t="s">
        <v>978</v>
      </c>
      <c r="B230" s="490" t="s">
        <v>977</v>
      </c>
      <c r="C230" s="491"/>
      <c r="D230" s="491"/>
      <c r="E230" s="491"/>
      <c r="F230" s="491"/>
      <c r="G230" s="497" t="s">
        <v>24</v>
      </c>
      <c r="H230" s="502">
        <v>0</v>
      </c>
      <c r="I230" s="489">
        <v>275.47000000000003</v>
      </c>
      <c r="J230" s="489">
        <v>275.47000000000003</v>
      </c>
      <c r="K230" s="502"/>
      <c r="L230" s="489">
        <v>275.47000000000003</v>
      </c>
      <c r="M230" s="502">
        <f>H230*L230</f>
        <v>0</v>
      </c>
      <c r="N230" s="502">
        <f>H230*I230</f>
        <v>0</v>
      </c>
      <c r="O230" s="601" t="e">
        <f>N230/N232</f>
        <v>#DIV/0!</v>
      </c>
      <c r="P230" s="61" t="s">
        <v>1331</v>
      </c>
    </row>
    <row r="231" spans="1:16" ht="12.75" customHeight="1" x14ac:dyDescent="0.2">
      <c r="A231" s="491"/>
      <c r="B231" s="594"/>
      <c r="C231" s="491"/>
      <c r="D231" s="491"/>
      <c r="E231" s="491"/>
      <c r="F231" s="491"/>
      <c r="G231" s="520"/>
      <c r="H231" s="501"/>
      <c r="I231" s="520"/>
      <c r="J231" s="520"/>
      <c r="K231" s="520"/>
      <c r="L231" s="520"/>
      <c r="M231" s="520"/>
      <c r="N231" s="502"/>
      <c r="O231" s="601"/>
    </row>
    <row r="232" spans="1:16" ht="12.75" customHeight="1" x14ac:dyDescent="0.2">
      <c r="A232" s="491"/>
      <c r="B232" s="594" t="s">
        <v>18</v>
      </c>
      <c r="C232" s="595"/>
      <c r="D232" s="595"/>
      <c r="E232" s="595"/>
      <c r="F232" s="595"/>
      <c r="G232" s="521"/>
      <c r="H232" s="503"/>
      <c r="I232" s="521"/>
      <c r="J232" s="521"/>
      <c r="K232" s="521"/>
      <c r="L232" s="521"/>
      <c r="M232" s="521"/>
      <c r="N232" s="502">
        <f>N230</f>
        <v>0</v>
      </c>
      <c r="O232" s="601" t="e">
        <f>N232/N246</f>
        <v>#DIV/0!</v>
      </c>
    </row>
    <row r="233" spans="1:16" ht="12.75" customHeight="1" x14ac:dyDescent="0.2">
      <c r="A233" s="491"/>
      <c r="B233" s="594"/>
      <c r="C233" s="491"/>
      <c r="D233" s="491"/>
      <c r="E233" s="491"/>
      <c r="F233" s="491"/>
      <c r="G233" s="520"/>
      <c r="H233" s="501"/>
      <c r="I233" s="520"/>
      <c r="J233" s="520"/>
      <c r="K233" s="520"/>
      <c r="L233" s="520"/>
      <c r="M233" s="520"/>
      <c r="N233" s="502"/>
      <c r="O233" s="601"/>
    </row>
    <row r="234" spans="1:16" ht="12.75" customHeight="1" x14ac:dyDescent="0.2">
      <c r="A234" s="600" t="s">
        <v>965</v>
      </c>
      <c r="B234" s="490" t="s">
        <v>966</v>
      </c>
      <c r="C234" s="491"/>
      <c r="D234" s="491"/>
      <c r="E234" s="491"/>
      <c r="F234" s="491"/>
      <c r="G234" s="491"/>
      <c r="H234" s="505"/>
      <c r="I234" s="491"/>
      <c r="J234" s="491"/>
      <c r="K234" s="491"/>
      <c r="L234" s="491"/>
      <c r="M234" s="491"/>
      <c r="N234" s="491"/>
      <c r="O234" s="505"/>
    </row>
    <row r="235" spans="1:16" ht="12.75" customHeight="1" x14ac:dyDescent="0.2">
      <c r="A235" s="600" t="s">
        <v>967</v>
      </c>
      <c r="B235" s="490" t="s">
        <v>968</v>
      </c>
      <c r="C235" s="491"/>
      <c r="D235" s="491"/>
      <c r="E235" s="491"/>
      <c r="F235" s="491"/>
      <c r="G235" s="497" t="s">
        <v>24</v>
      </c>
      <c r="H235" s="502">
        <v>0</v>
      </c>
      <c r="I235" s="489">
        <v>796.06</v>
      </c>
      <c r="J235" s="489">
        <v>796.06</v>
      </c>
      <c r="K235" s="502"/>
      <c r="L235" s="489">
        <v>796.06</v>
      </c>
      <c r="M235" s="502">
        <f>H235*L235</f>
        <v>0</v>
      </c>
      <c r="N235" s="502">
        <f>H235*I235</f>
        <v>0</v>
      </c>
      <c r="O235" s="601" t="e">
        <f>N235/N238</f>
        <v>#DIV/0!</v>
      </c>
      <c r="P235" s="61" t="s">
        <v>1333</v>
      </c>
    </row>
    <row r="236" spans="1:16" ht="12.75" hidden="1" customHeight="1" x14ac:dyDescent="0.2">
      <c r="A236" s="600" t="s">
        <v>1259</v>
      </c>
      <c r="B236" s="490" t="s">
        <v>1260</v>
      </c>
      <c r="C236" s="491"/>
      <c r="D236" s="491"/>
      <c r="E236" s="491"/>
      <c r="F236" s="491"/>
      <c r="G236" s="497" t="s">
        <v>24</v>
      </c>
      <c r="H236" s="502">
        <v>0</v>
      </c>
      <c r="I236" s="489">
        <v>1610.53</v>
      </c>
      <c r="J236" s="489">
        <v>1610.53</v>
      </c>
      <c r="K236" s="502"/>
      <c r="L236" s="489">
        <v>1610.53</v>
      </c>
      <c r="M236" s="502">
        <f>H236*L236</f>
        <v>0</v>
      </c>
      <c r="N236" s="502">
        <f>H236*I236</f>
        <v>0</v>
      </c>
      <c r="O236" s="601" t="e">
        <f>N236/N238</f>
        <v>#DIV/0!</v>
      </c>
      <c r="P236" s="61" t="s">
        <v>1334</v>
      </c>
    </row>
    <row r="237" spans="1:16" ht="12.75" customHeight="1" x14ac:dyDescent="0.2">
      <c r="A237" s="491"/>
      <c r="B237" s="594"/>
      <c r="C237" s="491"/>
      <c r="D237" s="491"/>
      <c r="E237" s="491"/>
      <c r="F237" s="491"/>
      <c r="G237" s="520"/>
      <c r="H237" s="501"/>
      <c r="I237" s="520"/>
      <c r="J237" s="520"/>
      <c r="K237" s="520"/>
      <c r="L237" s="520"/>
      <c r="M237" s="520"/>
      <c r="N237" s="502"/>
      <c r="O237" s="601"/>
    </row>
    <row r="238" spans="1:16" ht="12.75" customHeight="1" x14ac:dyDescent="0.2">
      <c r="A238" s="491"/>
      <c r="B238" s="594" t="s">
        <v>18</v>
      </c>
      <c r="C238" s="595"/>
      <c r="D238" s="595"/>
      <c r="E238" s="595"/>
      <c r="F238" s="595"/>
      <c r="G238" s="521"/>
      <c r="H238" s="503"/>
      <c r="I238" s="521"/>
      <c r="J238" s="521"/>
      <c r="K238" s="521"/>
      <c r="L238" s="521"/>
      <c r="M238" s="521"/>
      <c r="N238" s="502">
        <f>SUM(N235:N236)</f>
        <v>0</v>
      </c>
      <c r="O238" s="601" t="e">
        <f>N238/N246</f>
        <v>#DIV/0!</v>
      </c>
    </row>
    <row r="239" spans="1:16" ht="12.75" customHeight="1" x14ac:dyDescent="0.2">
      <c r="A239" s="491"/>
      <c r="B239" s="594"/>
      <c r="C239" s="491"/>
      <c r="D239" s="491"/>
      <c r="E239" s="491"/>
      <c r="F239" s="491"/>
      <c r="G239" s="520"/>
      <c r="H239" s="501"/>
      <c r="I239" s="520"/>
      <c r="J239" s="520"/>
      <c r="K239" s="520"/>
      <c r="L239" s="520"/>
      <c r="M239" s="520"/>
      <c r="N239" s="502"/>
      <c r="O239" s="601"/>
    </row>
    <row r="240" spans="1:16" ht="12.75" customHeight="1" x14ac:dyDescent="0.2">
      <c r="A240" s="600">
        <v>2959</v>
      </c>
      <c r="B240" s="490" t="s">
        <v>835</v>
      </c>
      <c r="C240" s="491"/>
      <c r="D240" s="491"/>
      <c r="E240" s="491"/>
      <c r="F240" s="491"/>
      <c r="G240" s="491"/>
      <c r="H240" s="505"/>
      <c r="I240" s="491"/>
      <c r="J240" s="491"/>
      <c r="K240" s="491"/>
      <c r="L240" s="491"/>
      <c r="M240" s="491"/>
      <c r="N240" s="491"/>
      <c r="O240" s="505"/>
    </row>
    <row r="241" spans="1:16" ht="12.75" customHeight="1" x14ac:dyDescent="0.2">
      <c r="A241" s="600" t="s">
        <v>969</v>
      </c>
      <c r="B241" s="490" t="s">
        <v>970</v>
      </c>
      <c r="C241" s="491"/>
      <c r="D241" s="491"/>
      <c r="E241" s="491"/>
      <c r="F241" s="491"/>
      <c r="G241" s="497" t="s">
        <v>24</v>
      </c>
      <c r="H241" s="502">
        <v>0</v>
      </c>
      <c r="I241" s="489">
        <v>994.96</v>
      </c>
      <c r="J241" s="489">
        <v>994.96</v>
      </c>
      <c r="K241" s="502"/>
      <c r="L241" s="489">
        <v>994.96</v>
      </c>
      <c r="M241" s="502">
        <f t="shared" ref="M241:M242" si="19">H241*L241</f>
        <v>0</v>
      </c>
      <c r="N241" s="502">
        <f>H241*I241</f>
        <v>0</v>
      </c>
      <c r="O241" s="601" t="e">
        <f>N241/N244</f>
        <v>#DIV/0!</v>
      </c>
      <c r="P241" s="61" t="s">
        <v>1336</v>
      </c>
    </row>
    <row r="242" spans="1:16" ht="12.75" hidden="1" customHeight="1" x14ac:dyDescent="0.2">
      <c r="A242" s="600" t="s">
        <v>1262</v>
      </c>
      <c r="B242" s="490" t="s">
        <v>1261</v>
      </c>
      <c r="C242" s="491"/>
      <c r="D242" s="491"/>
      <c r="E242" s="491"/>
      <c r="F242" s="491"/>
      <c r="G242" s="497" t="s">
        <v>24</v>
      </c>
      <c r="H242" s="502">
        <v>0</v>
      </c>
      <c r="I242" s="489">
        <v>2113.98</v>
      </c>
      <c r="J242" s="489">
        <v>2113.98</v>
      </c>
      <c r="K242" s="502"/>
      <c r="L242" s="489">
        <v>2113.98</v>
      </c>
      <c r="M242" s="502">
        <f t="shared" si="19"/>
        <v>0</v>
      </c>
      <c r="N242" s="502">
        <f>H242*I242</f>
        <v>0</v>
      </c>
      <c r="O242" s="601" t="e">
        <f>N242/N244</f>
        <v>#DIV/0!</v>
      </c>
      <c r="P242" s="61" t="s">
        <v>1337</v>
      </c>
    </row>
    <row r="243" spans="1:16" ht="12.75" customHeight="1" x14ac:dyDescent="0.2">
      <c r="B243" s="130"/>
      <c r="G243" s="52"/>
      <c r="H243" s="501"/>
      <c r="I243" s="520"/>
      <c r="J243" s="52"/>
      <c r="K243" s="52"/>
      <c r="L243" s="52"/>
      <c r="M243" s="52"/>
      <c r="N243" s="15"/>
      <c r="O243" s="25"/>
    </row>
    <row r="244" spans="1:16" ht="12.75" customHeight="1" x14ac:dyDescent="0.2">
      <c r="B244" s="130" t="s">
        <v>18</v>
      </c>
      <c r="C244" s="131"/>
      <c r="D244" s="131"/>
      <c r="E244" s="131"/>
      <c r="F244" s="131"/>
      <c r="G244" s="53"/>
      <c r="H244" s="503"/>
      <c r="I244" s="521"/>
      <c r="J244" s="53"/>
      <c r="K244" s="53"/>
      <c r="L244" s="53"/>
      <c r="M244" s="53"/>
      <c r="N244" s="15">
        <f>SUM(N241:N242)</f>
        <v>0</v>
      </c>
      <c r="O244" s="25" t="e">
        <f>N244/N246</f>
        <v>#DIV/0!</v>
      </c>
    </row>
    <row r="245" spans="1:16" ht="12.75" customHeight="1" x14ac:dyDescent="0.2">
      <c r="B245" s="130"/>
      <c r="G245" s="52"/>
      <c r="H245" s="501"/>
      <c r="I245" s="520"/>
      <c r="J245" s="52"/>
      <c r="K245" s="52"/>
      <c r="L245" s="52"/>
      <c r="M245" s="52"/>
      <c r="N245" s="15"/>
      <c r="O245" s="25"/>
    </row>
    <row r="246" spans="1:16" ht="12.75" customHeight="1" x14ac:dyDescent="0.2">
      <c r="A246" s="132"/>
      <c r="B246" s="133" t="s">
        <v>20</v>
      </c>
      <c r="C246" s="134"/>
      <c r="D246" s="134"/>
      <c r="E246" s="134"/>
      <c r="F246" s="134"/>
      <c r="G246" s="78"/>
      <c r="H246" s="504"/>
      <c r="I246" s="78"/>
      <c r="J246" s="78"/>
      <c r="K246" s="78"/>
      <c r="L246" s="78"/>
      <c r="M246" s="78"/>
      <c r="N246" s="83">
        <f>N232+N238+N244+N227</f>
        <v>0</v>
      </c>
      <c r="O246" s="77" t="e">
        <f>N246/N264</f>
        <v>#DIV/0!</v>
      </c>
    </row>
    <row r="247" spans="1:16" ht="12.75" customHeight="1" x14ac:dyDescent="0.2">
      <c r="B247" s="130"/>
      <c r="G247" s="52"/>
      <c r="H247" s="501"/>
      <c r="I247" s="52"/>
      <c r="J247" s="52"/>
      <c r="K247" s="52"/>
      <c r="L247" s="52"/>
      <c r="M247" s="52"/>
      <c r="N247" s="15"/>
      <c r="O247" s="25"/>
    </row>
    <row r="248" spans="1:16" ht="12.75" customHeight="1" x14ac:dyDescent="0.2">
      <c r="A248" s="98">
        <v>9240</v>
      </c>
      <c r="B248" s="88" t="s">
        <v>836</v>
      </c>
      <c r="G248" s="97"/>
      <c r="H248" s="502"/>
      <c r="I248" s="15"/>
      <c r="J248" s="15"/>
      <c r="K248" s="15"/>
      <c r="L248" s="15"/>
      <c r="M248" s="15"/>
      <c r="N248" s="15"/>
      <c r="O248" s="25"/>
    </row>
    <row r="249" spans="1:16" ht="12.75" hidden="1" customHeight="1" x14ac:dyDescent="0.2">
      <c r="A249" s="617" t="s">
        <v>1267</v>
      </c>
      <c r="B249" s="620" t="s">
        <v>1268</v>
      </c>
      <c r="C249" s="619"/>
      <c r="D249" s="619"/>
      <c r="E249" s="619"/>
      <c r="G249" s="97" t="s">
        <v>17</v>
      </c>
      <c r="H249" s="502">
        <v>0</v>
      </c>
      <c r="I249" s="489">
        <v>12.35</v>
      </c>
      <c r="J249" s="72">
        <v>12.35</v>
      </c>
      <c r="K249" s="15"/>
      <c r="L249" s="72">
        <v>12.35</v>
      </c>
      <c r="M249" s="15">
        <f t="shared" ref="M249:M258" si="20">H249*L249</f>
        <v>0</v>
      </c>
      <c r="N249" s="15">
        <f>H249*I249</f>
        <v>0</v>
      </c>
      <c r="O249" s="25" t="e">
        <f>N249/N260</f>
        <v>#DIV/0!</v>
      </c>
    </row>
    <row r="250" spans="1:16" ht="12.75" customHeight="1" x14ac:dyDescent="0.2">
      <c r="A250" s="98" t="s">
        <v>1032</v>
      </c>
      <c r="B250" s="88" t="s">
        <v>594</v>
      </c>
      <c r="G250" s="97" t="s">
        <v>17</v>
      </c>
      <c r="H250" s="502">
        <v>0</v>
      </c>
      <c r="I250" s="489">
        <v>21.64</v>
      </c>
      <c r="J250" s="72">
        <v>21.64</v>
      </c>
      <c r="K250" s="15"/>
      <c r="L250" s="72">
        <v>21.64</v>
      </c>
      <c r="M250" s="15">
        <f t="shared" si="20"/>
        <v>0</v>
      </c>
      <c r="N250" s="15">
        <f>H250*I250</f>
        <v>0</v>
      </c>
      <c r="O250" s="25" t="e">
        <f>N250/N260</f>
        <v>#DIV/0!</v>
      </c>
    </row>
    <row r="251" spans="1:16" ht="12.75" customHeight="1" x14ac:dyDescent="0.2">
      <c r="A251" s="98" t="s">
        <v>599</v>
      </c>
      <c r="B251" s="88" t="s">
        <v>971</v>
      </c>
      <c r="G251" s="97" t="s">
        <v>24</v>
      </c>
      <c r="H251" s="502">
        <v>0</v>
      </c>
      <c r="I251" s="489">
        <v>18.66</v>
      </c>
      <c r="J251" s="72">
        <v>18.66</v>
      </c>
      <c r="K251" s="15"/>
      <c r="L251" s="72">
        <v>18.66</v>
      </c>
      <c r="M251" s="15">
        <f t="shared" si="20"/>
        <v>0</v>
      </c>
      <c r="N251" s="15">
        <f t="shared" ref="N251:N258" si="21">H251*I251</f>
        <v>0</v>
      </c>
      <c r="O251" s="25" t="e">
        <f>N251/N260</f>
        <v>#DIV/0!</v>
      </c>
    </row>
    <row r="252" spans="1:16" ht="12.75" customHeight="1" x14ac:dyDescent="0.2">
      <c r="A252" s="98" t="s">
        <v>603</v>
      </c>
      <c r="B252" s="88" t="s">
        <v>604</v>
      </c>
      <c r="G252" s="97" t="s">
        <v>24</v>
      </c>
      <c r="H252" s="502">
        <v>0</v>
      </c>
      <c r="I252" s="489">
        <v>12.06</v>
      </c>
      <c r="J252" s="72">
        <v>12.06</v>
      </c>
      <c r="K252" s="15"/>
      <c r="L252" s="72">
        <v>12.06</v>
      </c>
      <c r="M252" s="15">
        <f t="shared" si="20"/>
        <v>0</v>
      </c>
      <c r="N252" s="15">
        <f t="shared" si="21"/>
        <v>0</v>
      </c>
      <c r="O252" s="25" t="e">
        <f>N252/N260</f>
        <v>#DIV/0!</v>
      </c>
    </row>
    <row r="253" spans="1:16" ht="12.75" hidden="1" customHeight="1" x14ac:dyDescent="0.2">
      <c r="A253" s="617" t="s">
        <v>1263</v>
      </c>
      <c r="B253" s="620" t="s">
        <v>1264</v>
      </c>
      <c r="C253" s="604"/>
      <c r="D253" s="604"/>
      <c r="E253" s="604"/>
      <c r="G253" s="97" t="s">
        <v>24</v>
      </c>
      <c r="H253" s="502">
        <v>0</v>
      </c>
      <c r="I253" s="621">
        <v>43.99</v>
      </c>
      <c r="J253" s="72">
        <v>43.99</v>
      </c>
      <c r="K253" s="15"/>
      <c r="L253" s="72">
        <v>43.99</v>
      </c>
      <c r="M253" s="15">
        <f t="shared" si="20"/>
        <v>0</v>
      </c>
      <c r="N253" s="15">
        <f t="shared" si="21"/>
        <v>0</v>
      </c>
      <c r="O253" s="25" t="e">
        <f>N253/N260</f>
        <v>#DIV/0!</v>
      </c>
    </row>
    <row r="254" spans="1:16" ht="12.75" hidden="1" customHeight="1" x14ac:dyDescent="0.2">
      <c r="A254" s="617" t="s">
        <v>1265</v>
      </c>
      <c r="B254" s="620" t="s">
        <v>1266</v>
      </c>
      <c r="C254" s="604"/>
      <c r="D254" s="604"/>
      <c r="E254" s="604"/>
      <c r="G254" s="97" t="s">
        <v>24</v>
      </c>
      <c r="H254" s="502">
        <v>0</v>
      </c>
      <c r="I254" s="621">
        <v>48.13</v>
      </c>
      <c r="J254" s="72">
        <v>48.13</v>
      </c>
      <c r="K254" s="15"/>
      <c r="L254" s="72">
        <v>48.13</v>
      </c>
      <c r="M254" s="15">
        <f t="shared" si="20"/>
        <v>0</v>
      </c>
      <c r="N254" s="15">
        <f t="shared" si="21"/>
        <v>0</v>
      </c>
      <c r="O254" s="25" t="e">
        <f>N254/N260</f>
        <v>#DIV/0!</v>
      </c>
    </row>
    <row r="255" spans="1:16" ht="12.75" customHeight="1" x14ac:dyDescent="0.2">
      <c r="A255" s="98" t="s">
        <v>1033</v>
      </c>
      <c r="B255" s="88" t="s">
        <v>974</v>
      </c>
      <c r="G255" s="97" t="s">
        <v>24</v>
      </c>
      <c r="H255" s="502">
        <v>0</v>
      </c>
      <c r="I255" s="489">
        <v>113.82</v>
      </c>
      <c r="J255" s="72">
        <v>113.82</v>
      </c>
      <c r="K255" s="15"/>
      <c r="L255" s="72">
        <v>113.82</v>
      </c>
      <c r="M255" s="15">
        <f t="shared" si="20"/>
        <v>0</v>
      </c>
      <c r="N255" s="15">
        <f t="shared" si="21"/>
        <v>0</v>
      </c>
      <c r="O255" s="25" t="e">
        <f>N255/N260</f>
        <v>#DIV/0!</v>
      </c>
    </row>
    <row r="256" spans="1:16" ht="12.75" hidden="1" customHeight="1" x14ac:dyDescent="0.2">
      <c r="A256" s="617" t="s">
        <v>545</v>
      </c>
      <c r="B256" s="620" t="s">
        <v>1269</v>
      </c>
      <c r="C256" s="619"/>
      <c r="D256" s="619"/>
      <c r="E256" s="619"/>
      <c r="F256" s="619"/>
      <c r="G256" s="616" t="s">
        <v>24</v>
      </c>
      <c r="H256" s="625">
        <v>0</v>
      </c>
      <c r="I256" s="621">
        <v>175.89</v>
      </c>
      <c r="J256" s="72">
        <v>175.89</v>
      </c>
      <c r="K256" s="15"/>
      <c r="L256" s="72">
        <v>175.89</v>
      </c>
      <c r="M256" s="15">
        <f t="shared" si="20"/>
        <v>0</v>
      </c>
      <c r="N256" s="15">
        <f t="shared" si="21"/>
        <v>0</v>
      </c>
      <c r="O256" s="25" t="e">
        <f>N256/N260</f>
        <v>#DIV/0!</v>
      </c>
    </row>
    <row r="257" spans="1:16" ht="12.75" hidden="1" customHeight="1" x14ac:dyDescent="0.2">
      <c r="A257" s="617" t="s">
        <v>545</v>
      </c>
      <c r="B257" s="620" t="s">
        <v>1271</v>
      </c>
      <c r="C257" s="619"/>
      <c r="D257" s="619"/>
      <c r="E257" s="619"/>
      <c r="F257" s="619"/>
      <c r="G257" s="616" t="s">
        <v>24</v>
      </c>
      <c r="H257" s="625">
        <v>0</v>
      </c>
      <c r="I257" s="621">
        <v>198.72</v>
      </c>
      <c r="J257" s="72">
        <v>198.72</v>
      </c>
      <c r="K257" s="15"/>
      <c r="L257" s="72">
        <v>198.72</v>
      </c>
      <c r="M257" s="15">
        <f t="shared" si="20"/>
        <v>0</v>
      </c>
      <c r="N257" s="15">
        <f t="shared" si="21"/>
        <v>0</v>
      </c>
      <c r="O257" s="25" t="e">
        <f>N257/N260</f>
        <v>#DIV/0!</v>
      </c>
    </row>
    <row r="258" spans="1:16" ht="12.75" hidden="1" customHeight="1" x14ac:dyDescent="0.2">
      <c r="A258" s="623" t="s">
        <v>545</v>
      </c>
      <c r="B258" s="622" t="s">
        <v>1270</v>
      </c>
      <c r="C258" s="611"/>
      <c r="D258" s="611"/>
      <c r="E258" s="611"/>
      <c r="F258" s="611"/>
      <c r="G258" s="624" t="s">
        <v>24</v>
      </c>
      <c r="H258" s="625">
        <v>0</v>
      </c>
      <c r="I258" s="621">
        <v>705.91</v>
      </c>
      <c r="J258" s="489">
        <v>705.91</v>
      </c>
      <c r="K258" s="502"/>
      <c r="L258" s="489">
        <v>705.91</v>
      </c>
      <c r="M258" s="502">
        <f t="shared" si="20"/>
        <v>0</v>
      </c>
      <c r="N258" s="502">
        <f t="shared" si="21"/>
        <v>0</v>
      </c>
      <c r="O258" s="601" t="e">
        <f>N258/N260</f>
        <v>#DIV/0!</v>
      </c>
      <c r="P258" s="61" t="s">
        <v>1335</v>
      </c>
    </row>
    <row r="259" spans="1:16" ht="12.75" customHeight="1" x14ac:dyDescent="0.2">
      <c r="B259" s="130"/>
      <c r="G259" s="52"/>
      <c r="H259" s="501"/>
      <c r="I259" s="52"/>
      <c r="J259" s="52"/>
      <c r="K259" s="52"/>
      <c r="L259" s="52"/>
      <c r="M259" s="52"/>
      <c r="N259" s="15"/>
      <c r="O259" s="25"/>
    </row>
    <row r="260" spans="1:16" ht="12.75" customHeight="1" x14ac:dyDescent="0.2">
      <c r="B260" s="130" t="s">
        <v>18</v>
      </c>
      <c r="C260" s="131"/>
      <c r="D260" s="131"/>
      <c r="E260" s="131"/>
      <c r="F260" s="131"/>
      <c r="G260" s="53"/>
      <c r="H260" s="20"/>
      <c r="I260" s="53"/>
      <c r="J260" s="53"/>
      <c r="K260" s="53"/>
      <c r="L260" s="53"/>
      <c r="M260" s="53"/>
      <c r="N260" s="15">
        <f>SUM(N249:N258)</f>
        <v>0</v>
      </c>
      <c r="O260" s="25" t="e">
        <f>N260/N262</f>
        <v>#DIV/0!</v>
      </c>
    </row>
    <row r="261" spans="1:16" ht="12.75" customHeight="1" x14ac:dyDescent="0.2">
      <c r="B261" s="130"/>
      <c r="G261" s="52"/>
      <c r="H261" s="19"/>
      <c r="I261" s="52"/>
      <c r="J261" s="52"/>
      <c r="K261" s="52"/>
      <c r="L261" s="52"/>
      <c r="M261" s="52"/>
      <c r="N261" s="15"/>
      <c r="O261" s="25"/>
    </row>
    <row r="262" spans="1:16" ht="12.75" customHeight="1" x14ac:dyDescent="0.2">
      <c r="A262" s="132"/>
      <c r="B262" s="133" t="s">
        <v>20</v>
      </c>
      <c r="C262" s="134"/>
      <c r="D262" s="134"/>
      <c r="E262" s="134"/>
      <c r="F262" s="134"/>
      <c r="G262" s="78"/>
      <c r="H262" s="455"/>
      <c r="I262" s="78"/>
      <c r="J262" s="78"/>
      <c r="K262" s="78"/>
      <c r="L262" s="78"/>
      <c r="M262" s="78"/>
      <c r="N262" s="83">
        <f>N260</f>
        <v>0</v>
      </c>
      <c r="O262" s="77" t="e">
        <f>N262/N264</f>
        <v>#DIV/0!</v>
      </c>
    </row>
    <row r="263" spans="1:16" ht="12.75" customHeight="1" x14ac:dyDescent="0.2">
      <c r="A263" s="98"/>
      <c r="B263" s="88"/>
      <c r="C263"/>
      <c r="D263"/>
      <c r="E263"/>
      <c r="F263"/>
      <c r="G263" s="97"/>
      <c r="H263" s="15"/>
      <c r="I263" s="15"/>
      <c r="J263" s="15"/>
      <c r="K263" s="15"/>
      <c r="L263" s="15"/>
      <c r="M263" s="15"/>
      <c r="N263" s="15"/>
      <c r="O263" s="25"/>
    </row>
    <row r="264" spans="1:16" ht="12.75" customHeight="1" x14ac:dyDescent="0.2">
      <c r="A264" s="146"/>
      <c r="B264" s="147" t="s">
        <v>30</v>
      </c>
      <c r="C264" s="146"/>
      <c r="D264" s="146"/>
      <c r="E264" s="146"/>
      <c r="F264" s="146"/>
      <c r="G264" s="146"/>
      <c r="H264" s="148"/>
      <c r="I264" s="146"/>
      <c r="J264" s="146"/>
      <c r="K264" s="207"/>
      <c r="L264" s="207"/>
      <c r="M264" s="207">
        <f>SUM(M13:M261)</f>
        <v>0</v>
      </c>
      <c r="N264" s="483">
        <f>N262+N246+N220+N195+N173+N64</f>
        <v>0</v>
      </c>
      <c r="O264" s="146"/>
    </row>
    <row r="265" spans="1:16" ht="12.75" customHeight="1" x14ac:dyDescent="0.2">
      <c r="A265" s="98"/>
      <c r="B265" s="88"/>
      <c r="G265" s="97"/>
      <c r="H265" s="15"/>
      <c r="I265" s="15"/>
      <c r="J265" s="15"/>
      <c r="K265" s="15"/>
      <c r="L265" s="15"/>
      <c r="M265" s="15"/>
      <c r="N265" s="15"/>
      <c r="O265" s="25"/>
    </row>
    <row r="266" spans="1:16" ht="12.75" customHeight="1" x14ac:dyDescent="0.2">
      <c r="A266" s="146"/>
      <c r="B266" s="147" t="s">
        <v>265</v>
      </c>
      <c r="C266" s="146"/>
      <c r="D266" s="146"/>
      <c r="E266" s="146"/>
      <c r="F266" s="146"/>
      <c r="G266" s="146"/>
      <c r="H266" s="148"/>
      <c r="I266" s="148"/>
      <c r="J266" s="148"/>
      <c r="K266" s="274"/>
      <c r="L266" s="274"/>
      <c r="M266" s="275">
        <f>M264+(M264*O7)</f>
        <v>0</v>
      </c>
      <c r="N266" s="276">
        <f>K266+M266</f>
        <v>0</v>
      </c>
      <c r="O266" s="29">
        <f>N266/RESUMO!H95</f>
        <v>0</v>
      </c>
    </row>
  </sheetData>
  <mergeCells count="3">
    <mergeCell ref="A2:O2"/>
    <mergeCell ref="N4:O4"/>
    <mergeCell ref="A5:B6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7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legacyDrawingHF r:id="rId2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>
    <tabColor theme="6" tint="0.39997558519241921"/>
    <pageSetUpPr fitToPage="1"/>
  </sheetPr>
  <dimension ref="A1:R80"/>
  <sheetViews>
    <sheetView view="pageBreakPreview" zoomScale="85" zoomScaleNormal="85" zoomScaleSheetLayoutView="85" workbookViewId="0">
      <selection activeCell="R18" sqref="R18"/>
    </sheetView>
  </sheetViews>
  <sheetFormatPr defaultColWidth="11.42578125" defaultRowHeight="12.75" customHeight="1" x14ac:dyDescent="0.2"/>
  <cols>
    <col min="1" max="5" width="11.42578125" style="51" customWidth="1"/>
    <col min="6" max="6" width="28.7109375" style="51" customWidth="1"/>
    <col min="7" max="9" width="11.42578125" style="51" customWidth="1"/>
    <col min="10" max="10" width="8.85546875" style="51" hidden="1" customWidth="1"/>
    <col min="11" max="11" width="14.28515625" style="51" customWidth="1"/>
    <col min="12" max="12" width="8.85546875" style="51" hidden="1" customWidth="1"/>
    <col min="13" max="13" width="14.28515625" style="51" customWidth="1"/>
    <col min="14" max="14" width="17.140625" style="51" customWidth="1"/>
    <col min="15" max="15" width="11.42578125" style="51" customWidth="1"/>
    <col min="16" max="16" width="6.140625" style="51" bestFit="1" customWidth="1"/>
    <col min="17" max="16384" width="11.42578125" style="51"/>
  </cols>
  <sheetData>
    <row r="1" spans="1:15" ht="8.25" customHeight="1" x14ac:dyDescent="0.2"/>
    <row r="2" spans="1:15" ht="12.75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5" ht="8.2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</row>
    <row r="4" spans="1:15" ht="12.75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5" ht="12.75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5" ht="12.75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5" ht="12.75" customHeight="1" x14ac:dyDescent="0.2">
      <c r="A7" s="697"/>
      <c r="B7" s="697"/>
      <c r="C7" s="260" t="s">
        <v>6</v>
      </c>
      <c r="D7" s="263" t="str">
        <f>RESUMO!A84</f>
        <v>U.C. : 14</v>
      </c>
      <c r="E7" s="258"/>
      <c r="F7" s="258"/>
      <c r="G7" s="260" t="s">
        <v>9</v>
      </c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5" ht="12.75" customHeight="1" thickBot="1" x14ac:dyDescent="0.25">
      <c r="A8" s="124"/>
      <c r="B8" s="125"/>
      <c r="C8" s="266" t="s">
        <v>8</v>
      </c>
      <c r="D8" s="267" t="str">
        <f>RESUMO!B84</f>
        <v>ESTAÇÃO ELEVATÓRIA DE ESGOTO - EEE02</v>
      </c>
      <c r="E8" s="268"/>
      <c r="F8" s="268"/>
      <c r="G8" s="266"/>
      <c r="H8" s="123"/>
      <c r="I8" s="278"/>
      <c r="J8" s="278"/>
      <c r="K8" s="278"/>
      <c r="L8" s="278"/>
      <c r="M8" s="278"/>
      <c r="N8" s="271"/>
      <c r="O8" s="268"/>
    </row>
    <row r="9" spans="1:15" ht="12.75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5" ht="8.25" customHeight="1" x14ac:dyDescent="0.2"/>
    <row r="11" spans="1:15" ht="12.75" customHeight="1" x14ac:dyDescent="0.2">
      <c r="A11" s="93">
        <f>RESUMO!A79</f>
        <v>5</v>
      </c>
      <c r="B11" s="93" t="str">
        <f>RESUMO!B79</f>
        <v>EQUIPAMENTOS - SERVIÇOS</v>
      </c>
      <c r="H11" s="491"/>
    </row>
    <row r="12" spans="1:15" ht="12.75" customHeight="1" x14ac:dyDescent="0.2">
      <c r="A12" s="98" t="s">
        <v>426</v>
      </c>
      <c r="B12" s="88" t="s">
        <v>427</v>
      </c>
      <c r="G12" s="52"/>
      <c r="H12" s="501"/>
      <c r="I12" s="52"/>
      <c r="J12" s="52"/>
      <c r="K12" s="52"/>
      <c r="L12" s="52"/>
      <c r="M12" s="52"/>
      <c r="N12" s="52"/>
      <c r="O12" s="19"/>
    </row>
    <row r="13" spans="1:15" ht="12.75" customHeight="1" x14ac:dyDescent="0.2">
      <c r="A13" s="98" t="s">
        <v>837</v>
      </c>
      <c r="B13" s="88" t="s">
        <v>838</v>
      </c>
      <c r="G13" s="52"/>
      <c r="H13" s="501"/>
      <c r="I13" s="52"/>
      <c r="J13" s="52"/>
      <c r="K13" s="52"/>
      <c r="L13" s="52"/>
      <c r="M13" s="52"/>
      <c r="N13" s="52"/>
      <c r="O13" s="19"/>
    </row>
    <row r="14" spans="1:15" ht="12.75" customHeight="1" x14ac:dyDescent="0.2">
      <c r="A14" s="98" t="s">
        <v>1272</v>
      </c>
      <c r="B14" s="88" t="s">
        <v>1273</v>
      </c>
      <c r="G14" s="97" t="s">
        <v>24</v>
      </c>
      <c r="H14" s="502">
        <v>0</v>
      </c>
      <c r="I14" s="72">
        <f>VLOOKUP(A14,'[1]TAB OGU JUN18'!$A:$G,6,"falso")</f>
        <v>194.16</v>
      </c>
      <c r="J14" s="72">
        <f>VLOOKUP(A14,'[1]TAB OGU JUN18'!$A:$G,4,"falso")</f>
        <v>194.16</v>
      </c>
      <c r="K14" s="15">
        <f>H14*J14</f>
        <v>0</v>
      </c>
      <c r="L14" s="72">
        <f>VLOOKUP(A14,'[1]TAB OGU JUN18'!$A:$G,5,"falso")</f>
        <v>0</v>
      </c>
      <c r="M14" s="15"/>
      <c r="N14" s="15">
        <f>H14*I14</f>
        <v>0</v>
      </c>
      <c r="O14" s="25" t="e">
        <f>N14/N17</f>
        <v>#DIV/0!</v>
      </c>
    </row>
    <row r="15" spans="1:15" ht="12.75" hidden="1" customHeight="1" x14ac:dyDescent="0.2">
      <c r="A15" s="98" t="s">
        <v>1011</v>
      </c>
      <c r="B15" s="88" t="s">
        <v>1010</v>
      </c>
      <c r="G15" s="97" t="s">
        <v>24</v>
      </c>
      <c r="H15" s="502">
        <v>0</v>
      </c>
      <c r="I15" s="72">
        <f>VLOOKUP(A15,'[1]TAB OGU JUN18'!$A:$G,6,"falso")</f>
        <v>310.64</v>
      </c>
      <c r="J15" s="72">
        <f>VLOOKUP(A15,'[1]TAB OGU JUN18'!$A:$G,4,"falso")</f>
        <v>310.64</v>
      </c>
      <c r="K15" s="15">
        <f>H15*J15</f>
        <v>0</v>
      </c>
      <c r="L15" s="72">
        <f>VLOOKUP(A15,'[1]TAB OGU JUN18'!$A:$G,5,"falso")</f>
        <v>0</v>
      </c>
      <c r="M15" s="15"/>
      <c r="N15" s="15">
        <f>H15*I15</f>
        <v>0</v>
      </c>
      <c r="O15" s="25" t="e">
        <f>N15/N17</f>
        <v>#DIV/0!</v>
      </c>
    </row>
    <row r="16" spans="1:15" ht="12.75" customHeight="1" x14ac:dyDescent="0.2">
      <c r="G16" s="52"/>
      <c r="H16" s="501"/>
      <c r="I16" s="52"/>
      <c r="J16" s="52"/>
      <c r="K16" s="52"/>
      <c r="L16" s="52"/>
      <c r="M16" s="52"/>
      <c r="N16" s="52"/>
      <c r="O16" s="19"/>
    </row>
    <row r="17" spans="1:18" ht="12.75" customHeight="1" x14ac:dyDescent="0.2">
      <c r="B17" s="130" t="s">
        <v>18</v>
      </c>
      <c r="C17" s="131"/>
      <c r="D17" s="131"/>
      <c r="E17" s="131"/>
      <c r="F17" s="131"/>
      <c r="G17" s="53"/>
      <c r="H17" s="503"/>
      <c r="I17" s="53"/>
      <c r="J17" s="53"/>
      <c r="K17" s="53"/>
      <c r="L17" s="53"/>
      <c r="M17" s="53"/>
      <c r="N17" s="15">
        <f>SUM(N14:N15)</f>
        <v>0</v>
      </c>
      <c r="O17" s="25" t="e">
        <f>N17/$N$46</f>
        <v>#DIV/0!</v>
      </c>
    </row>
    <row r="18" spans="1:18" ht="12.75" customHeight="1" x14ac:dyDescent="0.2">
      <c r="B18" s="130"/>
      <c r="G18" s="52"/>
      <c r="H18" s="501"/>
      <c r="I18" s="52"/>
      <c r="J18" s="52"/>
      <c r="K18" s="52"/>
      <c r="L18" s="52"/>
      <c r="M18" s="52"/>
      <c r="N18" s="15"/>
      <c r="O18" s="25"/>
    </row>
    <row r="19" spans="1:18" ht="12.75" customHeight="1" x14ac:dyDescent="0.2">
      <c r="A19" s="98" t="s">
        <v>839</v>
      </c>
      <c r="B19" s="88" t="s">
        <v>433</v>
      </c>
      <c r="G19" s="52"/>
      <c r="H19" s="501"/>
      <c r="I19" s="52"/>
      <c r="J19" s="52"/>
      <c r="K19" s="52"/>
      <c r="L19" s="52"/>
      <c r="M19" s="52"/>
      <c r="N19" s="52"/>
      <c r="O19" s="19"/>
    </row>
    <row r="20" spans="1:18" ht="12.75" customHeight="1" x14ac:dyDescent="0.2">
      <c r="A20" s="98" t="s">
        <v>840</v>
      </c>
      <c r="B20" s="88" t="s">
        <v>841</v>
      </c>
      <c r="G20" s="97" t="s">
        <v>24</v>
      </c>
      <c r="H20" s="502">
        <v>0</v>
      </c>
      <c r="I20" s="72">
        <f>VLOOKUP(A20,'[1]TAB OGU JUN18'!$A:$G,6,"falso")</f>
        <v>135.88999999999999</v>
      </c>
      <c r="J20" s="72">
        <f>VLOOKUP(A20,'[1]TAB OGU JUN18'!$A:$G,4,"falso")</f>
        <v>135.88999999999999</v>
      </c>
      <c r="K20" s="15">
        <f>H20*J20</f>
        <v>0</v>
      </c>
      <c r="L20" s="72">
        <f>VLOOKUP(A20,'[1]TAB OGU JUN18'!$A:$G,5,"falso")</f>
        <v>0</v>
      </c>
      <c r="M20" s="15"/>
      <c r="N20" s="15">
        <f>H20*I20</f>
        <v>0</v>
      </c>
      <c r="O20" s="25" t="e">
        <f>N20/N24</f>
        <v>#DIV/0!</v>
      </c>
    </row>
    <row r="21" spans="1:18" ht="12.75" hidden="1" customHeight="1" x14ac:dyDescent="0.2">
      <c r="A21" s="98" t="s">
        <v>434</v>
      </c>
      <c r="B21" s="88" t="s">
        <v>1274</v>
      </c>
      <c r="G21" s="97" t="s">
        <v>24</v>
      </c>
      <c r="H21" s="502">
        <v>0</v>
      </c>
      <c r="I21" s="72">
        <f>VLOOKUP(A21,'[1]TAB OGU JUN18'!$A:$G,6,"falso")</f>
        <v>599.84</v>
      </c>
      <c r="J21" s="72">
        <f>VLOOKUP(A21,'[1]TAB OGU JUN18'!$A:$G,4,"falso")</f>
        <v>599.84</v>
      </c>
      <c r="K21" s="15">
        <f>H21*J21</f>
        <v>0</v>
      </c>
      <c r="L21" s="72">
        <f>VLOOKUP(A21,'[1]TAB OGU JUN18'!$A:$G,5,"falso")</f>
        <v>0</v>
      </c>
      <c r="M21" s="15"/>
      <c r="N21" s="15">
        <f>H21*I21</f>
        <v>0</v>
      </c>
      <c r="O21" s="25" t="e">
        <f>N21/N24</f>
        <v>#DIV/0!</v>
      </c>
    </row>
    <row r="22" spans="1:18" ht="12.75" customHeight="1" x14ac:dyDescent="0.2">
      <c r="A22" s="98" t="s">
        <v>545</v>
      </c>
      <c r="B22" s="88" t="s">
        <v>1012</v>
      </c>
      <c r="G22" s="97" t="s">
        <v>24</v>
      </c>
      <c r="H22" s="502">
        <v>0</v>
      </c>
      <c r="I22" s="72">
        <v>260</v>
      </c>
      <c r="J22" s="72">
        <v>260</v>
      </c>
      <c r="K22" s="15">
        <f>H22*J22</f>
        <v>0</v>
      </c>
      <c r="L22" s="72" t="str">
        <f>VLOOKUP(A22,'[1]TAB OGU JUN18'!$A:$G,5,"falso")</f>
        <v>Materiais</v>
      </c>
      <c r="M22" s="15"/>
      <c r="N22" s="15">
        <f>H22*I22</f>
        <v>0</v>
      </c>
      <c r="O22" s="25" t="e">
        <f>N22/N24</f>
        <v>#DIV/0!</v>
      </c>
      <c r="R22" s="61" t="s">
        <v>1409</v>
      </c>
    </row>
    <row r="23" spans="1:18" ht="12.75" customHeight="1" x14ac:dyDescent="0.2">
      <c r="A23" s="273"/>
      <c r="B23" s="88"/>
      <c r="G23" s="97"/>
      <c r="H23" s="502"/>
      <c r="I23" s="15"/>
      <c r="J23" s="15"/>
      <c r="K23" s="15"/>
      <c r="L23" s="15"/>
      <c r="M23" s="15"/>
      <c r="N23" s="15"/>
      <c r="O23" s="25"/>
    </row>
    <row r="24" spans="1:18" ht="12.75" customHeight="1" x14ac:dyDescent="0.2">
      <c r="B24" s="130" t="s">
        <v>18</v>
      </c>
      <c r="C24" s="131"/>
      <c r="D24" s="131"/>
      <c r="E24" s="131"/>
      <c r="F24" s="131"/>
      <c r="G24" s="53"/>
      <c r="H24" s="503"/>
      <c r="I24" s="53"/>
      <c r="J24" s="53"/>
      <c r="K24" s="53"/>
      <c r="L24" s="53"/>
      <c r="M24" s="53"/>
      <c r="N24" s="15">
        <f>SUM(N20:N22)</f>
        <v>0</v>
      </c>
      <c r="O24" s="25" t="e">
        <f>N24/$N$46</f>
        <v>#DIV/0!</v>
      </c>
    </row>
    <row r="25" spans="1:18" ht="12.75" customHeight="1" x14ac:dyDescent="0.2">
      <c r="B25" s="130"/>
      <c r="G25" s="52"/>
      <c r="H25" s="501"/>
      <c r="I25" s="52"/>
      <c r="J25" s="52"/>
      <c r="K25" s="52"/>
      <c r="L25" s="52"/>
      <c r="M25" s="52"/>
      <c r="N25" s="15"/>
      <c r="O25" s="25"/>
    </row>
    <row r="26" spans="1:18" ht="12.75" customHeight="1" x14ac:dyDescent="0.2">
      <c r="A26" s="98">
        <v>1410</v>
      </c>
      <c r="B26" s="88" t="s">
        <v>435</v>
      </c>
      <c r="G26" s="52"/>
      <c r="H26" s="501"/>
      <c r="I26" s="52"/>
      <c r="J26" s="52"/>
      <c r="K26" s="52"/>
      <c r="L26" s="52"/>
      <c r="M26" s="52"/>
      <c r="N26" s="52"/>
      <c r="O26" s="19"/>
    </row>
    <row r="27" spans="1:18" ht="12.75" customHeight="1" x14ac:dyDescent="0.2">
      <c r="A27" s="98" t="s">
        <v>437</v>
      </c>
      <c r="B27" s="88" t="s">
        <v>635</v>
      </c>
      <c r="G27" s="97" t="s">
        <v>24</v>
      </c>
      <c r="H27" s="502">
        <v>0</v>
      </c>
      <c r="I27" s="72">
        <f>VLOOKUP(A27,'[1]TAB OGU JUN18'!$A:$G,6,"falso")</f>
        <v>215.36</v>
      </c>
      <c r="J27" s="72">
        <f>VLOOKUP(A27,'[1]TAB OGU JUN18'!$A:$G,4,"falso")</f>
        <v>215.36</v>
      </c>
      <c r="K27" s="15">
        <f>H27*J27</f>
        <v>0</v>
      </c>
      <c r="L27" s="72">
        <f>VLOOKUP(A27,'[1]TAB OGU JUN18'!$A:$G,5,"falso")</f>
        <v>0</v>
      </c>
      <c r="M27" s="15"/>
      <c r="N27" s="15">
        <f>H27*I27</f>
        <v>0</v>
      </c>
      <c r="O27" s="25" t="e">
        <f>N27/N29</f>
        <v>#DIV/0!</v>
      </c>
    </row>
    <row r="28" spans="1:18" ht="12.75" customHeight="1" x14ac:dyDescent="0.2">
      <c r="A28" s="273"/>
      <c r="B28" s="88"/>
      <c r="G28" s="97"/>
      <c r="H28" s="502"/>
      <c r="I28" s="15"/>
      <c r="J28" s="15"/>
      <c r="K28" s="15"/>
      <c r="L28" s="15"/>
      <c r="M28" s="15"/>
      <c r="N28" s="15"/>
      <c r="O28" s="25"/>
    </row>
    <row r="29" spans="1:18" ht="12.75" customHeight="1" x14ac:dyDescent="0.2">
      <c r="B29" s="130" t="s">
        <v>18</v>
      </c>
      <c r="C29" s="131"/>
      <c r="D29" s="131"/>
      <c r="E29" s="131"/>
      <c r="F29" s="131"/>
      <c r="G29" s="53"/>
      <c r="H29" s="503"/>
      <c r="I29" s="53"/>
      <c r="J29" s="53"/>
      <c r="K29" s="53"/>
      <c r="L29" s="53"/>
      <c r="M29" s="53"/>
      <c r="N29" s="15">
        <f>N27</f>
        <v>0</v>
      </c>
      <c r="O29" s="25" t="e">
        <f>N29/$N$46</f>
        <v>#DIV/0!</v>
      </c>
    </row>
    <row r="30" spans="1:18" ht="12.75" hidden="1" customHeight="1" x14ac:dyDescent="0.2">
      <c r="A30" s="130"/>
      <c r="G30" s="52"/>
      <c r="H30" s="501"/>
      <c r="I30" s="52"/>
      <c r="J30" s="52"/>
      <c r="K30" s="52"/>
      <c r="L30" s="52"/>
      <c r="M30" s="52"/>
      <c r="N30" s="15"/>
      <c r="O30" s="25"/>
    </row>
    <row r="31" spans="1:18" ht="12.75" hidden="1" customHeight="1" x14ac:dyDescent="0.2">
      <c r="A31" s="98">
        <v>1411</v>
      </c>
      <c r="B31" s="88" t="s">
        <v>440</v>
      </c>
      <c r="G31" s="52"/>
      <c r="H31" s="501"/>
      <c r="I31" s="52"/>
      <c r="J31" s="52"/>
      <c r="K31" s="52"/>
      <c r="L31" s="52"/>
      <c r="M31" s="52"/>
      <c r="N31" s="52"/>
      <c r="O31" s="19"/>
    </row>
    <row r="32" spans="1:18" ht="12.75" hidden="1" customHeight="1" x14ac:dyDescent="0.2">
      <c r="A32" s="98" t="s">
        <v>441</v>
      </c>
      <c r="B32" s="88" t="s">
        <v>442</v>
      </c>
      <c r="G32" s="97" t="s">
        <v>24</v>
      </c>
      <c r="H32" s="502">
        <v>0</v>
      </c>
      <c r="I32" s="72">
        <f>VLOOKUP(A32,'[1]TAB OGU JUN18'!$A:$G,6,"falso")</f>
        <v>793.62</v>
      </c>
      <c r="J32" s="72">
        <f>VLOOKUP(A32,'[1]TAB OGU JUN18'!$A:$G,4,"falso")</f>
        <v>793.62</v>
      </c>
      <c r="K32" s="15">
        <f>H32*J32</f>
        <v>0</v>
      </c>
      <c r="L32" s="72">
        <f>VLOOKUP(A32,'[1]TAB OGU JUN18'!$A:$G,5,"falso")</f>
        <v>0</v>
      </c>
      <c r="M32" s="15"/>
      <c r="N32" s="15">
        <f>H32*I32</f>
        <v>0</v>
      </c>
      <c r="O32" s="25" t="e">
        <f>N32/N34</f>
        <v>#DIV/0!</v>
      </c>
    </row>
    <row r="33" spans="1:15" ht="12.75" hidden="1" customHeight="1" x14ac:dyDescent="0.2">
      <c r="A33" s="273"/>
      <c r="B33" s="88"/>
      <c r="G33" s="97"/>
      <c r="H33" s="502"/>
      <c r="I33" s="15"/>
      <c r="J33" s="15"/>
      <c r="K33" s="15"/>
      <c r="L33" s="15"/>
      <c r="M33" s="15"/>
      <c r="N33" s="15"/>
      <c r="O33" s="25"/>
    </row>
    <row r="34" spans="1:15" ht="12.75" hidden="1" customHeight="1" x14ac:dyDescent="0.2">
      <c r="B34" s="130" t="s">
        <v>18</v>
      </c>
      <c r="C34" s="131"/>
      <c r="D34" s="131"/>
      <c r="E34" s="131"/>
      <c r="F34" s="131"/>
      <c r="G34" s="53"/>
      <c r="H34" s="503"/>
      <c r="I34" s="53"/>
      <c r="J34" s="53"/>
      <c r="K34" s="53"/>
      <c r="L34" s="53"/>
      <c r="M34" s="53"/>
      <c r="N34" s="15">
        <f>N32</f>
        <v>0</v>
      </c>
      <c r="O34" s="25" t="e">
        <f>N34/$N$46</f>
        <v>#DIV/0!</v>
      </c>
    </row>
    <row r="35" spans="1:15" ht="12.75" customHeight="1" x14ac:dyDescent="0.2">
      <c r="A35" s="130"/>
      <c r="G35" s="52"/>
      <c r="H35" s="501"/>
      <c r="I35" s="52"/>
      <c r="J35" s="52"/>
      <c r="K35" s="52"/>
      <c r="L35" s="52"/>
      <c r="M35" s="52"/>
      <c r="N35" s="15"/>
      <c r="O35" s="25"/>
    </row>
    <row r="36" spans="1:15" ht="12.75" customHeight="1" x14ac:dyDescent="0.2">
      <c r="A36" s="98">
        <v>1413</v>
      </c>
      <c r="B36" s="88" t="s">
        <v>842</v>
      </c>
      <c r="G36" s="52"/>
      <c r="H36" s="501"/>
      <c r="I36" s="52"/>
      <c r="J36" s="52"/>
      <c r="K36" s="52"/>
      <c r="L36" s="52"/>
      <c r="M36" s="52"/>
      <c r="N36" s="52"/>
      <c r="O36" s="19"/>
    </row>
    <row r="37" spans="1:15" ht="12.75" customHeight="1" x14ac:dyDescent="0.2">
      <c r="A37" s="98" t="s">
        <v>843</v>
      </c>
      <c r="B37" s="88" t="s">
        <v>844</v>
      </c>
      <c r="G37" s="97" t="s">
        <v>24</v>
      </c>
      <c r="H37" s="502">
        <v>0</v>
      </c>
      <c r="I37" s="72">
        <f>VLOOKUP(A37,'[1]TAB OGU JUN18'!$A:$G,6,"falso")</f>
        <v>1499.6</v>
      </c>
      <c r="J37" s="72">
        <f>VLOOKUP(A37,'[1]TAB OGU JUN18'!$A:$G,4,"falso")</f>
        <v>1499.6</v>
      </c>
      <c r="K37" s="15">
        <f>H37*J37</f>
        <v>0</v>
      </c>
      <c r="L37" s="72">
        <f>VLOOKUP(A37,'[1]TAB OGU JUN18'!$A:$G,5,"falso")</f>
        <v>0</v>
      </c>
      <c r="M37" s="15"/>
      <c r="N37" s="15">
        <f>H37*I37</f>
        <v>0</v>
      </c>
      <c r="O37" s="25" t="e">
        <f>N37/N39</f>
        <v>#DIV/0!</v>
      </c>
    </row>
    <row r="38" spans="1:15" ht="12.75" customHeight="1" x14ac:dyDescent="0.2">
      <c r="B38" s="130"/>
      <c r="G38" s="52"/>
      <c r="H38" s="501"/>
      <c r="I38" s="52"/>
      <c r="J38" s="52"/>
      <c r="K38" s="52"/>
      <c r="L38" s="52"/>
      <c r="M38" s="52"/>
      <c r="N38" s="15"/>
      <c r="O38" s="25"/>
    </row>
    <row r="39" spans="1:15" ht="12.75" customHeight="1" x14ac:dyDescent="0.2">
      <c r="B39" s="130" t="s">
        <v>18</v>
      </c>
      <c r="C39" s="131"/>
      <c r="D39" s="131"/>
      <c r="E39" s="131"/>
      <c r="F39" s="131"/>
      <c r="G39" s="53"/>
      <c r="H39" s="503"/>
      <c r="I39" s="53"/>
      <c r="J39" s="53"/>
      <c r="K39" s="53"/>
      <c r="L39" s="53"/>
      <c r="M39" s="53"/>
      <c r="N39" s="15">
        <f>N37</f>
        <v>0</v>
      </c>
      <c r="O39" s="25" t="e">
        <f>N39/$N$46</f>
        <v>#DIV/0!</v>
      </c>
    </row>
    <row r="40" spans="1:15" ht="12.75" customHeight="1" x14ac:dyDescent="0.2">
      <c r="A40" s="130"/>
      <c r="G40" s="52"/>
      <c r="H40" s="501"/>
      <c r="I40" s="52"/>
      <c r="J40" s="52"/>
      <c r="K40" s="52"/>
      <c r="L40" s="52"/>
      <c r="M40" s="52"/>
      <c r="N40" s="15"/>
      <c r="O40" s="25"/>
    </row>
    <row r="41" spans="1:15" ht="12.75" customHeight="1" x14ac:dyDescent="0.2">
      <c r="A41" s="98">
        <v>1422</v>
      </c>
      <c r="B41" s="88" t="s">
        <v>444</v>
      </c>
      <c r="G41" s="52"/>
      <c r="H41" s="501"/>
      <c r="I41" s="52"/>
      <c r="J41" s="52"/>
      <c r="K41" s="52"/>
      <c r="L41" s="52"/>
      <c r="M41" s="52"/>
      <c r="N41" s="52"/>
      <c r="O41" s="19"/>
    </row>
    <row r="42" spans="1:15" ht="12.75" customHeight="1" x14ac:dyDescent="0.2">
      <c r="A42" s="98" t="s">
        <v>445</v>
      </c>
      <c r="B42" s="88" t="s">
        <v>446</v>
      </c>
      <c r="G42" s="97" t="s">
        <v>24</v>
      </c>
      <c r="H42" s="502">
        <v>0</v>
      </c>
      <c r="I42" s="72">
        <f>VLOOKUP(A42,'[1]TAB OGU JUN18'!$A:$G,6,"falso")</f>
        <v>149.76</v>
      </c>
      <c r="J42" s="72">
        <f>VLOOKUP(A42,'[1]TAB OGU JUN18'!$A:$G,4,"falso")</f>
        <v>149.76</v>
      </c>
      <c r="K42" s="15">
        <f>H42*J42</f>
        <v>0</v>
      </c>
      <c r="L42" s="72">
        <f>VLOOKUP(A42,'[1]TAB OGU JUN18'!$A:$G,5,"falso")</f>
        <v>0</v>
      </c>
      <c r="M42" s="15"/>
      <c r="N42" s="15">
        <f>H42*I42</f>
        <v>0</v>
      </c>
      <c r="O42" s="25" t="e">
        <f>N42/N44</f>
        <v>#DIV/0!</v>
      </c>
    </row>
    <row r="43" spans="1:15" ht="12.75" customHeight="1" x14ac:dyDescent="0.2">
      <c r="A43" s="273"/>
      <c r="B43" s="88"/>
      <c r="G43" s="97"/>
      <c r="H43" s="502"/>
      <c r="I43" s="15"/>
      <c r="J43" s="15"/>
      <c r="K43" s="15"/>
      <c r="L43" s="15"/>
      <c r="M43" s="15"/>
      <c r="N43" s="15"/>
      <c r="O43" s="25"/>
    </row>
    <row r="44" spans="1:15" ht="12.75" customHeight="1" x14ac:dyDescent="0.2">
      <c r="B44" s="130" t="s">
        <v>18</v>
      </c>
      <c r="C44" s="131"/>
      <c r="D44" s="131"/>
      <c r="E44" s="131"/>
      <c r="F44" s="131"/>
      <c r="G44" s="53"/>
      <c r="H44" s="503"/>
      <c r="I44" s="53"/>
      <c r="J44" s="53"/>
      <c r="K44" s="53"/>
      <c r="L44" s="53"/>
      <c r="M44" s="53"/>
      <c r="N44" s="15">
        <f>N42</f>
        <v>0</v>
      </c>
      <c r="O44" s="25" t="e">
        <f>N44/$N$46</f>
        <v>#DIV/0!</v>
      </c>
    </row>
    <row r="45" spans="1:15" ht="12.75" customHeight="1" x14ac:dyDescent="0.2">
      <c r="A45" s="130"/>
      <c r="G45" s="52"/>
      <c r="H45" s="501"/>
      <c r="I45" s="52"/>
      <c r="J45" s="52"/>
      <c r="K45" s="52"/>
      <c r="L45" s="52"/>
      <c r="M45" s="52"/>
      <c r="N45" s="15"/>
      <c r="O45" s="25"/>
    </row>
    <row r="46" spans="1:15" s="132" customFormat="1" ht="12.75" customHeight="1" x14ac:dyDescent="0.2">
      <c r="B46" s="133" t="s">
        <v>20</v>
      </c>
      <c r="C46" s="134"/>
      <c r="D46" s="134"/>
      <c r="E46" s="134"/>
      <c r="F46" s="134"/>
      <c r="G46" s="78"/>
      <c r="H46" s="504"/>
      <c r="I46" s="78"/>
      <c r="J46" s="78"/>
      <c r="K46" s="78"/>
      <c r="L46" s="78"/>
      <c r="M46" s="78"/>
      <c r="N46" s="462">
        <f>N17+N24+N29+N34+N39+N44</f>
        <v>0</v>
      </c>
      <c r="O46" s="77" t="e">
        <f>N46/N66</f>
        <v>#DIV/0!</v>
      </c>
    </row>
    <row r="47" spans="1:15" ht="12.75" customHeight="1" x14ac:dyDescent="0.2">
      <c r="G47" s="52"/>
      <c r="H47" s="501"/>
      <c r="I47" s="52"/>
      <c r="J47" s="52"/>
      <c r="K47" s="52"/>
      <c r="L47" s="52"/>
      <c r="M47" s="52"/>
      <c r="N47" s="52"/>
      <c r="O47" s="19"/>
    </row>
    <row r="48" spans="1:15" ht="12.75" customHeight="1" x14ac:dyDescent="0.2">
      <c r="A48" s="129" t="s">
        <v>169</v>
      </c>
      <c r="B48" s="88" t="s">
        <v>172</v>
      </c>
      <c r="H48" s="505"/>
      <c r="O48" s="61"/>
    </row>
    <row r="49" spans="1:15" ht="12.75" hidden="1" customHeight="1" x14ac:dyDescent="0.2">
      <c r="A49" s="129" t="s">
        <v>845</v>
      </c>
      <c r="B49" s="463" t="s">
        <v>846</v>
      </c>
      <c r="C49" s="463"/>
      <c r="D49" s="463"/>
      <c r="E49" s="463"/>
      <c r="F49" s="463"/>
      <c r="H49" s="505"/>
      <c r="O49" s="61"/>
    </row>
    <row r="50" spans="1:15" ht="12.75" hidden="1" customHeight="1" x14ac:dyDescent="0.2">
      <c r="A50" s="129" t="s">
        <v>847</v>
      </c>
      <c r="B50" s="88" t="s">
        <v>848</v>
      </c>
      <c r="G50" s="97" t="s">
        <v>17</v>
      </c>
      <c r="H50" s="502">
        <v>0</v>
      </c>
      <c r="I50" s="72">
        <f>VLOOKUP(A50,'[1]TAB OGU JUN18'!$A:$G,6,"falso")</f>
        <v>246.47</v>
      </c>
      <c r="J50" s="72">
        <f>VLOOKUP(A50,'[1]TAB OGU JUN18'!$A:$G,4,"falso")</f>
        <v>14.79</v>
      </c>
      <c r="K50" s="15">
        <f>H50*J50</f>
        <v>0</v>
      </c>
      <c r="L50" s="72">
        <f>VLOOKUP(A50,'[1]TAB OGU JUN18'!$A:$G,5,"falso")</f>
        <v>231.68</v>
      </c>
      <c r="M50" s="15">
        <f>H50*L50</f>
        <v>0</v>
      </c>
      <c r="N50" s="15">
        <f>H50*I50</f>
        <v>0</v>
      </c>
      <c r="O50" s="25" t="e">
        <f>N50/N52</f>
        <v>#DIV/0!</v>
      </c>
    </row>
    <row r="51" spans="1:15" ht="12.75" hidden="1" customHeight="1" x14ac:dyDescent="0.2">
      <c r="G51" s="52"/>
      <c r="H51" s="501"/>
      <c r="I51" s="52"/>
      <c r="J51" s="52"/>
      <c r="K51" s="52"/>
      <c r="L51" s="52"/>
      <c r="M51" s="52"/>
      <c r="N51" s="456"/>
      <c r="O51" s="25"/>
    </row>
    <row r="52" spans="1:15" ht="12.75" hidden="1" customHeight="1" x14ac:dyDescent="0.2">
      <c r="B52" s="130" t="s">
        <v>18</v>
      </c>
      <c r="C52" s="131"/>
      <c r="D52" s="131"/>
      <c r="E52" s="131"/>
      <c r="F52" s="131"/>
      <c r="G52" s="53"/>
      <c r="H52" s="503"/>
      <c r="I52" s="53"/>
      <c r="J52" s="53"/>
      <c r="K52" s="53"/>
      <c r="L52" s="53"/>
      <c r="M52" s="53"/>
      <c r="N52" s="15">
        <f>SUM(N50:N50)</f>
        <v>0</v>
      </c>
      <c r="O52" s="25" t="e">
        <f>N52/N64</f>
        <v>#DIV/0!</v>
      </c>
    </row>
    <row r="53" spans="1:15" ht="12.75" hidden="1" customHeight="1" x14ac:dyDescent="0.2">
      <c r="B53" s="130"/>
      <c r="G53" s="52"/>
      <c r="H53" s="501"/>
      <c r="I53" s="52"/>
      <c r="J53" s="52"/>
      <c r="K53" s="52"/>
      <c r="L53" s="52"/>
      <c r="M53" s="52"/>
      <c r="N53" s="15"/>
      <c r="O53" s="25"/>
    </row>
    <row r="54" spans="1:15" ht="12.75" hidden="1" customHeight="1" x14ac:dyDescent="0.2">
      <c r="A54" s="98" t="s">
        <v>849</v>
      </c>
      <c r="B54" s="88" t="s">
        <v>850</v>
      </c>
      <c r="G54" s="97"/>
      <c r="H54" s="502"/>
      <c r="I54" s="15"/>
      <c r="J54" s="15"/>
      <c r="K54" s="15"/>
      <c r="L54" s="15"/>
      <c r="M54" s="15"/>
      <c r="N54" s="15"/>
      <c r="O54" s="25"/>
    </row>
    <row r="55" spans="1:15" ht="12.75" hidden="1" customHeight="1" x14ac:dyDescent="0.2">
      <c r="A55" s="98" t="s">
        <v>851</v>
      </c>
      <c r="B55" s="88" t="s">
        <v>852</v>
      </c>
      <c r="G55" s="97" t="s">
        <v>17</v>
      </c>
      <c r="H55" s="502">
        <v>0</v>
      </c>
      <c r="I55" s="72">
        <f>VLOOKUP(A55,'[1]TAB OGU JUN18'!$A:$G,6,"falso")</f>
        <v>308.72000000000003</v>
      </c>
      <c r="J55" s="72">
        <f>VLOOKUP(A55,'[1]TAB OGU JUN18'!$A:$G,4,"falso")</f>
        <v>18.72</v>
      </c>
      <c r="K55" s="15">
        <f>H55*J55</f>
        <v>0</v>
      </c>
      <c r="L55" s="72">
        <f>VLOOKUP(A55,'[1]TAB OGU JUN18'!$A:$G,5,"falso")</f>
        <v>290</v>
      </c>
      <c r="M55" s="15">
        <f>H55*L55</f>
        <v>0</v>
      </c>
      <c r="N55" s="15">
        <f>H55*I55</f>
        <v>0</v>
      </c>
      <c r="O55" s="25" t="e">
        <f>N55/N57</f>
        <v>#DIV/0!</v>
      </c>
    </row>
    <row r="56" spans="1:15" ht="12.75" hidden="1" customHeight="1" x14ac:dyDescent="0.2">
      <c r="B56" s="130"/>
      <c r="G56" s="52"/>
      <c r="H56" s="501"/>
      <c r="I56" s="52"/>
      <c r="J56" s="52"/>
      <c r="K56" s="52"/>
      <c r="L56" s="52"/>
      <c r="M56" s="52"/>
      <c r="N56" s="15"/>
      <c r="O56" s="25"/>
    </row>
    <row r="57" spans="1:15" ht="12.75" hidden="1" customHeight="1" x14ac:dyDescent="0.2">
      <c r="B57" s="130" t="s">
        <v>18</v>
      </c>
      <c r="C57" s="131"/>
      <c r="D57" s="131"/>
      <c r="E57" s="131"/>
      <c r="F57" s="131"/>
      <c r="G57" s="53"/>
      <c r="H57" s="503"/>
      <c r="I57" s="53"/>
      <c r="J57" s="53"/>
      <c r="K57" s="53"/>
      <c r="L57" s="53"/>
      <c r="M57" s="53"/>
      <c r="N57" s="15">
        <f>N55</f>
        <v>0</v>
      </c>
      <c r="O57" s="25" t="e">
        <f>N57/N64</f>
        <v>#DIV/0!</v>
      </c>
    </row>
    <row r="58" spans="1:15" ht="12.75" hidden="1" customHeight="1" x14ac:dyDescent="0.2">
      <c r="B58" s="130"/>
      <c r="G58" s="52"/>
      <c r="H58" s="501"/>
      <c r="I58" s="52"/>
      <c r="J58" s="52"/>
      <c r="K58" s="52"/>
      <c r="L58" s="52"/>
      <c r="M58" s="52"/>
      <c r="N58" s="15"/>
      <c r="O58" s="25"/>
    </row>
    <row r="59" spans="1:15" ht="12.75" customHeight="1" x14ac:dyDescent="0.2">
      <c r="A59" s="98" t="s">
        <v>853</v>
      </c>
      <c r="B59" s="88" t="s">
        <v>466</v>
      </c>
      <c r="G59" s="97"/>
      <c r="H59" s="502"/>
      <c r="I59" s="15"/>
      <c r="J59" s="15"/>
      <c r="K59" s="15"/>
      <c r="L59" s="15"/>
      <c r="M59" s="15"/>
      <c r="N59" s="15"/>
      <c r="O59" s="25"/>
    </row>
    <row r="60" spans="1:15" ht="12.75" customHeight="1" x14ac:dyDescent="0.2">
      <c r="A60" s="98" t="s">
        <v>854</v>
      </c>
      <c r="B60" s="88" t="s">
        <v>855</v>
      </c>
      <c r="G60" s="97" t="s">
        <v>31</v>
      </c>
      <c r="H60" s="502">
        <v>0</v>
      </c>
      <c r="I60" s="72">
        <f>VLOOKUP(A60,'[1]TAB OGU JUN18'!$A:$G,6,"falso")</f>
        <v>1924.88</v>
      </c>
      <c r="J60" s="72">
        <f>VLOOKUP(A60,'[1]TAB OGU JUN18'!$A:$G,4,"falso")</f>
        <v>74.88</v>
      </c>
      <c r="K60" s="15">
        <f>H60*J60</f>
        <v>0</v>
      </c>
      <c r="L60" s="72">
        <f>VLOOKUP(A60,'[1]TAB OGU JUN18'!$A:$G,5,"falso")</f>
        <v>1850</v>
      </c>
      <c r="M60" s="15">
        <f>H60*L60</f>
        <v>0</v>
      </c>
      <c r="N60" s="15">
        <f>H60*I60</f>
        <v>0</v>
      </c>
      <c r="O60" s="25" t="e">
        <f>N60/N62</f>
        <v>#DIV/0!</v>
      </c>
    </row>
    <row r="61" spans="1:15" ht="12.75" customHeight="1" x14ac:dyDescent="0.2">
      <c r="B61" s="130"/>
      <c r="G61" s="52"/>
      <c r="H61" s="501"/>
      <c r="I61" s="52"/>
      <c r="J61" s="52"/>
      <c r="K61" s="52"/>
      <c r="L61" s="52"/>
      <c r="M61" s="52"/>
      <c r="N61" s="15"/>
      <c r="O61" s="25"/>
    </row>
    <row r="62" spans="1:15" ht="12.75" customHeight="1" x14ac:dyDescent="0.2">
      <c r="B62" s="130" t="s">
        <v>18</v>
      </c>
      <c r="C62" s="131"/>
      <c r="D62" s="131"/>
      <c r="E62" s="131"/>
      <c r="F62" s="131"/>
      <c r="G62" s="53"/>
      <c r="H62" s="20"/>
      <c r="I62" s="53"/>
      <c r="J62" s="53"/>
      <c r="K62" s="53"/>
      <c r="L62" s="53"/>
      <c r="M62" s="53"/>
      <c r="N62" s="15">
        <f>N60</f>
        <v>0</v>
      </c>
      <c r="O62" s="25" t="e">
        <f>N62/N64</f>
        <v>#DIV/0!</v>
      </c>
    </row>
    <row r="63" spans="1:15" ht="12.75" customHeight="1" x14ac:dyDescent="0.2">
      <c r="B63" s="130"/>
      <c r="G63" s="52"/>
      <c r="H63" s="19"/>
      <c r="I63" s="52"/>
      <c r="J63" s="52"/>
      <c r="K63" s="52"/>
      <c r="L63" s="52"/>
      <c r="M63" s="52"/>
      <c r="N63" s="15"/>
      <c r="O63" s="25"/>
    </row>
    <row r="64" spans="1:15" s="132" customFormat="1" ht="12.75" customHeight="1" x14ac:dyDescent="0.2">
      <c r="B64" s="133" t="s">
        <v>20</v>
      </c>
      <c r="C64" s="134"/>
      <c r="D64" s="134"/>
      <c r="E64" s="134"/>
      <c r="F64" s="134"/>
      <c r="G64" s="78"/>
      <c r="H64" s="455"/>
      <c r="I64" s="78"/>
      <c r="J64" s="78"/>
      <c r="K64" s="78"/>
      <c r="L64" s="78"/>
      <c r="M64" s="78"/>
      <c r="N64" s="83">
        <f>N62+N57+N52</f>
        <v>0</v>
      </c>
      <c r="O64" s="77" t="e">
        <f>N64/N66</f>
        <v>#DIV/0!</v>
      </c>
    </row>
    <row r="65" spans="1:16" ht="7.5" customHeight="1" x14ac:dyDescent="0.2">
      <c r="A65" s="98"/>
      <c r="B65" s="88"/>
      <c r="G65" s="97"/>
      <c r="H65" s="15"/>
      <c r="I65" s="15"/>
      <c r="J65" s="15"/>
      <c r="K65" s="15"/>
      <c r="L65" s="15"/>
      <c r="M65" s="15"/>
      <c r="N65" s="15"/>
      <c r="O65" s="25"/>
    </row>
    <row r="66" spans="1:16" ht="12.75" customHeight="1" x14ac:dyDescent="0.2">
      <c r="A66" s="146"/>
      <c r="B66" s="147" t="s">
        <v>30</v>
      </c>
      <c r="C66" s="146"/>
      <c r="D66" s="146"/>
      <c r="E66" s="146"/>
      <c r="F66" s="146"/>
      <c r="G66" s="146"/>
      <c r="H66" s="148"/>
      <c r="I66" s="146"/>
      <c r="J66" s="146"/>
      <c r="K66" s="207">
        <f>SUM(K12:K65)</f>
        <v>0</v>
      </c>
      <c r="L66" s="460"/>
      <c r="M66" s="207">
        <f>SUM(M12:M65)</f>
        <v>0</v>
      </c>
      <c r="N66" s="276">
        <f>N46+N64</f>
        <v>0</v>
      </c>
      <c r="O66" s="460"/>
      <c r="P66" s="149"/>
    </row>
    <row r="67" spans="1:16" ht="7.5" customHeight="1" x14ac:dyDescent="0.2">
      <c r="A67" s="98"/>
      <c r="B67" s="88"/>
      <c r="G67" s="97"/>
      <c r="H67" s="15"/>
      <c r="I67" s="15"/>
      <c r="J67" s="15"/>
      <c r="K67" s="15"/>
      <c r="L67" s="15"/>
      <c r="M67" s="15"/>
      <c r="N67" s="15"/>
      <c r="O67" s="25"/>
    </row>
    <row r="68" spans="1:16" ht="12.75" customHeight="1" x14ac:dyDescent="0.2">
      <c r="A68" s="146"/>
      <c r="B68" s="147" t="s">
        <v>265</v>
      </c>
      <c r="C68" s="146"/>
      <c r="D68" s="146"/>
      <c r="E68" s="146"/>
      <c r="F68" s="146"/>
      <c r="G68" s="146"/>
      <c r="H68" s="148"/>
      <c r="I68" s="146"/>
      <c r="J68" s="146"/>
      <c r="K68" s="207">
        <f>K66+(K66*O5)</f>
        <v>0</v>
      </c>
      <c r="L68" s="460"/>
      <c r="M68" s="207">
        <f>M66+(M66*O7)</f>
        <v>0</v>
      </c>
      <c r="N68" s="276">
        <f>K68+M68</f>
        <v>0</v>
      </c>
      <c r="O68" s="29">
        <f>N68/RESUMO!H95</f>
        <v>0</v>
      </c>
      <c r="P68" s="149"/>
    </row>
    <row r="71" spans="1:16" ht="12.75" customHeight="1" x14ac:dyDescent="0.2">
      <c r="M71" s="587">
        <f>K66+M66</f>
        <v>0</v>
      </c>
    </row>
    <row r="72" spans="1:16" s="150" customFormat="1" ht="12.75" customHeight="1" x14ac:dyDescent="0.2">
      <c r="A72" s="51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89"/>
      <c r="N72" s="51"/>
      <c r="O72" s="51"/>
    </row>
    <row r="73" spans="1:16" s="150" customFormat="1" ht="12.75" customHeight="1" x14ac:dyDescent="0.2">
      <c r="A73" s="51"/>
      <c r="B73" s="51"/>
      <c r="C73" s="51"/>
      <c r="D73" s="51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</row>
    <row r="74" spans="1:16" ht="12.75" customHeight="1" x14ac:dyDescent="0.2">
      <c r="M74" s="589"/>
    </row>
    <row r="80" spans="1:16" ht="12.75" customHeight="1" x14ac:dyDescent="0.2">
      <c r="A80" s="88"/>
      <c r="C80" s="184"/>
      <c r="D80" s="184"/>
      <c r="E80" s="184"/>
      <c r="F80" s="184"/>
      <c r="G80" s="184"/>
      <c r="H80" s="184"/>
      <c r="I80" s="184"/>
      <c r="J80" s="184"/>
      <c r="K80" s="184"/>
      <c r="L80" s="184"/>
      <c r="M80" s="184"/>
      <c r="N80" s="184"/>
      <c r="O80" s="459"/>
    </row>
  </sheetData>
  <mergeCells count="3">
    <mergeCell ref="A2:O2"/>
    <mergeCell ref="N4:O4"/>
    <mergeCell ref="A5:B6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legacyDrawingHF r:id="rId2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>
    <tabColor theme="9" tint="0.39997558519241921"/>
    <pageSetUpPr fitToPage="1"/>
  </sheetPr>
  <dimension ref="A1:R72"/>
  <sheetViews>
    <sheetView view="pageBreakPreview" zoomScale="90" zoomScaleNormal="90" zoomScaleSheetLayoutView="90" workbookViewId="0">
      <selection activeCell="Q19" sqref="Q19"/>
    </sheetView>
  </sheetViews>
  <sheetFormatPr defaultRowHeight="12.75" customHeight="1" x14ac:dyDescent="0.2"/>
  <cols>
    <col min="1" max="5" width="9.140625" style="51"/>
    <col min="6" max="6" width="42.85546875" style="51" customWidth="1"/>
    <col min="7" max="8" width="11.42578125" style="51" customWidth="1"/>
    <col min="9" max="9" width="13.28515625" style="51" customWidth="1"/>
    <col min="10" max="10" width="9.28515625" style="51" hidden="1" customWidth="1"/>
    <col min="11" max="11" width="14.28515625" style="51" customWidth="1"/>
    <col min="12" max="12" width="9.28515625" style="51" hidden="1" customWidth="1"/>
    <col min="13" max="13" width="14.28515625" style="51" customWidth="1"/>
    <col min="14" max="14" width="17.140625" style="51" customWidth="1"/>
    <col min="15" max="15" width="11.42578125" style="51" customWidth="1"/>
    <col min="16" max="16384" width="9.140625" style="51"/>
  </cols>
  <sheetData>
    <row r="1" spans="1:18" ht="7.5" customHeight="1" x14ac:dyDescent="0.2"/>
    <row r="2" spans="1:18" ht="12.75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8" ht="7.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</row>
    <row r="4" spans="1:18" ht="12.75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8" ht="12.75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8" ht="12.75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8" ht="12.75" customHeight="1" x14ac:dyDescent="0.2">
      <c r="A7" s="697"/>
      <c r="B7" s="697"/>
      <c r="C7" s="260" t="s">
        <v>6</v>
      </c>
      <c r="D7" s="263" t="str">
        <f>RESUMO!A84</f>
        <v>U.C. : 14</v>
      </c>
      <c r="E7" s="258"/>
      <c r="F7" s="258"/>
      <c r="G7" s="260" t="s">
        <v>9</v>
      </c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8" ht="12.75" customHeight="1" x14ac:dyDescent="0.2">
      <c r="A8" s="697"/>
      <c r="B8" s="697"/>
      <c r="C8" s="260"/>
      <c r="D8" s="263"/>
      <c r="E8" s="258"/>
      <c r="F8" s="258"/>
      <c r="G8" s="260"/>
      <c r="J8" s="277"/>
      <c r="K8" s="277"/>
      <c r="L8" s="277"/>
      <c r="M8" s="277" t="s">
        <v>774</v>
      </c>
      <c r="N8" s="261"/>
      <c r="O8" s="234"/>
    </row>
    <row r="9" spans="1:18" ht="12.75" customHeight="1" thickBot="1" x14ac:dyDescent="0.25">
      <c r="A9" s="124"/>
      <c r="B9" s="125"/>
      <c r="C9" s="266" t="s">
        <v>8</v>
      </c>
      <c r="D9" s="267" t="str">
        <f>RESUMO!B84</f>
        <v>ESTAÇÃO ELEVATÓRIA DE ESGOTO - EEE02</v>
      </c>
      <c r="E9" s="268"/>
      <c r="F9" s="268"/>
      <c r="G9" s="266"/>
      <c r="H9" s="123"/>
      <c r="I9" s="278"/>
      <c r="J9" s="278"/>
      <c r="K9" s="278"/>
      <c r="L9" s="278"/>
      <c r="M9" s="278" t="s">
        <v>654</v>
      </c>
      <c r="N9" s="271"/>
      <c r="O9" s="268"/>
    </row>
    <row r="10" spans="1:18" ht="12.75" customHeight="1" thickTop="1" x14ac:dyDescent="0.2">
      <c r="A10" s="126"/>
      <c r="B10" s="126" t="s">
        <v>10</v>
      </c>
      <c r="C10" s="127"/>
      <c r="D10" s="127"/>
      <c r="E10" s="127"/>
      <c r="F10" s="127"/>
      <c r="G10" s="128" t="s">
        <v>11</v>
      </c>
      <c r="H10" s="128" t="s">
        <v>12</v>
      </c>
      <c r="I10" s="128" t="s">
        <v>13</v>
      </c>
      <c r="J10" s="128"/>
      <c r="K10" s="128" t="s">
        <v>212</v>
      </c>
      <c r="L10" s="128"/>
      <c r="M10" s="128" t="s">
        <v>213</v>
      </c>
      <c r="N10" s="128" t="s">
        <v>14</v>
      </c>
      <c r="O10" s="128" t="s">
        <v>15</v>
      </c>
    </row>
    <row r="11" spans="1:18" ht="7.5" customHeight="1" x14ac:dyDescent="0.2">
      <c r="O11" s="61"/>
    </row>
    <row r="12" spans="1:18" ht="12.75" customHeight="1" x14ac:dyDescent="0.2">
      <c r="A12" s="93">
        <f>RESUMO!A80</f>
        <v>6</v>
      </c>
      <c r="B12" s="93" t="str">
        <f>RESUMO!B80</f>
        <v>EQUIPAMENTOS - MATERIAIS</v>
      </c>
      <c r="H12" s="61"/>
      <c r="O12" s="61"/>
    </row>
    <row r="13" spans="1:18" ht="12.75" customHeight="1" x14ac:dyDescent="0.2">
      <c r="A13" s="129">
        <v>30</v>
      </c>
      <c r="B13" s="88" t="s">
        <v>556</v>
      </c>
      <c r="H13" s="505"/>
      <c r="I13" s="491"/>
      <c r="O13" s="61"/>
    </row>
    <row r="14" spans="1:18" ht="12.75" customHeight="1" x14ac:dyDescent="0.2">
      <c r="A14" s="129">
        <v>3002</v>
      </c>
      <c r="B14" s="88" t="s">
        <v>674</v>
      </c>
      <c r="H14" s="505"/>
      <c r="I14" s="491"/>
      <c r="O14" s="61"/>
      <c r="R14" s="61" t="s">
        <v>1409</v>
      </c>
    </row>
    <row r="15" spans="1:18" ht="12.75" customHeight="1" x14ac:dyDescent="0.2">
      <c r="A15" s="129" t="s">
        <v>545</v>
      </c>
      <c r="B15" s="142" t="s">
        <v>794</v>
      </c>
      <c r="G15" s="97" t="s">
        <v>24</v>
      </c>
      <c r="H15" s="502">
        <v>0</v>
      </c>
      <c r="I15" s="489">
        <v>5071</v>
      </c>
      <c r="J15" s="72">
        <v>5071</v>
      </c>
      <c r="K15" s="15"/>
      <c r="L15" s="72">
        <v>5071</v>
      </c>
      <c r="M15" s="15">
        <f t="shared" ref="M15" si="0">H15*L15</f>
        <v>0</v>
      </c>
      <c r="N15" s="15">
        <f>H15*I15</f>
        <v>0</v>
      </c>
      <c r="O15" s="25" t="e">
        <f>N15/N17</f>
        <v>#DIV/0!</v>
      </c>
    </row>
    <row r="16" spans="1:18" ht="12.75" customHeight="1" x14ac:dyDescent="0.2">
      <c r="B16" s="130"/>
      <c r="G16" s="52"/>
      <c r="H16" s="501"/>
      <c r="I16" s="520"/>
      <c r="J16" s="52"/>
      <c r="K16" s="52"/>
      <c r="L16" s="52"/>
      <c r="M16" s="52"/>
      <c r="N16" s="15"/>
      <c r="O16" s="25"/>
    </row>
    <row r="17" spans="1:16" ht="12.75" customHeight="1" x14ac:dyDescent="0.2">
      <c r="B17" s="130" t="s">
        <v>18</v>
      </c>
      <c r="C17" s="131"/>
      <c r="D17" s="131"/>
      <c r="E17" s="131"/>
      <c r="F17" s="131"/>
      <c r="G17" s="53"/>
      <c r="H17" s="503"/>
      <c r="I17" s="521"/>
      <c r="J17" s="53"/>
      <c r="K17" s="53"/>
      <c r="L17" s="53"/>
      <c r="M17" s="53"/>
      <c r="N17" s="15">
        <f>N15</f>
        <v>0</v>
      </c>
      <c r="O17" s="25" t="e">
        <f>N17/N54</f>
        <v>#DIV/0!</v>
      </c>
    </row>
    <row r="18" spans="1:16" ht="12.75" customHeight="1" x14ac:dyDescent="0.2">
      <c r="B18" s="130"/>
      <c r="G18" s="52"/>
      <c r="H18" s="501"/>
      <c r="I18" s="520"/>
      <c r="J18" s="52"/>
      <c r="K18" s="52"/>
      <c r="L18" s="52"/>
      <c r="M18" s="52"/>
      <c r="N18" s="15"/>
      <c r="O18" s="25"/>
    </row>
    <row r="19" spans="1:16" ht="12.75" customHeight="1" x14ac:dyDescent="0.2">
      <c r="A19" s="129">
        <v>3003</v>
      </c>
      <c r="B19" s="88" t="s">
        <v>675</v>
      </c>
      <c r="H19" s="505"/>
      <c r="I19" s="491"/>
      <c r="O19" s="61"/>
    </row>
    <row r="20" spans="1:16" ht="12.75" hidden="1" customHeight="1" x14ac:dyDescent="0.2">
      <c r="A20" s="129" t="s">
        <v>545</v>
      </c>
      <c r="B20" s="620" t="s">
        <v>551</v>
      </c>
      <c r="C20" s="619"/>
      <c r="D20" s="619"/>
      <c r="E20" s="619"/>
      <c r="F20" s="619"/>
      <c r="G20" s="97" t="s">
        <v>31</v>
      </c>
      <c r="H20" s="502">
        <v>0</v>
      </c>
      <c r="I20" s="489">
        <v>8785.85</v>
      </c>
      <c r="J20" s="72">
        <v>8785.85</v>
      </c>
      <c r="K20" s="15"/>
      <c r="L20" s="72">
        <v>8785.85</v>
      </c>
      <c r="M20" s="15">
        <f t="shared" ref="M20:M22" si="1">H20*L20</f>
        <v>0</v>
      </c>
      <c r="N20" s="15">
        <f>H20*I20</f>
        <v>0</v>
      </c>
      <c r="O20" s="25" t="e">
        <f>N20/N24</f>
        <v>#DIV/0!</v>
      </c>
    </row>
    <row r="21" spans="1:16" ht="12.75" customHeight="1" x14ac:dyDescent="0.2">
      <c r="A21" s="129" t="s">
        <v>545</v>
      </c>
      <c r="B21" s="620" t="s">
        <v>1275</v>
      </c>
      <c r="C21" s="619"/>
      <c r="D21" s="619"/>
      <c r="E21" s="619"/>
      <c r="F21" s="619"/>
      <c r="G21" s="97" t="s">
        <v>31</v>
      </c>
      <c r="H21" s="502">
        <v>0</v>
      </c>
      <c r="I21" s="489">
        <v>1333.33</v>
      </c>
      <c r="J21" s="72">
        <v>1333.33</v>
      </c>
      <c r="K21" s="15"/>
      <c r="L21" s="72">
        <v>1333.33</v>
      </c>
      <c r="M21" s="15">
        <f t="shared" si="1"/>
        <v>0</v>
      </c>
      <c r="N21" s="15">
        <f>H21*I21</f>
        <v>0</v>
      </c>
      <c r="O21" s="25" t="e">
        <f>N21/N24</f>
        <v>#DIV/0!</v>
      </c>
    </row>
    <row r="22" spans="1:16" ht="12.75" hidden="1" customHeight="1" x14ac:dyDescent="0.2">
      <c r="A22" s="129" t="s">
        <v>545</v>
      </c>
      <c r="B22" s="620" t="s">
        <v>1276</v>
      </c>
      <c r="C22" s="619"/>
      <c r="D22" s="619"/>
      <c r="E22" s="619"/>
      <c r="F22" s="619"/>
      <c r="G22" s="97" t="s">
        <v>31</v>
      </c>
      <c r="H22" s="502">
        <v>0</v>
      </c>
      <c r="I22" s="489">
        <v>1333.33</v>
      </c>
      <c r="J22" s="72">
        <v>1333.33</v>
      </c>
      <c r="K22" s="15"/>
      <c r="L22" s="72">
        <v>1333.33</v>
      </c>
      <c r="M22" s="15">
        <f t="shared" si="1"/>
        <v>0</v>
      </c>
      <c r="N22" s="15">
        <f>H22*I22</f>
        <v>0</v>
      </c>
      <c r="O22" s="25" t="e">
        <f>N22/N24</f>
        <v>#DIV/0!</v>
      </c>
    </row>
    <row r="23" spans="1:16" ht="12.75" customHeight="1" x14ac:dyDescent="0.2">
      <c r="B23" s="130"/>
      <c r="G23" s="52"/>
      <c r="H23" s="501"/>
      <c r="I23" s="520"/>
      <c r="J23" s="52"/>
      <c r="K23" s="52"/>
      <c r="L23" s="52"/>
      <c r="M23" s="52"/>
      <c r="N23" s="15"/>
      <c r="O23" s="25"/>
    </row>
    <row r="24" spans="1:16" ht="12.75" customHeight="1" x14ac:dyDescent="0.2">
      <c r="B24" s="130" t="s">
        <v>18</v>
      </c>
      <c r="C24" s="131"/>
      <c r="D24" s="131"/>
      <c r="E24" s="131"/>
      <c r="F24" s="131"/>
      <c r="G24" s="53"/>
      <c r="H24" s="503"/>
      <c r="I24" s="521"/>
      <c r="J24" s="53"/>
      <c r="K24" s="53"/>
      <c r="L24" s="53"/>
      <c r="M24" s="53"/>
      <c r="N24" s="48">
        <f>SUM(N20:N22)</f>
        <v>0</v>
      </c>
      <c r="O24" s="25" t="e">
        <f>N24/N54</f>
        <v>#DIV/0!</v>
      </c>
    </row>
    <row r="25" spans="1:16" ht="12.75" customHeight="1" x14ac:dyDescent="0.2">
      <c r="B25" s="130"/>
      <c r="G25" s="52"/>
      <c r="H25" s="501"/>
      <c r="I25" s="520"/>
      <c r="J25" s="52"/>
      <c r="K25" s="52"/>
      <c r="L25" s="52"/>
      <c r="M25" s="52"/>
      <c r="N25" s="15"/>
      <c r="O25" s="25"/>
    </row>
    <row r="26" spans="1:16" ht="12.75" customHeight="1" x14ac:dyDescent="0.2">
      <c r="A26" s="129"/>
      <c r="B26" s="88" t="s">
        <v>557</v>
      </c>
      <c r="H26" s="505"/>
      <c r="I26" s="491"/>
      <c r="O26" s="61"/>
    </row>
    <row r="27" spans="1:16" ht="12.75" hidden="1" customHeight="1" x14ac:dyDescent="0.2">
      <c r="A27" s="600" t="s">
        <v>545</v>
      </c>
      <c r="B27" s="490" t="s">
        <v>1278</v>
      </c>
      <c r="C27" s="491"/>
      <c r="D27" s="491"/>
      <c r="E27" s="491"/>
      <c r="F27" s="491"/>
      <c r="G27" s="497" t="s">
        <v>24</v>
      </c>
      <c r="H27" s="502">
        <v>0</v>
      </c>
      <c r="I27" s="489">
        <v>605</v>
      </c>
      <c r="J27" s="489">
        <v>605</v>
      </c>
      <c r="K27" s="502"/>
      <c r="L27" s="489">
        <v>605</v>
      </c>
      <c r="M27" s="502">
        <f t="shared" ref="M27:M50" si="2">H27*L27</f>
        <v>0</v>
      </c>
      <c r="N27" s="502">
        <f t="shared" ref="N27:N50" si="3">H27*I27</f>
        <v>0</v>
      </c>
      <c r="O27" s="601" t="e">
        <f t="shared" ref="O27:O50" si="4">N27/$N$52</f>
        <v>#DIV/0!</v>
      </c>
      <c r="P27" s="61" t="s">
        <v>1340</v>
      </c>
    </row>
    <row r="28" spans="1:16" ht="12.75" hidden="1" customHeight="1" x14ac:dyDescent="0.2">
      <c r="A28" s="600" t="s">
        <v>545</v>
      </c>
      <c r="B28" s="490" t="s">
        <v>1277</v>
      </c>
      <c r="C28" s="491"/>
      <c r="D28" s="491"/>
      <c r="E28" s="491"/>
      <c r="F28" s="491"/>
      <c r="G28" s="497" t="s">
        <v>24</v>
      </c>
      <c r="H28" s="502">
        <v>0</v>
      </c>
      <c r="I28" s="489">
        <v>700</v>
      </c>
      <c r="J28" s="489">
        <v>700</v>
      </c>
      <c r="K28" s="502"/>
      <c r="L28" s="489">
        <v>700</v>
      </c>
      <c r="M28" s="502">
        <f t="shared" si="2"/>
        <v>0</v>
      </c>
      <c r="N28" s="502">
        <f t="shared" si="3"/>
        <v>0</v>
      </c>
      <c r="O28" s="601" t="e">
        <f t="shared" si="4"/>
        <v>#DIV/0!</v>
      </c>
      <c r="P28" s="61" t="s">
        <v>1341</v>
      </c>
    </row>
    <row r="29" spans="1:16" ht="12.75" hidden="1" customHeight="1" x14ac:dyDescent="0.2">
      <c r="A29" s="600" t="s">
        <v>545</v>
      </c>
      <c r="B29" s="490" t="s">
        <v>727</v>
      </c>
      <c r="C29" s="491"/>
      <c r="D29" s="491"/>
      <c r="E29" s="491"/>
      <c r="F29" s="491"/>
      <c r="G29" s="497" t="s">
        <v>24</v>
      </c>
      <c r="H29" s="502">
        <v>0</v>
      </c>
      <c r="I29" s="489">
        <v>1100</v>
      </c>
      <c r="J29" s="489">
        <v>1100</v>
      </c>
      <c r="K29" s="502"/>
      <c r="L29" s="489">
        <v>1100</v>
      </c>
      <c r="M29" s="502">
        <f t="shared" si="2"/>
        <v>0</v>
      </c>
      <c r="N29" s="502">
        <f t="shared" si="3"/>
        <v>0</v>
      </c>
      <c r="O29" s="601" t="e">
        <f t="shared" si="4"/>
        <v>#DIV/0!</v>
      </c>
      <c r="P29" s="61" t="s">
        <v>1339</v>
      </c>
    </row>
    <row r="30" spans="1:16" ht="12.75" customHeight="1" x14ac:dyDescent="0.2">
      <c r="A30" s="600" t="s">
        <v>545</v>
      </c>
      <c r="B30" s="490" t="s">
        <v>980</v>
      </c>
      <c r="C30" s="491"/>
      <c r="D30" s="491"/>
      <c r="E30" s="491"/>
      <c r="F30" s="491"/>
      <c r="G30" s="497" t="s">
        <v>24</v>
      </c>
      <c r="H30" s="502">
        <v>0</v>
      </c>
      <c r="I30" s="489">
        <v>650</v>
      </c>
      <c r="J30" s="489">
        <v>650</v>
      </c>
      <c r="K30" s="15"/>
      <c r="L30" s="72">
        <v>650</v>
      </c>
      <c r="M30" s="15">
        <f t="shared" si="2"/>
        <v>0</v>
      </c>
      <c r="N30" s="15">
        <f t="shared" si="3"/>
        <v>0</v>
      </c>
      <c r="O30" s="25" t="e">
        <f t="shared" si="4"/>
        <v>#DIV/0!</v>
      </c>
      <c r="P30" s="61" t="s">
        <v>1342</v>
      </c>
    </row>
    <row r="31" spans="1:16" ht="12.75" customHeight="1" x14ac:dyDescent="0.2">
      <c r="A31" s="129" t="s">
        <v>545</v>
      </c>
      <c r="B31" s="88" t="s">
        <v>856</v>
      </c>
      <c r="G31" s="97" t="s">
        <v>24</v>
      </c>
      <c r="H31" s="502">
        <v>0</v>
      </c>
      <c r="I31" s="489">
        <v>42760</v>
      </c>
      <c r="J31" s="72">
        <v>72760</v>
      </c>
      <c r="K31" s="15"/>
      <c r="L31" s="72">
        <v>42760</v>
      </c>
      <c r="M31" s="15">
        <f t="shared" si="2"/>
        <v>0</v>
      </c>
      <c r="N31" s="15">
        <f t="shared" si="3"/>
        <v>0</v>
      </c>
      <c r="O31" s="25" t="e">
        <f t="shared" si="4"/>
        <v>#DIV/0!</v>
      </c>
    </row>
    <row r="32" spans="1:16" ht="12.75" customHeight="1" x14ac:dyDescent="0.2">
      <c r="A32" s="600" t="s">
        <v>545</v>
      </c>
      <c r="B32" s="490" t="s">
        <v>1013</v>
      </c>
      <c r="C32" s="491"/>
      <c r="D32" s="491"/>
      <c r="E32" s="491"/>
      <c r="F32" s="491"/>
      <c r="G32" s="497" t="s">
        <v>24</v>
      </c>
      <c r="H32" s="502">
        <v>0</v>
      </c>
      <c r="I32" s="489">
        <f>(7600+10565)/2</f>
        <v>9082.5</v>
      </c>
      <c r="J32" s="489">
        <v>9082.5</v>
      </c>
      <c r="K32" s="15"/>
      <c r="L32" s="72">
        <v>9082.5</v>
      </c>
      <c r="M32" s="15">
        <f t="shared" si="2"/>
        <v>0</v>
      </c>
      <c r="N32" s="15">
        <f t="shared" si="3"/>
        <v>0</v>
      </c>
      <c r="O32" s="25" t="e">
        <f t="shared" si="4"/>
        <v>#DIV/0!</v>
      </c>
      <c r="P32" s="61" t="s">
        <v>1343</v>
      </c>
    </row>
    <row r="33" spans="1:16" ht="12.75" hidden="1" customHeight="1" x14ac:dyDescent="0.2">
      <c r="A33" s="600" t="s">
        <v>545</v>
      </c>
      <c r="B33" s="490" t="s">
        <v>1279</v>
      </c>
      <c r="C33" s="491"/>
      <c r="D33" s="491"/>
      <c r="E33" s="491"/>
      <c r="F33" s="491"/>
      <c r="G33" s="497" t="s">
        <v>24</v>
      </c>
      <c r="H33" s="502">
        <v>0</v>
      </c>
      <c r="I33" s="489">
        <f>(12362+10500)/2</f>
        <v>11431</v>
      </c>
      <c r="J33" s="72">
        <v>11431</v>
      </c>
      <c r="K33" s="15"/>
      <c r="L33" s="72">
        <v>11431</v>
      </c>
      <c r="M33" s="15">
        <f t="shared" si="2"/>
        <v>0</v>
      </c>
      <c r="N33" s="15">
        <f t="shared" si="3"/>
        <v>0</v>
      </c>
      <c r="O33" s="25" t="e">
        <f t="shared" si="4"/>
        <v>#DIV/0!</v>
      </c>
      <c r="P33" s="61" t="s">
        <v>1400</v>
      </c>
    </row>
    <row r="34" spans="1:16" ht="12.75" customHeight="1" x14ac:dyDescent="0.2">
      <c r="A34" s="600" t="s">
        <v>545</v>
      </c>
      <c r="B34" s="490" t="s">
        <v>1406</v>
      </c>
      <c r="C34" s="491"/>
      <c r="D34" s="491"/>
      <c r="E34" s="491"/>
      <c r="F34" s="491"/>
      <c r="G34" s="497" t="s">
        <v>24</v>
      </c>
      <c r="H34" s="502">
        <v>0</v>
      </c>
      <c r="I34" s="489">
        <v>9272.92</v>
      </c>
      <c r="J34" s="489">
        <f t="shared" ref="J34" si="5">I34</f>
        <v>9272.92</v>
      </c>
      <c r="K34" s="502"/>
      <c r="L34" s="489">
        <v>9272.92</v>
      </c>
      <c r="M34" s="502">
        <f t="shared" si="2"/>
        <v>0</v>
      </c>
      <c r="N34" s="502">
        <f t="shared" si="3"/>
        <v>0</v>
      </c>
      <c r="O34" s="601" t="e">
        <f t="shared" si="4"/>
        <v>#DIV/0!</v>
      </c>
      <c r="P34" s="61" t="s">
        <v>1408</v>
      </c>
    </row>
    <row r="35" spans="1:16" ht="12.75" hidden="1" customHeight="1" x14ac:dyDescent="0.2">
      <c r="A35" s="600" t="s">
        <v>545</v>
      </c>
      <c r="B35" s="490" t="s">
        <v>1403</v>
      </c>
      <c r="C35" s="491"/>
      <c r="D35" s="491"/>
      <c r="E35" s="491"/>
      <c r="F35" s="491"/>
      <c r="G35" s="497" t="s">
        <v>24</v>
      </c>
      <c r="H35" s="502">
        <v>0</v>
      </c>
      <c r="I35" s="489">
        <v>11063.304</v>
      </c>
      <c r="J35" s="489">
        <f>I35</f>
        <v>11063.304</v>
      </c>
      <c r="K35" s="502"/>
      <c r="L35" s="489">
        <v>11063.304</v>
      </c>
      <c r="M35" s="502">
        <f t="shared" si="2"/>
        <v>0</v>
      </c>
      <c r="N35" s="502">
        <f t="shared" si="3"/>
        <v>0</v>
      </c>
      <c r="O35" s="601" t="e">
        <f t="shared" si="4"/>
        <v>#DIV/0!</v>
      </c>
      <c r="P35" s="61" t="s">
        <v>1344</v>
      </c>
    </row>
    <row r="36" spans="1:16" ht="12.75" hidden="1" customHeight="1" x14ac:dyDescent="0.2">
      <c r="A36" s="600" t="s">
        <v>545</v>
      </c>
      <c r="B36" s="490" t="s">
        <v>1280</v>
      </c>
      <c r="C36" s="491"/>
      <c r="D36" s="491"/>
      <c r="E36" s="491"/>
      <c r="F36" s="491"/>
      <c r="G36" s="497" t="s">
        <v>24</v>
      </c>
      <c r="H36" s="502">
        <v>0</v>
      </c>
      <c r="I36" s="489">
        <v>24519.3</v>
      </c>
      <c r="J36" s="489">
        <f>I36</f>
        <v>24519.3</v>
      </c>
      <c r="K36" s="502"/>
      <c r="L36" s="489">
        <v>24519.3</v>
      </c>
      <c r="M36" s="502">
        <f t="shared" si="2"/>
        <v>0</v>
      </c>
      <c r="N36" s="502">
        <f t="shared" si="3"/>
        <v>0</v>
      </c>
      <c r="O36" s="601" t="e">
        <f t="shared" si="4"/>
        <v>#DIV/0!</v>
      </c>
      <c r="P36" s="61" t="s">
        <v>1408</v>
      </c>
    </row>
    <row r="37" spans="1:16" ht="12.75" hidden="1" customHeight="1" x14ac:dyDescent="0.2">
      <c r="A37" s="600" t="s">
        <v>545</v>
      </c>
      <c r="B37" s="490" t="s">
        <v>1347</v>
      </c>
      <c r="C37" s="491"/>
      <c r="D37" s="491"/>
      <c r="E37" s="491"/>
      <c r="F37" s="491"/>
      <c r="G37" s="497" t="s">
        <v>24</v>
      </c>
      <c r="H37" s="502">
        <v>0</v>
      </c>
      <c r="I37" s="489">
        <v>29964.06</v>
      </c>
      <c r="J37" s="489">
        <f>I37</f>
        <v>29964.06</v>
      </c>
      <c r="K37" s="502"/>
      <c r="L37" s="489">
        <v>29964.06</v>
      </c>
      <c r="M37" s="502">
        <f t="shared" si="2"/>
        <v>0</v>
      </c>
      <c r="N37" s="502">
        <f t="shared" si="3"/>
        <v>0</v>
      </c>
      <c r="O37" s="601" t="e">
        <f t="shared" si="4"/>
        <v>#DIV/0!</v>
      </c>
      <c r="P37" s="61" t="s">
        <v>1350</v>
      </c>
    </row>
    <row r="38" spans="1:16" ht="12.75" hidden="1" customHeight="1" x14ac:dyDescent="0.2">
      <c r="A38" s="600" t="s">
        <v>545</v>
      </c>
      <c r="B38" s="490" t="s">
        <v>1281</v>
      </c>
      <c r="C38" s="491"/>
      <c r="D38" s="491"/>
      <c r="E38" s="491"/>
      <c r="F38" s="491"/>
      <c r="G38" s="497" t="s">
        <v>24</v>
      </c>
      <c r="H38" s="502">
        <v>0</v>
      </c>
      <c r="I38" s="489">
        <v>17283.18</v>
      </c>
      <c r="J38" s="489">
        <f>I38</f>
        <v>17283.18</v>
      </c>
      <c r="K38" s="502"/>
      <c r="L38" s="489">
        <v>17283.18</v>
      </c>
      <c r="M38" s="502">
        <f t="shared" si="2"/>
        <v>0</v>
      </c>
      <c r="N38" s="502">
        <f t="shared" si="3"/>
        <v>0</v>
      </c>
      <c r="O38" s="601" t="e">
        <f t="shared" si="4"/>
        <v>#DIV/0!</v>
      </c>
      <c r="P38" s="61" t="s">
        <v>1408</v>
      </c>
    </row>
    <row r="39" spans="1:16" ht="12.75" hidden="1" customHeight="1" x14ac:dyDescent="0.2">
      <c r="A39" s="593" t="s">
        <v>545</v>
      </c>
      <c r="B39" s="592" t="s">
        <v>1282</v>
      </c>
      <c r="C39" s="590"/>
      <c r="D39" s="590"/>
      <c r="E39" s="590"/>
      <c r="F39" s="590"/>
      <c r="G39" s="610" t="s">
        <v>24</v>
      </c>
      <c r="H39" s="502">
        <v>0</v>
      </c>
      <c r="I39" s="603"/>
      <c r="J39" s="489"/>
      <c r="K39" s="502"/>
      <c r="L39" s="489"/>
      <c r="M39" s="502">
        <f t="shared" si="2"/>
        <v>0</v>
      </c>
      <c r="N39" s="502">
        <f t="shared" si="3"/>
        <v>0</v>
      </c>
      <c r="O39" s="601" t="e">
        <f t="shared" si="4"/>
        <v>#DIV/0!</v>
      </c>
    </row>
    <row r="40" spans="1:16" ht="12.75" hidden="1" customHeight="1" x14ac:dyDescent="0.2">
      <c r="A40" s="593" t="s">
        <v>545</v>
      </c>
      <c r="B40" s="592" t="s">
        <v>1283</v>
      </c>
      <c r="C40" s="590"/>
      <c r="D40" s="590"/>
      <c r="E40" s="590"/>
      <c r="F40" s="590"/>
      <c r="G40" s="610" t="s">
        <v>24</v>
      </c>
      <c r="H40" s="502">
        <v>0</v>
      </c>
      <c r="I40" s="603"/>
      <c r="J40" s="489"/>
      <c r="K40" s="502"/>
      <c r="L40" s="489"/>
      <c r="M40" s="502">
        <f t="shared" si="2"/>
        <v>0</v>
      </c>
      <c r="N40" s="502">
        <f t="shared" si="3"/>
        <v>0</v>
      </c>
      <c r="O40" s="601" t="e">
        <f t="shared" si="4"/>
        <v>#DIV/0!</v>
      </c>
    </row>
    <row r="41" spans="1:16" ht="12.75" hidden="1" customHeight="1" x14ac:dyDescent="0.2">
      <c r="A41" s="600" t="s">
        <v>545</v>
      </c>
      <c r="B41" s="490" t="s">
        <v>1407</v>
      </c>
      <c r="C41" s="490"/>
      <c r="D41" s="490"/>
      <c r="E41" s="490"/>
      <c r="F41" s="490"/>
      <c r="G41" s="497" t="s">
        <v>24</v>
      </c>
      <c r="H41" s="502">
        <v>0</v>
      </c>
      <c r="I41" s="489">
        <v>50865.97</v>
      </c>
      <c r="J41" s="489">
        <f t="shared" ref="J41:J50" si="6">I41</f>
        <v>50865.97</v>
      </c>
      <c r="K41" s="502"/>
      <c r="L41" s="489">
        <v>50865.97</v>
      </c>
      <c r="M41" s="502">
        <f t="shared" si="2"/>
        <v>0</v>
      </c>
      <c r="N41" s="502">
        <f t="shared" si="3"/>
        <v>0</v>
      </c>
      <c r="O41" s="601" t="e">
        <f t="shared" si="4"/>
        <v>#DIV/0!</v>
      </c>
      <c r="P41" s="61" t="s">
        <v>1408</v>
      </c>
    </row>
    <row r="42" spans="1:16" ht="12.75" hidden="1" customHeight="1" x14ac:dyDescent="0.2">
      <c r="A42" s="600" t="s">
        <v>545</v>
      </c>
      <c r="B42" s="490" t="s">
        <v>1284</v>
      </c>
      <c r="C42" s="490"/>
      <c r="D42" s="490"/>
      <c r="E42" s="490"/>
      <c r="F42" s="490"/>
      <c r="G42" s="497" t="s">
        <v>24</v>
      </c>
      <c r="H42" s="502">
        <v>0</v>
      </c>
      <c r="I42" s="489">
        <v>46157.760000000002</v>
      </c>
      <c r="J42" s="489">
        <f t="shared" si="6"/>
        <v>46157.760000000002</v>
      </c>
      <c r="K42" s="502"/>
      <c r="L42" s="489">
        <v>46157.760000000002</v>
      </c>
      <c r="M42" s="502">
        <f t="shared" si="2"/>
        <v>0</v>
      </c>
      <c r="N42" s="502">
        <f t="shared" si="3"/>
        <v>0</v>
      </c>
      <c r="O42" s="601" t="e">
        <f t="shared" si="4"/>
        <v>#DIV/0!</v>
      </c>
      <c r="P42" s="61" t="s">
        <v>1408</v>
      </c>
    </row>
    <row r="43" spans="1:16" ht="12.75" hidden="1" customHeight="1" x14ac:dyDescent="0.2">
      <c r="A43" s="600" t="s">
        <v>545</v>
      </c>
      <c r="B43" s="490" t="s">
        <v>1404</v>
      </c>
      <c r="C43" s="491"/>
      <c r="D43" s="491"/>
      <c r="E43" s="491"/>
      <c r="F43" s="491"/>
      <c r="G43" s="497" t="s">
        <v>24</v>
      </c>
      <c r="H43" s="502">
        <v>0</v>
      </c>
      <c r="I43" s="489">
        <v>29584.62</v>
      </c>
      <c r="J43" s="489">
        <f t="shared" si="6"/>
        <v>29584.62</v>
      </c>
      <c r="K43" s="502"/>
      <c r="L43" s="489">
        <v>29584.62</v>
      </c>
      <c r="M43" s="502">
        <f t="shared" si="2"/>
        <v>0</v>
      </c>
      <c r="N43" s="502">
        <f t="shared" si="3"/>
        <v>0</v>
      </c>
      <c r="O43" s="601" t="e">
        <f t="shared" si="4"/>
        <v>#DIV/0!</v>
      </c>
      <c r="P43" s="61" t="s">
        <v>1408</v>
      </c>
    </row>
    <row r="44" spans="1:16" ht="12.75" hidden="1" customHeight="1" x14ac:dyDescent="0.2">
      <c r="A44" s="600" t="s">
        <v>545</v>
      </c>
      <c r="B44" s="490" t="s">
        <v>1405</v>
      </c>
      <c r="C44" s="491"/>
      <c r="D44" s="491"/>
      <c r="E44" s="491"/>
      <c r="F44" s="491"/>
      <c r="G44" s="497" t="s">
        <v>24</v>
      </c>
      <c r="H44" s="502">
        <v>0</v>
      </c>
      <c r="I44" s="489">
        <v>29964.06</v>
      </c>
      <c r="J44" s="489">
        <f t="shared" si="6"/>
        <v>29964.06</v>
      </c>
      <c r="K44" s="502"/>
      <c r="L44" s="489">
        <v>29964.06</v>
      </c>
      <c r="M44" s="502">
        <f t="shared" si="2"/>
        <v>0</v>
      </c>
      <c r="N44" s="502">
        <f t="shared" si="3"/>
        <v>0</v>
      </c>
      <c r="O44" s="601" t="e">
        <f t="shared" si="4"/>
        <v>#DIV/0!</v>
      </c>
      <c r="P44" s="61" t="s">
        <v>1408</v>
      </c>
    </row>
    <row r="45" spans="1:16" ht="12.75" hidden="1" customHeight="1" x14ac:dyDescent="0.2">
      <c r="A45" s="600" t="s">
        <v>545</v>
      </c>
      <c r="B45" s="490" t="s">
        <v>1401</v>
      </c>
      <c r="C45" s="491"/>
      <c r="D45" s="491"/>
      <c r="E45" s="491"/>
      <c r="F45" s="491"/>
      <c r="G45" s="497" t="s">
        <v>24</v>
      </c>
      <c r="H45" s="502">
        <v>0</v>
      </c>
      <c r="I45" s="489">
        <v>18032.71</v>
      </c>
      <c r="J45" s="489">
        <f t="shared" si="6"/>
        <v>18032.71</v>
      </c>
      <c r="K45" s="502"/>
      <c r="L45" s="489">
        <v>18032.71</v>
      </c>
      <c r="M45" s="502">
        <f t="shared" si="2"/>
        <v>0</v>
      </c>
      <c r="N45" s="502">
        <f t="shared" si="3"/>
        <v>0</v>
      </c>
      <c r="O45" s="601" t="e">
        <f t="shared" si="4"/>
        <v>#DIV/0!</v>
      </c>
      <c r="P45" s="61" t="s">
        <v>1408</v>
      </c>
    </row>
    <row r="46" spans="1:16" ht="12.75" hidden="1" customHeight="1" x14ac:dyDescent="0.2">
      <c r="A46" s="600" t="s">
        <v>545</v>
      </c>
      <c r="B46" s="490" t="s">
        <v>1402</v>
      </c>
      <c r="C46" s="491"/>
      <c r="D46" s="491"/>
      <c r="E46" s="491"/>
      <c r="F46" s="491"/>
      <c r="G46" s="497" t="s">
        <v>24</v>
      </c>
      <c r="H46" s="502">
        <v>0</v>
      </c>
      <c r="I46" s="489">
        <v>11867.98</v>
      </c>
      <c r="J46" s="489">
        <f t="shared" si="6"/>
        <v>11867.98</v>
      </c>
      <c r="K46" s="502"/>
      <c r="L46" s="489">
        <v>11867.98</v>
      </c>
      <c r="M46" s="502">
        <f t="shared" si="2"/>
        <v>0</v>
      </c>
      <c r="N46" s="502">
        <f t="shared" si="3"/>
        <v>0</v>
      </c>
      <c r="O46" s="601" t="e">
        <f t="shared" si="4"/>
        <v>#DIV/0!</v>
      </c>
      <c r="P46" s="61" t="s">
        <v>1408</v>
      </c>
    </row>
    <row r="47" spans="1:16" ht="12.75" hidden="1" customHeight="1" x14ac:dyDescent="0.2">
      <c r="A47" s="593" t="s">
        <v>545</v>
      </c>
      <c r="B47" s="592" t="s">
        <v>1286</v>
      </c>
      <c r="C47" s="590"/>
      <c r="D47" s="590"/>
      <c r="E47" s="590"/>
      <c r="F47" s="590"/>
      <c r="G47" s="610" t="s">
        <v>24</v>
      </c>
      <c r="H47" s="502">
        <v>0</v>
      </c>
      <c r="I47" s="603"/>
      <c r="J47" s="489">
        <f t="shared" si="6"/>
        <v>0</v>
      </c>
      <c r="K47" s="502"/>
      <c r="L47" s="489"/>
      <c r="M47" s="502">
        <f t="shared" si="2"/>
        <v>0</v>
      </c>
      <c r="N47" s="502">
        <f t="shared" si="3"/>
        <v>0</v>
      </c>
      <c r="O47" s="601" t="e">
        <f t="shared" si="4"/>
        <v>#DIV/0!</v>
      </c>
    </row>
    <row r="48" spans="1:16" ht="12.75" hidden="1" customHeight="1" x14ac:dyDescent="0.2">
      <c r="A48" s="593" t="s">
        <v>545</v>
      </c>
      <c r="B48" s="609" t="s">
        <v>1285</v>
      </c>
      <c r="C48" s="590"/>
      <c r="D48" s="590"/>
      <c r="E48" s="590"/>
      <c r="F48" s="590"/>
      <c r="G48" s="610" t="s">
        <v>24</v>
      </c>
      <c r="H48" s="502">
        <v>0</v>
      </c>
      <c r="I48" s="603"/>
      <c r="J48" s="489">
        <f t="shared" si="6"/>
        <v>0</v>
      </c>
      <c r="K48" s="502"/>
      <c r="L48" s="489"/>
      <c r="M48" s="502">
        <f t="shared" si="2"/>
        <v>0</v>
      </c>
      <c r="N48" s="502">
        <f t="shared" si="3"/>
        <v>0</v>
      </c>
      <c r="O48" s="601" t="e">
        <f t="shared" si="4"/>
        <v>#DIV/0!</v>
      </c>
    </row>
    <row r="49" spans="1:16" ht="12.75" hidden="1" customHeight="1" x14ac:dyDescent="0.2">
      <c r="A49" s="600" t="s">
        <v>545</v>
      </c>
      <c r="B49" s="594" t="s">
        <v>1345</v>
      </c>
      <c r="C49" s="491"/>
      <c r="D49" s="491"/>
      <c r="E49" s="491"/>
      <c r="F49" s="491"/>
      <c r="G49" s="497" t="s">
        <v>24</v>
      </c>
      <c r="H49" s="502">
        <v>0</v>
      </c>
      <c r="I49" s="489">
        <v>11063.304</v>
      </c>
      <c r="J49" s="489">
        <f t="shared" si="6"/>
        <v>11063.304</v>
      </c>
      <c r="K49" s="502"/>
      <c r="L49" s="489">
        <v>11063.304</v>
      </c>
      <c r="M49" s="502">
        <f t="shared" si="2"/>
        <v>0</v>
      </c>
      <c r="N49" s="502">
        <f t="shared" si="3"/>
        <v>0</v>
      </c>
      <c r="O49" s="601" t="e">
        <f t="shared" si="4"/>
        <v>#DIV/0!</v>
      </c>
      <c r="P49" s="61" t="s">
        <v>1348</v>
      </c>
    </row>
    <row r="50" spans="1:16" ht="12.75" hidden="1" customHeight="1" x14ac:dyDescent="0.2">
      <c r="A50" s="600" t="s">
        <v>545</v>
      </c>
      <c r="B50" s="594" t="s">
        <v>1346</v>
      </c>
      <c r="C50" s="491"/>
      <c r="D50" s="491"/>
      <c r="E50" s="491"/>
      <c r="F50" s="491"/>
      <c r="G50" s="497" t="s">
        <v>24</v>
      </c>
      <c r="H50" s="502">
        <v>0</v>
      </c>
      <c r="I50" s="489">
        <v>7652.232</v>
      </c>
      <c r="J50" s="489">
        <f t="shared" si="6"/>
        <v>7652.232</v>
      </c>
      <c r="K50" s="502"/>
      <c r="L50" s="489">
        <v>7652.232</v>
      </c>
      <c r="M50" s="502">
        <f t="shared" si="2"/>
        <v>0</v>
      </c>
      <c r="N50" s="502">
        <f t="shared" si="3"/>
        <v>0</v>
      </c>
      <c r="O50" s="601" t="e">
        <f t="shared" si="4"/>
        <v>#DIV/0!</v>
      </c>
      <c r="P50" s="61" t="s">
        <v>1349</v>
      </c>
    </row>
    <row r="51" spans="1:16" ht="12.75" customHeight="1" x14ac:dyDescent="0.2">
      <c r="B51" s="130"/>
      <c r="G51" s="52"/>
      <c r="H51" s="501"/>
      <c r="I51" s="52"/>
      <c r="J51" s="52"/>
      <c r="K51" s="52"/>
      <c r="L51" s="52"/>
      <c r="M51" s="52"/>
      <c r="N51" s="15"/>
      <c r="O51" s="25"/>
    </row>
    <row r="52" spans="1:16" ht="12.75" customHeight="1" x14ac:dyDescent="0.2">
      <c r="B52" s="130" t="s">
        <v>18</v>
      </c>
      <c r="C52" s="131"/>
      <c r="D52" s="131"/>
      <c r="E52" s="131"/>
      <c r="F52" s="131"/>
      <c r="G52" s="53"/>
      <c r="H52" s="503"/>
      <c r="I52" s="53"/>
      <c r="J52" s="53"/>
      <c r="K52" s="53"/>
      <c r="L52" s="53"/>
      <c r="M52" s="53"/>
      <c r="N52" s="15">
        <f>SUM(N27:N48)</f>
        <v>0</v>
      </c>
      <c r="O52" s="25" t="e">
        <f>N52/N54</f>
        <v>#DIV/0!</v>
      </c>
    </row>
    <row r="53" spans="1:16" ht="12.75" customHeight="1" x14ac:dyDescent="0.2">
      <c r="B53" s="130"/>
      <c r="G53" s="52"/>
      <c r="H53" s="501"/>
      <c r="I53" s="52"/>
      <c r="J53" s="52"/>
      <c r="K53" s="52"/>
      <c r="L53" s="52"/>
      <c r="M53" s="52"/>
      <c r="N53" s="15"/>
      <c r="O53" s="25"/>
    </row>
    <row r="54" spans="1:16" s="132" customFormat="1" ht="12.75" customHeight="1" x14ac:dyDescent="0.2">
      <c r="B54" s="133" t="s">
        <v>20</v>
      </c>
      <c r="C54" s="134"/>
      <c r="D54" s="134"/>
      <c r="E54" s="134"/>
      <c r="F54" s="134"/>
      <c r="G54" s="78"/>
      <c r="H54" s="504"/>
      <c r="I54" s="78"/>
      <c r="J54" s="78"/>
      <c r="K54" s="78"/>
      <c r="L54" s="78"/>
      <c r="M54" s="78"/>
      <c r="N54" s="83">
        <f>N17+N24+N52</f>
        <v>0</v>
      </c>
      <c r="O54" s="77" t="e">
        <f>N54/N64</f>
        <v>#DIV/0!</v>
      </c>
    </row>
    <row r="55" spans="1:16" ht="12.75" customHeight="1" x14ac:dyDescent="0.2">
      <c r="B55" s="130"/>
      <c r="G55" s="52"/>
      <c r="H55" s="501"/>
      <c r="I55" s="52"/>
      <c r="J55" s="52"/>
      <c r="K55" s="52"/>
      <c r="L55" s="52"/>
      <c r="M55" s="52"/>
      <c r="N55" s="15"/>
      <c r="O55" s="25"/>
    </row>
    <row r="56" spans="1:16" ht="12.75" customHeight="1" x14ac:dyDescent="0.2">
      <c r="A56" s="129" t="s">
        <v>857</v>
      </c>
      <c r="B56" s="88" t="s">
        <v>858</v>
      </c>
      <c r="H56" s="505"/>
      <c r="O56" s="61"/>
    </row>
    <row r="57" spans="1:16" ht="12.75" customHeight="1" x14ac:dyDescent="0.2">
      <c r="A57" s="129" t="s">
        <v>859</v>
      </c>
      <c r="B57" s="88" t="s">
        <v>860</v>
      </c>
      <c r="C57" s="88"/>
      <c r="D57" s="88"/>
      <c r="E57" s="88"/>
      <c r="F57" s="88"/>
      <c r="H57" s="505"/>
      <c r="O57" s="61"/>
    </row>
    <row r="58" spans="1:16" ht="12.75" customHeight="1" x14ac:dyDescent="0.2">
      <c r="A58" s="129" t="s">
        <v>861</v>
      </c>
      <c r="B58" s="843" t="s">
        <v>862</v>
      </c>
      <c r="C58" s="843"/>
      <c r="D58" s="843"/>
      <c r="E58" s="843"/>
      <c r="F58" s="843"/>
      <c r="G58" s="97" t="s">
        <v>24</v>
      </c>
      <c r="H58" s="502">
        <v>0</v>
      </c>
      <c r="I58" s="72">
        <f>VLOOKUP(A58,'[1]TAB OGU JUN18'!$A:$G,6,"falso")</f>
        <v>104.14</v>
      </c>
      <c r="J58" s="72">
        <f>VLOOKUP(A58,'[1]TAB OGU JUN18'!$A:$G,4,"falso")</f>
        <v>0</v>
      </c>
      <c r="K58" s="15"/>
      <c r="L58" s="72">
        <f>VLOOKUP(A58,'[1]TAB OGU JUN18'!$A:$G,5,"falso")</f>
        <v>104.14</v>
      </c>
      <c r="M58" s="15">
        <f>H58*L58</f>
        <v>0</v>
      </c>
      <c r="N58" s="15">
        <f>H58*I58</f>
        <v>0</v>
      </c>
      <c r="O58" s="25" t="e">
        <f>N58/$N$60</f>
        <v>#DIV/0!</v>
      </c>
    </row>
    <row r="59" spans="1:16" ht="12.75" customHeight="1" x14ac:dyDescent="0.2">
      <c r="B59" s="130"/>
      <c r="G59" s="52"/>
      <c r="H59" s="501"/>
      <c r="I59" s="52"/>
      <c r="J59" s="52"/>
      <c r="K59" s="52"/>
      <c r="L59" s="52"/>
      <c r="M59" s="52"/>
      <c r="N59" s="15"/>
      <c r="O59" s="25"/>
    </row>
    <row r="60" spans="1:16" ht="12.75" customHeight="1" x14ac:dyDescent="0.2">
      <c r="B60" s="130" t="s">
        <v>18</v>
      </c>
      <c r="C60" s="131"/>
      <c r="D60" s="131"/>
      <c r="E60" s="131"/>
      <c r="F60" s="131"/>
      <c r="G60" s="53"/>
      <c r="H60" s="503"/>
      <c r="I60" s="53"/>
      <c r="J60" s="53"/>
      <c r="K60" s="53"/>
      <c r="L60" s="53"/>
      <c r="M60" s="53"/>
      <c r="N60" s="15">
        <f>N58</f>
        <v>0</v>
      </c>
      <c r="O60" s="25" t="e">
        <f>N60/N62</f>
        <v>#DIV/0!</v>
      </c>
    </row>
    <row r="61" spans="1:16" ht="12.75" customHeight="1" x14ac:dyDescent="0.2">
      <c r="B61" s="130"/>
      <c r="G61" s="52"/>
      <c r="H61" s="501"/>
      <c r="I61" s="52"/>
      <c r="J61" s="52"/>
      <c r="K61" s="52"/>
      <c r="L61" s="52"/>
      <c r="M61" s="52"/>
      <c r="N61" s="15"/>
      <c r="O61" s="25"/>
    </row>
    <row r="62" spans="1:16" s="132" customFormat="1" ht="12.75" customHeight="1" x14ac:dyDescent="0.2">
      <c r="B62" s="133" t="s">
        <v>20</v>
      </c>
      <c r="C62" s="134"/>
      <c r="D62" s="134"/>
      <c r="E62" s="134"/>
      <c r="F62" s="134"/>
      <c r="G62" s="78"/>
      <c r="H62" s="455"/>
      <c r="I62" s="78"/>
      <c r="J62" s="78"/>
      <c r="K62" s="78"/>
      <c r="L62" s="78"/>
      <c r="M62" s="78"/>
      <c r="N62" s="83">
        <f>N60</f>
        <v>0</v>
      </c>
      <c r="O62" s="77" t="e">
        <f>N62/N64</f>
        <v>#DIV/0!</v>
      </c>
    </row>
    <row r="63" spans="1:16" ht="8.25" customHeight="1" x14ac:dyDescent="0.2">
      <c r="A63" s="98"/>
      <c r="B63" s="88"/>
      <c r="G63" s="97"/>
      <c r="H63" s="15"/>
      <c r="I63" s="15"/>
      <c r="J63" s="15"/>
      <c r="K63" s="15"/>
      <c r="L63" s="15"/>
      <c r="M63" s="15"/>
      <c r="N63" s="15"/>
      <c r="O63" s="25"/>
    </row>
    <row r="64" spans="1:16" ht="12.75" customHeight="1" x14ac:dyDescent="0.2">
      <c r="A64" s="146"/>
      <c r="B64" s="147" t="s">
        <v>30</v>
      </c>
      <c r="C64" s="146"/>
      <c r="D64" s="146"/>
      <c r="E64" s="146"/>
      <c r="F64" s="146"/>
      <c r="G64" s="146"/>
      <c r="H64" s="148"/>
      <c r="I64" s="146"/>
      <c r="J64" s="146"/>
      <c r="K64" s="207"/>
      <c r="L64" s="460"/>
      <c r="M64" s="207">
        <f>SUM(M13:M63)</f>
        <v>0</v>
      </c>
      <c r="N64" s="276">
        <f>N62+N54</f>
        <v>0</v>
      </c>
      <c r="O64" s="146"/>
      <c r="P64" s="149"/>
    </row>
    <row r="65" spans="1:16" ht="8.25" customHeight="1" x14ac:dyDescent="0.2">
      <c r="A65" s="98"/>
      <c r="B65" s="88"/>
      <c r="G65" s="97"/>
      <c r="H65" s="15"/>
      <c r="I65" s="15"/>
      <c r="J65" s="15"/>
      <c r="K65" s="15"/>
      <c r="L65" s="15"/>
      <c r="M65" s="15"/>
      <c r="N65" s="15"/>
      <c r="O65" s="25"/>
    </row>
    <row r="66" spans="1:16" ht="12.75" customHeight="1" x14ac:dyDescent="0.2">
      <c r="A66" s="146"/>
      <c r="B66" s="147" t="s">
        <v>265</v>
      </c>
      <c r="C66" s="146"/>
      <c r="D66" s="146"/>
      <c r="E66" s="146"/>
      <c r="F66" s="146"/>
      <c r="G66" s="146"/>
      <c r="H66" s="148"/>
      <c r="I66" s="148"/>
      <c r="J66" s="148"/>
      <c r="K66" s="274"/>
      <c r="L66" s="274"/>
      <c r="M66" s="275">
        <f>M64+(M64*O7)</f>
        <v>0</v>
      </c>
      <c r="N66" s="276">
        <f>K66+M66</f>
        <v>0</v>
      </c>
      <c r="O66" s="29">
        <f>N66/RESUMO!H95</f>
        <v>0</v>
      </c>
      <c r="P66" s="149"/>
    </row>
    <row r="71" spans="1:16" s="150" customFormat="1" ht="12.75" customHeight="1" x14ac:dyDescent="0.2">
      <c r="A71" s="51"/>
      <c r="B71" s="51"/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</row>
    <row r="72" spans="1:16" s="150" customFormat="1" ht="12.75" customHeight="1" x14ac:dyDescent="0.2">
      <c r="A72" s="51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</row>
  </sheetData>
  <mergeCells count="4">
    <mergeCell ref="A2:O2"/>
    <mergeCell ref="N4:O4"/>
    <mergeCell ref="A5:B6"/>
    <mergeCell ref="B58:F58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1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legacyDrawingHF r:id="rId2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>
    <tabColor theme="6" tint="0.39997558519241921"/>
    <pageSetUpPr fitToPage="1"/>
  </sheetPr>
  <dimension ref="A1:R99"/>
  <sheetViews>
    <sheetView view="pageBreakPreview" zoomScale="90" zoomScaleNormal="90" zoomScaleSheetLayoutView="90" workbookViewId="0">
      <selection activeCell="R76" sqref="R76"/>
    </sheetView>
  </sheetViews>
  <sheetFormatPr defaultColWidth="11.42578125" defaultRowHeight="11.25" customHeight="1" x14ac:dyDescent="0.2"/>
  <cols>
    <col min="1" max="5" width="11.42578125" style="51"/>
    <col min="6" max="6" width="28.5703125" style="51" customWidth="1"/>
    <col min="7" max="9" width="11.42578125" style="51" customWidth="1"/>
    <col min="10" max="10" width="6" style="51" hidden="1" customWidth="1"/>
    <col min="11" max="11" width="14.28515625" style="51" customWidth="1"/>
    <col min="12" max="12" width="5" style="51" hidden="1" customWidth="1"/>
    <col min="13" max="13" width="14.28515625" style="51" customWidth="1"/>
    <col min="14" max="14" width="17.140625" style="51" customWidth="1"/>
    <col min="15" max="15" width="11.42578125" style="51" customWidth="1"/>
    <col min="16" max="16" width="0" style="51" hidden="1" customWidth="1"/>
    <col min="17" max="16384" width="11.42578125" style="51"/>
  </cols>
  <sheetData>
    <row r="1" spans="1:15" ht="6.75" customHeight="1" x14ac:dyDescent="0.2"/>
    <row r="2" spans="1:15" ht="11.25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5" ht="6.7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</row>
    <row r="4" spans="1:15" ht="11.25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5" ht="11.25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5" ht="11.25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5" ht="11.25" customHeight="1" x14ac:dyDescent="0.2">
      <c r="A7" s="697"/>
      <c r="B7" s="697"/>
      <c r="C7" s="260" t="s">
        <v>6</v>
      </c>
      <c r="D7" s="263" t="str">
        <f>RESUMO!A84</f>
        <v>U.C. : 14</v>
      </c>
      <c r="E7" s="258"/>
      <c r="F7" s="258"/>
      <c r="G7" s="260" t="s">
        <v>9</v>
      </c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5" ht="11.25" customHeight="1" thickBot="1" x14ac:dyDescent="0.25">
      <c r="A8" s="124"/>
      <c r="B8" s="125"/>
      <c r="C8" s="266" t="s">
        <v>8</v>
      </c>
      <c r="D8" s="267" t="str">
        <f>RESUMO!B84</f>
        <v>ESTAÇÃO ELEVATÓRIA DE ESGOTO - EEE02</v>
      </c>
      <c r="E8" s="268"/>
      <c r="F8" s="268"/>
      <c r="G8" s="266"/>
      <c r="H8" s="123"/>
      <c r="I8" s="278"/>
      <c r="J8" s="278"/>
      <c r="K8" s="278"/>
      <c r="L8" s="278"/>
      <c r="M8" s="278" t="s">
        <v>774</v>
      </c>
      <c r="N8" s="271"/>
      <c r="O8" s="268"/>
    </row>
    <row r="9" spans="1:15" ht="11.25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5" ht="6.75" customHeight="1" x14ac:dyDescent="0.2">
      <c r="O10" s="61"/>
    </row>
    <row r="11" spans="1:15" ht="11.25" customHeight="1" x14ac:dyDescent="0.2">
      <c r="A11" s="93">
        <f>RESUMO!A81</f>
        <v>7</v>
      </c>
      <c r="B11" s="93" t="str">
        <f>RESUMO!B81</f>
        <v>LINHA DE RECALQUE - SERVIÇOS</v>
      </c>
      <c r="O11" s="61"/>
    </row>
    <row r="12" spans="1:15" ht="11.25" customHeight="1" x14ac:dyDescent="0.2">
      <c r="A12" s="129" t="s">
        <v>48</v>
      </c>
      <c r="B12" s="88" t="s">
        <v>16</v>
      </c>
      <c r="H12" s="505"/>
      <c r="O12" s="61"/>
    </row>
    <row r="13" spans="1:15" ht="11.25" customHeight="1" x14ac:dyDescent="0.2">
      <c r="A13" s="98" t="s">
        <v>79</v>
      </c>
      <c r="B13" s="88" t="s">
        <v>80</v>
      </c>
      <c r="G13" s="52"/>
      <c r="H13" s="501"/>
      <c r="I13" s="52"/>
      <c r="J13" s="52"/>
      <c r="K13" s="52"/>
      <c r="L13" s="52"/>
      <c r="M13" s="52"/>
      <c r="N13" s="52"/>
      <c r="O13" s="19"/>
    </row>
    <row r="14" spans="1:15" ht="11.25" customHeight="1" x14ac:dyDescent="0.2">
      <c r="A14" s="98" t="s">
        <v>209</v>
      </c>
      <c r="B14" s="88" t="s">
        <v>210</v>
      </c>
      <c r="G14" s="97" t="s">
        <v>17</v>
      </c>
      <c r="H14" s="502">
        <f>'39 (2)'!H14</f>
        <v>0</v>
      </c>
      <c r="I14" s="72">
        <f>VLOOKUP(A14,'[1]TAB OGU JUN18'!$A:$G,6,"falso")</f>
        <v>1.2</v>
      </c>
      <c r="J14" s="72">
        <f>VLOOKUP(A14,'[1]TAB OGU JUN18'!$A:$G,4,"falso")</f>
        <v>0.82</v>
      </c>
      <c r="K14" s="15">
        <f>H14*J14</f>
        <v>0</v>
      </c>
      <c r="L14" s="72">
        <f>VLOOKUP(A14,'[1]TAB OGU JUN18'!$A:$G,5,"falso")</f>
        <v>0.38</v>
      </c>
      <c r="M14" s="15">
        <f>H14*L14</f>
        <v>0</v>
      </c>
      <c r="N14" s="15">
        <f>H14*I14</f>
        <v>0</v>
      </c>
      <c r="O14" s="25" t="e">
        <f>N14/N17</f>
        <v>#DIV/0!</v>
      </c>
    </row>
    <row r="15" spans="1:15" ht="11.25" customHeight="1" x14ac:dyDescent="0.2">
      <c r="A15" s="98"/>
      <c r="B15" s="88" t="s">
        <v>211</v>
      </c>
      <c r="G15" s="97"/>
      <c r="H15" s="502"/>
      <c r="I15" s="72"/>
      <c r="J15" s="72"/>
      <c r="K15" s="15"/>
      <c r="L15" s="72"/>
      <c r="M15" s="15"/>
      <c r="N15" s="15"/>
      <c r="O15" s="25"/>
    </row>
    <row r="16" spans="1:15" ht="11.25" customHeight="1" x14ac:dyDescent="0.2">
      <c r="G16" s="52"/>
      <c r="H16" s="501"/>
      <c r="I16" s="52"/>
      <c r="J16" s="52"/>
      <c r="K16" s="52"/>
      <c r="L16" s="52"/>
      <c r="M16" s="52"/>
      <c r="N16" s="52"/>
      <c r="O16" s="19"/>
    </row>
    <row r="17" spans="1:18" ht="11.25" customHeight="1" x14ac:dyDescent="0.2">
      <c r="B17" s="130" t="s">
        <v>18</v>
      </c>
      <c r="C17" s="131"/>
      <c r="D17" s="131"/>
      <c r="E17" s="131"/>
      <c r="F17" s="131"/>
      <c r="G17" s="53"/>
      <c r="H17" s="503"/>
      <c r="I17" s="53"/>
      <c r="J17" s="53"/>
      <c r="K17" s="53"/>
      <c r="L17" s="53"/>
      <c r="M17" s="53"/>
      <c r="N17" s="15">
        <f>N14</f>
        <v>0</v>
      </c>
      <c r="O17" s="25" t="e">
        <f>N17/N24</f>
        <v>#DIV/0!</v>
      </c>
    </row>
    <row r="18" spans="1:18" ht="11.25" customHeight="1" x14ac:dyDescent="0.2">
      <c r="B18" s="130"/>
      <c r="G18" s="52"/>
      <c r="H18" s="501"/>
      <c r="I18" s="52"/>
      <c r="J18" s="52"/>
      <c r="K18" s="52"/>
      <c r="L18" s="52"/>
      <c r="M18" s="52"/>
      <c r="N18" s="15"/>
      <c r="O18" s="25"/>
    </row>
    <row r="19" spans="1:18" ht="12" customHeight="1" x14ac:dyDescent="0.2">
      <c r="A19" s="98" t="s">
        <v>779</v>
      </c>
      <c r="B19" s="88" t="s">
        <v>780</v>
      </c>
      <c r="G19" s="52"/>
      <c r="H19" s="506"/>
      <c r="I19" s="324"/>
      <c r="J19" s="313"/>
      <c r="K19" s="313"/>
      <c r="L19" s="313"/>
      <c r="M19" s="313"/>
      <c r="N19" s="313"/>
      <c r="O19" s="19"/>
      <c r="Q19" s="311"/>
    </row>
    <row r="20" spans="1:18" ht="12" customHeight="1" x14ac:dyDescent="0.2">
      <c r="A20" s="98" t="s">
        <v>782</v>
      </c>
      <c r="B20" s="88" t="s">
        <v>781</v>
      </c>
      <c r="G20" s="97" t="s">
        <v>17</v>
      </c>
      <c r="H20" s="495">
        <f>H14</f>
        <v>0</v>
      </c>
      <c r="I20" s="323">
        <f>VLOOKUP(A20,'[1]TAB OGU JUN18'!$A:$G,6,"falso")</f>
        <v>0.4</v>
      </c>
      <c r="J20" s="323">
        <f>VLOOKUP(A20,'[1]TAB OGU JUN18'!$A:$G,4,"falso")</f>
        <v>0.4</v>
      </c>
      <c r="K20" s="308">
        <f>H20*J20</f>
        <v>0</v>
      </c>
      <c r="L20" s="323">
        <f>VLOOKUP(A20,'[1]TAB OGU JUN18'!$A:$G,5,"falso")</f>
        <v>0</v>
      </c>
      <c r="M20" s="308"/>
      <c r="N20" s="308">
        <f>H20*I20</f>
        <v>0</v>
      </c>
      <c r="O20" s="25" t="e">
        <f>N20/N22</f>
        <v>#DIV/0!</v>
      </c>
      <c r="Q20" s="311"/>
      <c r="R20" s="61" t="s">
        <v>1409</v>
      </c>
    </row>
    <row r="21" spans="1:18" ht="12" customHeight="1" x14ac:dyDescent="0.2">
      <c r="G21" s="52"/>
      <c r="H21" s="506"/>
      <c r="I21" s="324"/>
      <c r="J21" s="313"/>
      <c r="K21" s="313"/>
      <c r="L21" s="313"/>
      <c r="M21" s="313"/>
      <c r="N21" s="313"/>
      <c r="O21" s="19"/>
      <c r="Q21" s="311"/>
    </row>
    <row r="22" spans="1:18" ht="12" customHeight="1" x14ac:dyDescent="0.2">
      <c r="B22" s="130" t="s">
        <v>18</v>
      </c>
      <c r="C22" s="131"/>
      <c r="D22" s="131"/>
      <c r="E22" s="131"/>
      <c r="F22" s="131"/>
      <c r="G22" s="53"/>
      <c r="H22" s="507"/>
      <c r="I22" s="325"/>
      <c r="J22" s="326"/>
      <c r="K22" s="326"/>
      <c r="L22" s="326"/>
      <c r="M22" s="326"/>
      <c r="N22" s="308">
        <f>N20</f>
        <v>0</v>
      </c>
      <c r="O22" s="25" t="e">
        <f>N22/N24</f>
        <v>#DIV/0!</v>
      </c>
      <c r="Q22" s="311"/>
    </row>
    <row r="23" spans="1:18" ht="12" customHeight="1" x14ac:dyDescent="0.2">
      <c r="B23" s="130"/>
      <c r="G23" s="52"/>
      <c r="H23" s="506"/>
      <c r="I23" s="324"/>
      <c r="J23" s="313"/>
      <c r="K23" s="313"/>
      <c r="L23" s="313"/>
      <c r="M23" s="313"/>
      <c r="N23" s="308"/>
      <c r="O23" s="25"/>
      <c r="Q23" s="311"/>
    </row>
    <row r="24" spans="1:18" s="132" customFormat="1" ht="11.25" customHeight="1" x14ac:dyDescent="0.2">
      <c r="B24" s="133" t="s">
        <v>20</v>
      </c>
      <c r="C24" s="134"/>
      <c r="D24" s="134"/>
      <c r="E24" s="134"/>
      <c r="F24" s="134"/>
      <c r="G24" s="78"/>
      <c r="H24" s="504"/>
      <c r="I24" s="78"/>
      <c r="J24" s="78"/>
      <c r="K24" s="78"/>
      <c r="L24" s="78"/>
      <c r="M24" s="78"/>
      <c r="N24" s="83">
        <f>N17+N22</f>
        <v>0</v>
      </c>
      <c r="O24" s="77" t="e">
        <f>N24/$N$84</f>
        <v>#DIV/0!</v>
      </c>
    </row>
    <row r="25" spans="1:18" ht="11.25" customHeight="1" x14ac:dyDescent="0.2">
      <c r="G25" s="52"/>
      <c r="H25" s="501"/>
      <c r="I25" s="52"/>
      <c r="J25" s="52"/>
      <c r="K25" s="52"/>
      <c r="L25" s="52"/>
      <c r="M25" s="52"/>
      <c r="N25" s="52"/>
      <c r="O25" s="19"/>
    </row>
    <row r="26" spans="1:18" ht="11.25" customHeight="1" x14ac:dyDescent="0.2">
      <c r="A26" s="129" t="s">
        <v>93</v>
      </c>
      <c r="B26" s="88" t="s">
        <v>96</v>
      </c>
      <c r="H26" s="505"/>
      <c r="O26" s="61"/>
    </row>
    <row r="27" spans="1:18" ht="11.25" customHeight="1" x14ac:dyDescent="0.2">
      <c r="A27" s="129" t="s">
        <v>810</v>
      </c>
      <c r="B27" s="88" t="s">
        <v>811</v>
      </c>
      <c r="H27" s="505"/>
      <c r="O27" s="61"/>
    </row>
    <row r="28" spans="1:18" ht="11.25" customHeight="1" x14ac:dyDescent="0.2">
      <c r="A28" s="129" t="s">
        <v>295</v>
      </c>
      <c r="B28" s="88" t="s">
        <v>1353</v>
      </c>
      <c r="G28" s="97" t="s">
        <v>32</v>
      </c>
      <c r="H28" s="502">
        <f>H14*0.36*1</f>
        <v>0</v>
      </c>
      <c r="I28" s="72">
        <f>VLOOKUP(A28,'[1]TAB OGU JUN18'!$A:$G,6,"falso")</f>
        <v>7.1</v>
      </c>
      <c r="J28" s="72">
        <f>VLOOKUP(A28,'[1]TAB OGU JUN18'!$A:$G,4,"falso")</f>
        <v>7.1</v>
      </c>
      <c r="K28" s="15">
        <f>H28*J28</f>
        <v>0</v>
      </c>
      <c r="L28" s="72">
        <f>VLOOKUP(A28,'[1]TAB OGU JUN18'!$A:$G,5,"falso")</f>
        <v>0</v>
      </c>
      <c r="M28" s="15"/>
      <c r="N28" s="15">
        <f>H28*I28</f>
        <v>0</v>
      </c>
      <c r="O28" s="25" t="e">
        <f>N28/N30</f>
        <v>#DIV/0!</v>
      </c>
    </row>
    <row r="29" spans="1:18" ht="11.25" customHeight="1" x14ac:dyDescent="0.2">
      <c r="G29" s="52"/>
      <c r="H29" s="501"/>
      <c r="I29" s="52"/>
      <c r="J29" s="52"/>
      <c r="K29" s="52"/>
      <c r="L29" s="52"/>
      <c r="M29" s="52"/>
      <c r="N29" s="456"/>
      <c r="O29" s="25"/>
    </row>
    <row r="30" spans="1:18" ht="11.25" customHeight="1" x14ac:dyDescent="0.2">
      <c r="B30" s="130" t="s">
        <v>18</v>
      </c>
      <c r="C30" s="131"/>
      <c r="D30" s="131"/>
      <c r="E30" s="131"/>
      <c r="F30" s="131"/>
      <c r="G30" s="53"/>
      <c r="H30" s="503"/>
      <c r="I30" s="53"/>
      <c r="J30" s="53"/>
      <c r="K30" s="53"/>
      <c r="L30" s="53"/>
      <c r="M30" s="53"/>
      <c r="N30" s="15">
        <f>SUM(N28:N28)</f>
        <v>0</v>
      </c>
      <c r="O30" s="25" t="e">
        <f>N30/N52</f>
        <v>#DIV/0!</v>
      </c>
    </row>
    <row r="31" spans="1:18" ht="11.25" customHeight="1" x14ac:dyDescent="0.2">
      <c r="B31" s="130"/>
      <c r="G31" s="52"/>
      <c r="H31" s="501"/>
      <c r="I31" s="52"/>
      <c r="N31" s="15"/>
      <c r="O31" s="25"/>
    </row>
    <row r="32" spans="1:18" ht="11.25" customHeight="1" x14ac:dyDescent="0.2">
      <c r="A32" s="98" t="s">
        <v>101</v>
      </c>
      <c r="B32" s="88" t="s">
        <v>21</v>
      </c>
      <c r="G32" s="97"/>
      <c r="H32" s="502"/>
      <c r="I32" s="15"/>
      <c r="J32" s="15"/>
      <c r="K32" s="15"/>
      <c r="L32" s="15"/>
      <c r="M32" s="15"/>
      <c r="N32" s="15"/>
      <c r="O32" s="25"/>
    </row>
    <row r="33" spans="1:15" ht="11.25" customHeight="1" x14ac:dyDescent="0.2">
      <c r="A33" s="98" t="s">
        <v>103</v>
      </c>
      <c r="B33" s="88" t="s">
        <v>105</v>
      </c>
      <c r="G33" s="97" t="s">
        <v>32</v>
      </c>
      <c r="H33" s="502">
        <f>H28-(H14*((PI()*0.06^2)/4))</f>
        <v>0</v>
      </c>
      <c r="I33" s="72">
        <f>VLOOKUP(A33,'[1]TAB OGU JUN18'!$A:$G,6,"falso")</f>
        <v>1.32</v>
      </c>
      <c r="J33" s="72">
        <f>VLOOKUP(A33,'[1]TAB OGU JUN18'!$A:$G,4,"falso")</f>
        <v>1.32</v>
      </c>
      <c r="K33" s="15">
        <f>H33*J33</f>
        <v>0</v>
      </c>
      <c r="L33" s="72">
        <f>VLOOKUP(A33,'[1]TAB OGU JUN18'!$A:$G,5,"falso")</f>
        <v>0</v>
      </c>
      <c r="M33" s="15"/>
      <c r="N33" s="15">
        <f>H33*I33</f>
        <v>0</v>
      </c>
      <c r="O33" s="25" t="e">
        <f>N33/N35</f>
        <v>#DIV/0!</v>
      </c>
    </row>
    <row r="34" spans="1:15" ht="11.25" customHeight="1" x14ac:dyDescent="0.2">
      <c r="B34" s="130"/>
      <c r="G34" s="52"/>
      <c r="H34" s="501"/>
      <c r="I34" s="52"/>
      <c r="J34" s="52"/>
      <c r="K34" s="52"/>
      <c r="L34" s="52"/>
      <c r="M34" s="52"/>
      <c r="N34" s="15"/>
      <c r="O34" s="25"/>
    </row>
    <row r="35" spans="1:15" ht="11.25" customHeight="1" x14ac:dyDescent="0.2">
      <c r="B35" s="130" t="s">
        <v>18</v>
      </c>
      <c r="C35" s="131"/>
      <c r="D35" s="131"/>
      <c r="E35" s="131"/>
      <c r="F35" s="131"/>
      <c r="G35" s="53"/>
      <c r="H35" s="503"/>
      <c r="I35" s="53"/>
      <c r="J35" s="53"/>
      <c r="K35" s="53"/>
      <c r="L35" s="53"/>
      <c r="M35" s="53"/>
      <c r="N35" s="15">
        <f>N33</f>
        <v>0</v>
      </c>
      <c r="O35" s="25" t="e">
        <f>N35/N52</f>
        <v>#DIV/0!</v>
      </c>
    </row>
    <row r="36" spans="1:15" ht="11.25" customHeight="1" x14ac:dyDescent="0.2">
      <c r="B36" s="130"/>
      <c r="G36" s="52"/>
      <c r="H36" s="501"/>
      <c r="I36" s="52"/>
      <c r="J36" s="52"/>
      <c r="K36" s="52"/>
      <c r="L36" s="52"/>
      <c r="M36" s="52"/>
      <c r="N36" s="15"/>
      <c r="O36" s="25"/>
    </row>
    <row r="37" spans="1:15" ht="11.25" customHeight="1" x14ac:dyDescent="0.2">
      <c r="A37" s="98" t="s">
        <v>106</v>
      </c>
      <c r="B37" s="88" t="s">
        <v>109</v>
      </c>
      <c r="G37" s="97"/>
      <c r="H37" s="502"/>
      <c r="I37" s="15"/>
      <c r="J37" s="15"/>
      <c r="K37" s="15"/>
      <c r="L37" s="15"/>
      <c r="M37" s="15"/>
      <c r="N37" s="15"/>
      <c r="O37" s="25"/>
    </row>
    <row r="38" spans="1:15" ht="11.25" customHeight="1" x14ac:dyDescent="0.2">
      <c r="A38" s="98" t="s">
        <v>108</v>
      </c>
      <c r="B38" s="88" t="s">
        <v>105</v>
      </c>
      <c r="G38" s="97" t="s">
        <v>32</v>
      </c>
      <c r="H38" s="502">
        <f>H33</f>
        <v>0</v>
      </c>
      <c r="I38" s="72">
        <f>VLOOKUP(A38,'[1]TAB OGU JUN18'!$A:$G,6,"falso")</f>
        <v>4.05</v>
      </c>
      <c r="J38" s="72">
        <f>VLOOKUP(A38,'[1]TAB OGU JUN18'!$A:$G,4,"falso")</f>
        <v>4.05</v>
      </c>
      <c r="K38" s="15">
        <f>H38*J38</f>
        <v>0</v>
      </c>
      <c r="L38" s="72">
        <f>VLOOKUP(A38,'[1]TAB OGU JUN18'!$A:$G,5,"falso")</f>
        <v>0</v>
      </c>
      <c r="M38" s="15"/>
      <c r="N38" s="15">
        <f>H38*I38</f>
        <v>0</v>
      </c>
      <c r="O38" s="25" t="e">
        <f>N38/N40</f>
        <v>#DIV/0!</v>
      </c>
    </row>
    <row r="39" spans="1:15" ht="11.25" customHeight="1" x14ac:dyDescent="0.2">
      <c r="B39" s="130"/>
      <c r="G39" s="52"/>
      <c r="H39" s="501"/>
      <c r="I39" s="52"/>
      <c r="J39" s="52"/>
      <c r="K39" s="52"/>
      <c r="L39" s="52"/>
      <c r="M39" s="52"/>
      <c r="N39" s="15"/>
      <c r="O39" s="25"/>
    </row>
    <row r="40" spans="1:15" ht="11.25" customHeight="1" x14ac:dyDescent="0.2">
      <c r="B40" s="130" t="s">
        <v>18</v>
      </c>
      <c r="C40" s="131"/>
      <c r="D40" s="131"/>
      <c r="E40" s="131"/>
      <c r="F40" s="131"/>
      <c r="G40" s="53"/>
      <c r="H40" s="503"/>
      <c r="I40" s="53"/>
      <c r="J40" s="53"/>
      <c r="K40" s="53"/>
      <c r="L40" s="53"/>
      <c r="M40" s="53"/>
      <c r="N40" s="15">
        <f>N38</f>
        <v>0</v>
      </c>
      <c r="O40" s="25" t="e">
        <f>N40/N52</f>
        <v>#DIV/0!</v>
      </c>
    </row>
    <row r="41" spans="1:15" ht="11.25" customHeight="1" x14ac:dyDescent="0.2">
      <c r="B41" s="130"/>
      <c r="G41" s="52"/>
      <c r="H41" s="501"/>
      <c r="I41" s="52"/>
      <c r="J41" s="52"/>
      <c r="K41" s="52"/>
      <c r="L41" s="52"/>
      <c r="M41" s="52"/>
      <c r="N41" s="15"/>
      <c r="O41" s="25"/>
    </row>
    <row r="42" spans="1:15" ht="11.25" customHeight="1" x14ac:dyDescent="0.2">
      <c r="A42" s="98" t="s">
        <v>110</v>
      </c>
      <c r="B42" s="88" t="s">
        <v>112</v>
      </c>
      <c r="G42" s="52"/>
      <c r="H42" s="501"/>
      <c r="I42" s="52"/>
      <c r="J42" s="52"/>
      <c r="K42" s="52"/>
      <c r="L42" s="52"/>
      <c r="M42" s="52"/>
      <c r="N42" s="52"/>
      <c r="O42" s="19"/>
    </row>
    <row r="43" spans="1:15" ht="11.25" customHeight="1" x14ac:dyDescent="0.2">
      <c r="A43" s="98" t="s">
        <v>111</v>
      </c>
      <c r="B43" s="88" t="s">
        <v>113</v>
      </c>
      <c r="G43" s="97" t="s">
        <v>32</v>
      </c>
      <c r="H43" s="502">
        <f>(H28-H33)</f>
        <v>0</v>
      </c>
      <c r="I43" s="72">
        <f>VLOOKUP(A43,'[1]TAB OGU JUN18'!$A:$G,6,"falso")</f>
        <v>1.85</v>
      </c>
      <c r="J43" s="72">
        <f>VLOOKUP(A43,'[1]TAB OGU JUN18'!$A:$G,4,"falso")</f>
        <v>1.85</v>
      </c>
      <c r="K43" s="15">
        <f>H43*J43</f>
        <v>0</v>
      </c>
      <c r="L43" s="72">
        <f>VLOOKUP(A43,'[1]TAB OGU JUN18'!$A:$G,5,"falso")</f>
        <v>0</v>
      </c>
      <c r="M43" s="15"/>
      <c r="N43" s="15">
        <f>H43*I43</f>
        <v>0</v>
      </c>
      <c r="O43" s="25" t="e">
        <f>N43/N45</f>
        <v>#DIV/0!</v>
      </c>
    </row>
    <row r="44" spans="1:15" ht="11.25" customHeight="1" x14ac:dyDescent="0.2">
      <c r="G44" s="52"/>
      <c r="H44" s="501"/>
      <c r="I44" s="52"/>
      <c r="J44" s="52"/>
      <c r="K44" s="52"/>
      <c r="L44" s="52"/>
      <c r="M44" s="52"/>
      <c r="N44" s="52"/>
      <c r="O44" s="19"/>
    </row>
    <row r="45" spans="1:15" ht="11.25" customHeight="1" x14ac:dyDescent="0.2">
      <c r="B45" s="130" t="s">
        <v>18</v>
      </c>
      <c r="C45" s="131"/>
      <c r="D45" s="131"/>
      <c r="E45" s="131"/>
      <c r="F45" s="131"/>
      <c r="G45" s="53"/>
      <c r="H45" s="503"/>
      <c r="I45" s="53"/>
      <c r="J45" s="53"/>
      <c r="K45" s="53"/>
      <c r="L45" s="53"/>
      <c r="M45" s="53"/>
      <c r="N45" s="15">
        <f>N43</f>
        <v>0</v>
      </c>
      <c r="O45" s="25" t="e">
        <f>N45/N52</f>
        <v>#DIV/0!</v>
      </c>
    </row>
    <row r="46" spans="1:15" ht="11.25" customHeight="1" x14ac:dyDescent="0.2">
      <c r="B46" s="130"/>
      <c r="G46" s="52"/>
      <c r="H46" s="501"/>
      <c r="I46" s="52"/>
      <c r="J46" s="52"/>
      <c r="K46" s="52"/>
      <c r="L46" s="52"/>
      <c r="M46" s="52"/>
      <c r="N46" s="15"/>
      <c r="O46" s="25"/>
    </row>
    <row r="47" spans="1:15" ht="11.25" customHeight="1" x14ac:dyDescent="0.2">
      <c r="A47" s="98" t="s">
        <v>114</v>
      </c>
      <c r="B47" s="88" t="s">
        <v>799</v>
      </c>
      <c r="G47" s="52"/>
      <c r="H47" s="501"/>
      <c r="I47" s="52"/>
      <c r="J47" s="52"/>
      <c r="K47" s="52"/>
      <c r="L47" s="52"/>
      <c r="M47" s="52"/>
      <c r="N47" s="52"/>
      <c r="O47" s="19"/>
    </row>
    <row r="48" spans="1:15" ht="11.25" customHeight="1" x14ac:dyDescent="0.2">
      <c r="A48" s="98" t="s">
        <v>115</v>
      </c>
      <c r="B48" s="88" t="s">
        <v>116</v>
      </c>
      <c r="G48" s="97" t="s">
        <v>180</v>
      </c>
      <c r="H48" s="502">
        <f>H43*3</f>
        <v>0</v>
      </c>
      <c r="I48" s="72">
        <f>VLOOKUP(A48,'[1]TAB OGU JUN18'!$A:$G,6,"falso")</f>
        <v>1</v>
      </c>
      <c r="J48" s="72">
        <f>VLOOKUP(A48,'[1]TAB OGU JUN18'!$A:$G,4,"falso")</f>
        <v>1</v>
      </c>
      <c r="K48" s="15">
        <f>H48*J48</f>
        <v>0</v>
      </c>
      <c r="L48" s="72">
        <f>VLOOKUP(A48,'[1]TAB OGU JUN18'!$A:$G,5,"falso")</f>
        <v>0</v>
      </c>
      <c r="M48" s="15"/>
      <c r="N48" s="15">
        <f>H48*I48</f>
        <v>0</v>
      </c>
      <c r="O48" s="25" t="e">
        <f>N48/N50</f>
        <v>#DIV/0!</v>
      </c>
    </row>
    <row r="49" spans="1:15" ht="11.25" customHeight="1" x14ac:dyDescent="0.2">
      <c r="G49" s="52"/>
      <c r="H49" s="501"/>
      <c r="I49" s="52"/>
      <c r="J49" s="52"/>
      <c r="K49" s="52"/>
      <c r="L49" s="52"/>
      <c r="M49" s="52"/>
      <c r="N49" s="52"/>
      <c r="O49" s="19"/>
    </row>
    <row r="50" spans="1:15" ht="11.25" customHeight="1" x14ac:dyDescent="0.2">
      <c r="B50" s="130" t="s">
        <v>18</v>
      </c>
      <c r="C50" s="131"/>
      <c r="D50" s="131"/>
      <c r="E50" s="131"/>
      <c r="F50" s="131"/>
      <c r="G50" s="53"/>
      <c r="H50" s="503"/>
      <c r="I50" s="53"/>
      <c r="J50" s="53"/>
      <c r="K50" s="53"/>
      <c r="L50" s="53"/>
      <c r="M50" s="53"/>
      <c r="N50" s="15">
        <f>N48</f>
        <v>0</v>
      </c>
      <c r="O50" s="25" t="e">
        <f>N50/N52</f>
        <v>#DIV/0!</v>
      </c>
    </row>
    <row r="51" spans="1:15" ht="11.25" customHeight="1" x14ac:dyDescent="0.2">
      <c r="B51" s="130"/>
      <c r="G51" s="52"/>
      <c r="H51" s="501"/>
      <c r="I51" s="52"/>
      <c r="J51" s="52"/>
      <c r="K51" s="52"/>
      <c r="L51" s="52"/>
      <c r="M51" s="52"/>
      <c r="N51" s="15"/>
      <c r="O51" s="25"/>
    </row>
    <row r="52" spans="1:15" s="132" customFormat="1" ht="11.25" customHeight="1" x14ac:dyDescent="0.2">
      <c r="B52" s="133" t="s">
        <v>20</v>
      </c>
      <c r="C52" s="134"/>
      <c r="D52" s="134"/>
      <c r="E52" s="134"/>
      <c r="F52" s="134"/>
      <c r="G52" s="78"/>
      <c r="H52" s="504"/>
      <c r="I52" s="78"/>
      <c r="J52" s="78"/>
      <c r="K52" s="78"/>
      <c r="L52" s="78"/>
      <c r="M52" s="78"/>
      <c r="N52" s="83">
        <f>N50+N45+N40+N35+N30</f>
        <v>0</v>
      </c>
      <c r="O52" s="77" t="e">
        <f>N52/$N$84</f>
        <v>#DIV/0!</v>
      </c>
    </row>
    <row r="53" spans="1:15" ht="11.25" customHeight="1" x14ac:dyDescent="0.2">
      <c r="B53" s="130"/>
      <c r="G53" s="52"/>
      <c r="H53" s="501"/>
      <c r="I53" s="52"/>
      <c r="J53" s="52"/>
      <c r="K53" s="52"/>
      <c r="L53" s="52"/>
      <c r="M53" s="52"/>
      <c r="N53" s="15"/>
      <c r="O53" s="25"/>
    </row>
    <row r="54" spans="1:15" ht="11.25" customHeight="1" x14ac:dyDescent="0.2">
      <c r="A54" s="129" t="s">
        <v>124</v>
      </c>
      <c r="B54" s="88" t="s">
        <v>121</v>
      </c>
      <c r="H54" s="505"/>
      <c r="O54" s="61"/>
    </row>
    <row r="55" spans="1:15" ht="11.25" customHeight="1" x14ac:dyDescent="0.2">
      <c r="A55" s="129" t="s">
        <v>125</v>
      </c>
      <c r="B55" s="88" t="s">
        <v>122</v>
      </c>
      <c r="H55" s="505"/>
      <c r="O55" s="61"/>
    </row>
    <row r="56" spans="1:15" ht="11.25" customHeight="1" x14ac:dyDescent="0.2">
      <c r="A56" s="129" t="s">
        <v>126</v>
      </c>
      <c r="B56" s="88" t="s">
        <v>189</v>
      </c>
      <c r="G56" s="97" t="s">
        <v>123</v>
      </c>
      <c r="H56" s="502">
        <f>(H28*0.1*1000)/20000</f>
        <v>0</v>
      </c>
      <c r="I56" s="72">
        <f>VLOOKUP(A56,'[1]TAB OGU JUN18'!$A:$G,6,"falso")</f>
        <v>5.52</v>
      </c>
      <c r="J56" s="72">
        <f>VLOOKUP(A56,'[1]TAB OGU JUN18'!$A:$G,4,"falso")</f>
        <v>5.52</v>
      </c>
      <c r="K56" s="15">
        <f>H56*J56</f>
        <v>0</v>
      </c>
      <c r="L56" s="72">
        <f>VLOOKUP(A56,'[1]TAB OGU JUN18'!$A:$G,5,"falso")</f>
        <v>0</v>
      </c>
      <c r="M56" s="15"/>
      <c r="N56" s="15">
        <f>H56*I56</f>
        <v>0</v>
      </c>
      <c r="O56" s="25" t="e">
        <f>N56/N58</f>
        <v>#DIV/0!</v>
      </c>
    </row>
    <row r="57" spans="1:15" ht="11.25" customHeight="1" x14ac:dyDescent="0.2">
      <c r="B57" s="130"/>
      <c r="G57" s="52"/>
      <c r="H57" s="501"/>
      <c r="I57" s="52"/>
      <c r="J57" s="52"/>
      <c r="K57" s="52"/>
      <c r="L57" s="52"/>
      <c r="M57" s="52"/>
      <c r="N57" s="15"/>
      <c r="O57" s="25"/>
    </row>
    <row r="58" spans="1:15" ht="11.25" customHeight="1" x14ac:dyDescent="0.2">
      <c r="B58" s="130" t="s">
        <v>18</v>
      </c>
      <c r="C58" s="131"/>
      <c r="D58" s="131"/>
      <c r="E58" s="131"/>
      <c r="F58" s="131"/>
      <c r="G58" s="53"/>
      <c r="H58" s="503"/>
      <c r="I58" s="53"/>
      <c r="J58" s="53"/>
      <c r="K58" s="53"/>
      <c r="L58" s="53"/>
      <c r="M58" s="53"/>
      <c r="N58" s="15">
        <f>N56</f>
        <v>0</v>
      </c>
      <c r="O58" s="25" t="e">
        <f>N58/N60</f>
        <v>#DIV/0!</v>
      </c>
    </row>
    <row r="59" spans="1:15" ht="11.25" customHeight="1" x14ac:dyDescent="0.2">
      <c r="B59" s="130"/>
      <c r="G59" s="52"/>
      <c r="H59" s="501"/>
      <c r="I59" s="52"/>
      <c r="J59" s="52"/>
      <c r="K59" s="52"/>
      <c r="L59" s="52"/>
      <c r="M59" s="52"/>
      <c r="N59" s="15"/>
      <c r="O59" s="25"/>
    </row>
    <row r="60" spans="1:15" s="132" customFormat="1" ht="11.25" customHeight="1" x14ac:dyDescent="0.2">
      <c r="B60" s="133" t="s">
        <v>20</v>
      </c>
      <c r="C60" s="134"/>
      <c r="D60" s="134"/>
      <c r="E60" s="134"/>
      <c r="F60" s="134"/>
      <c r="G60" s="78"/>
      <c r="H60" s="504"/>
      <c r="I60" s="78"/>
      <c r="J60" s="78"/>
      <c r="K60" s="78"/>
      <c r="L60" s="78"/>
      <c r="M60" s="78"/>
      <c r="N60" s="83">
        <f>N58</f>
        <v>0</v>
      </c>
      <c r="O60" s="77" t="e">
        <f>N60/$N$84</f>
        <v>#DIV/0!</v>
      </c>
    </row>
    <row r="61" spans="1:15" ht="11.25" customHeight="1" x14ac:dyDescent="0.2">
      <c r="B61" s="130"/>
      <c r="G61" s="52"/>
      <c r="H61" s="501"/>
      <c r="I61" s="52"/>
      <c r="J61" s="52"/>
      <c r="K61" s="52"/>
      <c r="L61" s="52"/>
      <c r="M61" s="52"/>
      <c r="N61" s="15"/>
      <c r="O61" s="25"/>
    </row>
    <row r="62" spans="1:15" ht="11.25" customHeight="1" x14ac:dyDescent="0.2">
      <c r="A62" s="129" t="s">
        <v>127</v>
      </c>
      <c r="B62" s="88" t="s">
        <v>130</v>
      </c>
      <c r="H62" s="505"/>
      <c r="O62" s="61"/>
    </row>
    <row r="63" spans="1:15" ht="11.25" customHeight="1" x14ac:dyDescent="0.2">
      <c r="A63" s="129" t="s">
        <v>863</v>
      </c>
      <c r="B63" s="88" t="s">
        <v>864</v>
      </c>
      <c r="H63" s="505"/>
      <c r="O63" s="61"/>
    </row>
    <row r="64" spans="1:15" ht="11.25" customHeight="1" x14ac:dyDescent="0.2">
      <c r="A64" s="129" t="s">
        <v>1292</v>
      </c>
      <c r="B64" s="88" t="s">
        <v>1287</v>
      </c>
      <c r="G64" s="97" t="s">
        <v>17</v>
      </c>
      <c r="H64" s="502">
        <f>H14</f>
        <v>0</v>
      </c>
      <c r="I64" s="72">
        <f>VLOOKUP(A64,'[1]TAB OGU JUN18'!$A:$G,6,"falso")</f>
        <v>0.72</v>
      </c>
      <c r="J64" s="72">
        <f>VLOOKUP(A64,'[1]TAB OGU JUN18'!$A:$G,4,"falso")</f>
        <v>0.72</v>
      </c>
      <c r="K64" s="15">
        <f t="shared" ref="K64:K69" si="0">H64*J64</f>
        <v>0</v>
      </c>
      <c r="L64" s="72">
        <f>VLOOKUP(A64,'[1]TAB OGU JUN18'!$A:$G,5,"falso")</f>
        <v>0</v>
      </c>
      <c r="M64" s="15"/>
      <c r="N64" s="15">
        <f t="shared" ref="N64:N69" si="1">H64*I64</f>
        <v>0</v>
      </c>
      <c r="O64" s="25" t="e">
        <f>N64/N71</f>
        <v>#DIV/0!</v>
      </c>
    </row>
    <row r="65" spans="1:15" ht="11.25" hidden="1" customHeight="1" x14ac:dyDescent="0.2">
      <c r="A65" s="129" t="s">
        <v>1293</v>
      </c>
      <c r="B65" s="88" t="s">
        <v>1288</v>
      </c>
      <c r="G65" s="97" t="s">
        <v>17</v>
      </c>
      <c r="H65" s="502">
        <v>0</v>
      </c>
      <c r="I65" s="72">
        <f>VLOOKUP(A65,'[1]TAB OGU JUN18'!$A:$G,6,"falso")</f>
        <v>0.82</v>
      </c>
      <c r="J65" s="72">
        <f>VLOOKUP(A65,'[1]TAB OGU JUN18'!$A:$G,4,"falso")</f>
        <v>0.82</v>
      </c>
      <c r="K65" s="15">
        <f t="shared" si="0"/>
        <v>0</v>
      </c>
      <c r="L65" s="72">
        <f>VLOOKUP(A65,'[1]TAB OGU JUN18'!$A:$G,5,"falso")</f>
        <v>0</v>
      </c>
      <c r="M65" s="15"/>
      <c r="N65" s="15">
        <f t="shared" si="1"/>
        <v>0</v>
      </c>
      <c r="O65" s="25" t="e">
        <f>N65/N71</f>
        <v>#DIV/0!</v>
      </c>
    </row>
    <row r="66" spans="1:15" ht="11.25" hidden="1" customHeight="1" x14ac:dyDescent="0.2">
      <c r="A66" s="129" t="s">
        <v>1294</v>
      </c>
      <c r="B66" s="88" t="s">
        <v>1289</v>
      </c>
      <c r="G66" s="97" t="s">
        <v>17</v>
      </c>
      <c r="H66" s="502">
        <v>0</v>
      </c>
      <c r="I66" s="72">
        <f>VLOOKUP(A66,'[1]TAB OGU JUN18'!$A:$G,6,"falso")</f>
        <v>0.87</v>
      </c>
      <c r="J66" s="72">
        <f>VLOOKUP(A66,'[1]TAB OGU JUN18'!$A:$G,4,"falso")</f>
        <v>0.87</v>
      </c>
      <c r="K66" s="15">
        <f t="shared" si="0"/>
        <v>0</v>
      </c>
      <c r="L66" s="72">
        <f>VLOOKUP(A66,'[1]TAB OGU JUN18'!$A:$G,5,"falso")</f>
        <v>0</v>
      </c>
      <c r="M66" s="15"/>
      <c r="N66" s="15">
        <f t="shared" si="1"/>
        <v>0</v>
      </c>
      <c r="O66" s="25" t="e">
        <f>N66/N71</f>
        <v>#DIV/0!</v>
      </c>
    </row>
    <row r="67" spans="1:15" ht="11.25" hidden="1" customHeight="1" x14ac:dyDescent="0.2">
      <c r="A67" s="129" t="s">
        <v>1295</v>
      </c>
      <c r="B67" s="88" t="s">
        <v>1290</v>
      </c>
      <c r="G67" s="97" t="s">
        <v>17</v>
      </c>
      <c r="H67" s="502">
        <v>0</v>
      </c>
      <c r="I67" s="72">
        <f>VLOOKUP(A67,'[1]TAB OGU JUN18'!$A:$G,6,"falso")</f>
        <v>1.71</v>
      </c>
      <c r="J67" s="72">
        <f>VLOOKUP(A67,'[1]TAB OGU JUN18'!$A:$G,4,"falso")</f>
        <v>1.71</v>
      </c>
      <c r="K67" s="15">
        <f t="shared" si="0"/>
        <v>0</v>
      </c>
      <c r="L67" s="72">
        <f>VLOOKUP(A67,'[1]TAB OGU JUN18'!$A:$G,5,"falso")</f>
        <v>0</v>
      </c>
      <c r="M67" s="15"/>
      <c r="N67" s="15">
        <f t="shared" si="1"/>
        <v>0</v>
      </c>
      <c r="O67" s="25" t="e">
        <f>N67/N71</f>
        <v>#DIV/0!</v>
      </c>
    </row>
    <row r="68" spans="1:15" ht="11.25" hidden="1" customHeight="1" x14ac:dyDescent="0.2">
      <c r="A68" s="129" t="s">
        <v>1075</v>
      </c>
      <c r="B68" s="88" t="s">
        <v>1076</v>
      </c>
      <c r="G68" s="97" t="s">
        <v>17</v>
      </c>
      <c r="H68" s="502">
        <v>0</v>
      </c>
      <c r="I68" s="72">
        <f>VLOOKUP(A68,'[1]TAB OGU JUN18'!$A:$G,6,"falso")</f>
        <v>1.85</v>
      </c>
      <c r="J68" s="72">
        <f>VLOOKUP(A68,'[1]TAB OGU JUN18'!$A:$G,4,"falso")</f>
        <v>1.85</v>
      </c>
      <c r="K68" s="15">
        <f t="shared" si="0"/>
        <v>0</v>
      </c>
      <c r="L68" s="72">
        <f>VLOOKUP(A68,'[1]TAB OGU JUN18'!$A:$G,5,"falso")</f>
        <v>0</v>
      </c>
      <c r="M68" s="15"/>
      <c r="N68" s="15">
        <f t="shared" si="1"/>
        <v>0</v>
      </c>
      <c r="O68" s="25" t="e">
        <f>N68/N71</f>
        <v>#DIV/0!</v>
      </c>
    </row>
    <row r="69" spans="1:15" ht="11.25" hidden="1" customHeight="1" x14ac:dyDescent="0.2">
      <c r="A69" s="129" t="s">
        <v>1296</v>
      </c>
      <c r="B69" s="88" t="s">
        <v>1291</v>
      </c>
      <c r="G69" s="97" t="s">
        <v>17</v>
      </c>
      <c r="H69" s="502">
        <v>0</v>
      </c>
      <c r="I69" s="72">
        <f>VLOOKUP(A69,'[1]TAB OGU JUN18'!$A:$G,6,"falso")</f>
        <v>2.77</v>
      </c>
      <c r="J69" s="72">
        <f>VLOOKUP(A69,'[1]TAB OGU JUN18'!$A:$G,4,"falso")</f>
        <v>2.77</v>
      </c>
      <c r="K69" s="15">
        <f t="shared" si="0"/>
        <v>0</v>
      </c>
      <c r="L69" s="72">
        <f>VLOOKUP(A69,'[1]TAB OGU JUN18'!$A:$G,5,"falso")</f>
        <v>0</v>
      </c>
      <c r="M69" s="15"/>
      <c r="N69" s="15">
        <f t="shared" si="1"/>
        <v>0</v>
      </c>
      <c r="O69" s="25" t="e">
        <f>N69/N71</f>
        <v>#DIV/0!</v>
      </c>
    </row>
    <row r="70" spans="1:15" ht="11.25" customHeight="1" x14ac:dyDescent="0.2">
      <c r="B70" s="130"/>
      <c r="G70" s="52"/>
      <c r="H70" s="501"/>
      <c r="I70" s="52"/>
      <c r="J70" s="52"/>
      <c r="K70" s="52"/>
      <c r="L70" s="52"/>
      <c r="M70" s="52"/>
      <c r="N70" s="15"/>
      <c r="O70" s="25"/>
    </row>
    <row r="71" spans="1:15" ht="11.25" customHeight="1" x14ac:dyDescent="0.2">
      <c r="B71" s="130" t="s">
        <v>18</v>
      </c>
      <c r="C71" s="131"/>
      <c r="D71" s="131"/>
      <c r="E71" s="131"/>
      <c r="F71" s="131"/>
      <c r="G71" s="53"/>
      <c r="H71" s="503"/>
      <c r="I71" s="53"/>
      <c r="J71" s="53"/>
      <c r="K71" s="53"/>
      <c r="L71" s="53"/>
      <c r="M71" s="53"/>
      <c r="N71" s="15">
        <f>SUM(N64:N69)</f>
        <v>0</v>
      </c>
      <c r="O71" s="25" t="e">
        <f>N71/N73</f>
        <v>#DIV/0!</v>
      </c>
    </row>
    <row r="72" spans="1:15" ht="11.25" customHeight="1" x14ac:dyDescent="0.2">
      <c r="B72" s="130"/>
      <c r="G72" s="52"/>
      <c r="H72" s="501"/>
      <c r="I72" s="52"/>
      <c r="J72" s="52"/>
      <c r="K72" s="52"/>
      <c r="L72" s="52"/>
      <c r="M72" s="52"/>
      <c r="N72" s="15"/>
      <c r="O72" s="25"/>
    </row>
    <row r="73" spans="1:15" s="132" customFormat="1" ht="11.25" customHeight="1" x14ac:dyDescent="0.2">
      <c r="B73" s="133" t="s">
        <v>20</v>
      </c>
      <c r="C73" s="134"/>
      <c r="D73" s="134"/>
      <c r="E73" s="134"/>
      <c r="F73" s="134"/>
      <c r="G73" s="78"/>
      <c r="H73" s="504"/>
      <c r="I73" s="78"/>
      <c r="J73" s="78"/>
      <c r="K73" s="78"/>
      <c r="L73" s="78"/>
      <c r="M73" s="78"/>
      <c r="N73" s="83">
        <f>N71</f>
        <v>0</v>
      </c>
      <c r="O73" s="77" t="e">
        <f>N73/$N$84</f>
        <v>#DIV/0!</v>
      </c>
    </row>
    <row r="74" spans="1:15" ht="11.25" customHeight="1" x14ac:dyDescent="0.2">
      <c r="B74" s="130"/>
      <c r="G74" s="52"/>
      <c r="H74" s="501"/>
      <c r="I74" s="52"/>
      <c r="J74" s="52"/>
      <c r="K74" s="52"/>
      <c r="L74" s="52"/>
      <c r="M74" s="52"/>
      <c r="N74" s="15"/>
      <c r="O74" s="25"/>
    </row>
    <row r="75" spans="1:15" ht="11.25" customHeight="1" x14ac:dyDescent="0.2">
      <c r="A75" s="98" t="s">
        <v>169</v>
      </c>
      <c r="B75" s="88" t="s">
        <v>172</v>
      </c>
      <c r="G75" s="97"/>
      <c r="H75" s="502"/>
      <c r="I75" s="15"/>
      <c r="J75" s="15"/>
      <c r="K75" s="15"/>
      <c r="L75" s="15"/>
      <c r="M75" s="15"/>
      <c r="N75" s="15"/>
      <c r="O75" s="25"/>
    </row>
    <row r="76" spans="1:15" ht="11.25" customHeight="1" x14ac:dyDescent="0.2">
      <c r="A76" s="98" t="s">
        <v>170</v>
      </c>
      <c r="B76" s="88" t="s">
        <v>173</v>
      </c>
      <c r="G76" s="97"/>
      <c r="H76" s="502"/>
      <c r="I76" s="15"/>
      <c r="J76" s="15"/>
      <c r="K76" s="15"/>
      <c r="L76" s="15"/>
      <c r="M76" s="15"/>
      <c r="N76" s="15"/>
      <c r="O76" s="25"/>
    </row>
    <row r="77" spans="1:15" ht="11.25" customHeight="1" x14ac:dyDescent="0.2">
      <c r="A77" s="98" t="s">
        <v>187</v>
      </c>
      <c r="B77" s="88" t="s">
        <v>223</v>
      </c>
      <c r="G77" s="97" t="s">
        <v>17</v>
      </c>
      <c r="H77" s="502">
        <f>H64</f>
        <v>0</v>
      </c>
      <c r="I77" s="72">
        <f>VLOOKUP(A77,'[1]TAB OGU JUN18'!$A:$G,6,"falso")</f>
        <v>1.23</v>
      </c>
      <c r="J77" s="72">
        <f>VLOOKUP(A77,'[1]TAB OGU JUN18'!$A:$G,4,"falso")</f>
        <v>1.23</v>
      </c>
      <c r="K77" s="15">
        <f>H77*J77</f>
        <v>0</v>
      </c>
      <c r="L77" s="72">
        <f>VLOOKUP(A77,'[1]TAB OGU JUN18'!$A:$G,5,"falso")</f>
        <v>0</v>
      </c>
      <c r="M77" s="15"/>
      <c r="N77" s="15">
        <f>H77*I77</f>
        <v>0</v>
      </c>
      <c r="O77" s="25" t="e">
        <f>N77/N80</f>
        <v>#DIV/0!</v>
      </c>
    </row>
    <row r="78" spans="1:15" ht="11.25" customHeight="1" x14ac:dyDescent="0.2">
      <c r="A78" s="98" t="s">
        <v>171</v>
      </c>
      <c r="B78" s="88" t="s">
        <v>174</v>
      </c>
      <c r="G78" s="97" t="s">
        <v>17</v>
      </c>
      <c r="H78" s="502">
        <f>H77</f>
        <v>0</v>
      </c>
      <c r="I78" s="72">
        <f>VLOOKUP(A78,'[1]TAB OGU JUN18'!$A:$G,6,"falso")</f>
        <v>1.31</v>
      </c>
      <c r="J78" s="72">
        <f>VLOOKUP(A78,'[1]TAB OGU JUN18'!$A:$G,4,"falso")</f>
        <v>1.1399999999999999</v>
      </c>
      <c r="K78" s="15">
        <f>H78*J78</f>
        <v>0</v>
      </c>
      <c r="L78" s="72">
        <f>VLOOKUP(A78,'[1]TAB OGU JUN18'!$A:$G,5,"falso")</f>
        <v>0.17</v>
      </c>
      <c r="M78" s="15">
        <f>H78*L78</f>
        <v>0</v>
      </c>
      <c r="N78" s="15">
        <f>H78*I78</f>
        <v>0</v>
      </c>
      <c r="O78" s="25" t="e">
        <f>N78/N80</f>
        <v>#DIV/0!</v>
      </c>
    </row>
    <row r="79" spans="1:15" ht="11.25" customHeight="1" x14ac:dyDescent="0.2">
      <c r="B79" s="130"/>
      <c r="G79" s="52"/>
      <c r="H79" s="501"/>
      <c r="I79" s="52"/>
      <c r="J79" s="52"/>
      <c r="K79" s="52"/>
      <c r="L79" s="52"/>
      <c r="M79" s="52"/>
      <c r="N79" s="15"/>
      <c r="O79" s="25"/>
    </row>
    <row r="80" spans="1:15" ht="11.25" customHeight="1" x14ac:dyDescent="0.2">
      <c r="B80" s="130" t="s">
        <v>18</v>
      </c>
      <c r="C80" s="131"/>
      <c r="D80" s="131"/>
      <c r="E80" s="131"/>
      <c r="F80" s="131"/>
      <c r="G80" s="53"/>
      <c r="H80" s="20"/>
      <c r="I80" s="53"/>
      <c r="J80" s="53"/>
      <c r="K80" s="53"/>
      <c r="L80" s="53"/>
      <c r="M80" s="53"/>
      <c r="N80" s="15">
        <f>SUM(N77:N78)</f>
        <v>0</v>
      </c>
      <c r="O80" s="25" t="e">
        <f>N80/N82</f>
        <v>#DIV/0!</v>
      </c>
    </row>
    <row r="81" spans="1:16" ht="11.25" customHeight="1" x14ac:dyDescent="0.2">
      <c r="A81" s="98"/>
      <c r="B81" s="88"/>
      <c r="G81" s="97"/>
      <c r="H81" s="15"/>
      <c r="I81" s="15"/>
      <c r="J81" s="15"/>
      <c r="K81" s="15"/>
      <c r="L81" s="15"/>
      <c r="M81" s="15"/>
      <c r="N81" s="15"/>
      <c r="O81" s="25"/>
    </row>
    <row r="82" spans="1:16" s="132" customFormat="1" ht="11.25" customHeight="1" x14ac:dyDescent="0.2">
      <c r="A82" s="145"/>
      <c r="B82" s="133" t="s">
        <v>20</v>
      </c>
      <c r="C82" s="134"/>
      <c r="D82" s="134"/>
      <c r="E82" s="134"/>
      <c r="F82" s="134"/>
      <c r="G82" s="78"/>
      <c r="H82" s="455"/>
      <c r="I82" s="78"/>
      <c r="J82" s="78"/>
      <c r="K82" s="78"/>
      <c r="L82" s="78"/>
      <c r="M82" s="78"/>
      <c r="N82" s="83">
        <f>N80</f>
        <v>0</v>
      </c>
      <c r="O82" s="77" t="e">
        <f>N82/$N$84</f>
        <v>#DIV/0!</v>
      </c>
    </row>
    <row r="83" spans="1:16" ht="6.75" customHeight="1" x14ac:dyDescent="0.2">
      <c r="A83" s="98"/>
      <c r="B83" s="88"/>
      <c r="G83" s="97"/>
      <c r="H83" s="15"/>
      <c r="I83" s="15"/>
      <c r="J83" s="15"/>
      <c r="K83" s="15"/>
      <c r="L83" s="15"/>
      <c r="M83" s="15"/>
      <c r="N83" s="15"/>
      <c r="O83" s="25"/>
    </row>
    <row r="84" spans="1:16" ht="11.25" customHeight="1" x14ac:dyDescent="0.2">
      <c r="A84" s="146"/>
      <c r="B84" s="147" t="s">
        <v>30</v>
      </c>
      <c r="C84" s="146"/>
      <c r="D84" s="146"/>
      <c r="E84" s="146"/>
      <c r="F84" s="146"/>
      <c r="G84" s="146"/>
      <c r="H84" s="148"/>
      <c r="I84" s="146"/>
      <c r="J84" s="146"/>
      <c r="K84" s="207">
        <f>SUM(K14:K83)</f>
        <v>0</v>
      </c>
      <c r="L84" s="146"/>
      <c r="M84" s="207">
        <f>SUM(M14:M83)</f>
        <v>0</v>
      </c>
      <c r="N84" s="464">
        <f>N24+N52+N60+N82+N73</f>
        <v>0</v>
      </c>
      <c r="O84" s="146"/>
      <c r="P84" s="149"/>
    </row>
    <row r="85" spans="1:16" ht="6.75" customHeight="1" x14ac:dyDescent="0.2">
      <c r="G85" s="52"/>
      <c r="H85" s="52"/>
      <c r="I85" s="52"/>
      <c r="J85" s="52"/>
      <c r="K85" s="52"/>
      <c r="L85" s="52"/>
      <c r="M85" s="52"/>
      <c r="N85" s="52"/>
      <c r="O85" s="19"/>
    </row>
    <row r="86" spans="1:16" ht="11.25" customHeight="1" x14ac:dyDescent="0.2">
      <c r="A86" s="146"/>
      <c r="B86" s="147" t="s">
        <v>265</v>
      </c>
      <c r="C86" s="146"/>
      <c r="D86" s="146"/>
      <c r="E86" s="146"/>
      <c r="F86" s="146"/>
      <c r="G86" s="146"/>
      <c r="H86" s="148"/>
      <c r="I86" s="146"/>
      <c r="J86" s="146"/>
      <c r="K86" s="207">
        <f>K84+(K84*O5)</f>
        <v>0</v>
      </c>
      <c r="L86" s="146"/>
      <c r="M86" s="207">
        <f>M84+(M84*O7)</f>
        <v>0</v>
      </c>
      <c r="N86" s="464">
        <f>K86+M86</f>
        <v>0</v>
      </c>
      <c r="O86" s="29">
        <f>N86/RESUMO!H95</f>
        <v>0</v>
      </c>
      <c r="P86" s="149"/>
    </row>
    <row r="89" spans="1:16" ht="11.25" customHeight="1" x14ac:dyDescent="0.2">
      <c r="M89" s="589">
        <f>K84+M84</f>
        <v>0</v>
      </c>
    </row>
    <row r="98" spans="1:15" ht="11.25" customHeight="1" x14ac:dyDescent="0.2">
      <c r="A98" s="150"/>
      <c r="B98" s="150"/>
      <c r="C98" s="150"/>
      <c r="D98" s="150"/>
      <c r="E98" s="150"/>
      <c r="F98" s="150"/>
      <c r="G98" s="150"/>
      <c r="H98" s="150"/>
      <c r="I98" s="150"/>
      <c r="J98" s="150"/>
      <c r="K98" s="150"/>
      <c r="L98" s="150"/>
      <c r="M98" s="150"/>
      <c r="N98" s="211"/>
      <c r="O98" s="211"/>
    </row>
    <row r="99" spans="1:15" ht="11.25" customHeight="1" x14ac:dyDescent="0.2">
      <c r="A99" s="88"/>
      <c r="C99" s="184"/>
      <c r="D99" s="184"/>
      <c r="E99" s="184"/>
      <c r="F99" s="184"/>
      <c r="G99" s="184"/>
      <c r="H99" s="184"/>
      <c r="I99" s="184"/>
      <c r="J99" s="184"/>
      <c r="K99" s="184"/>
      <c r="L99" s="184"/>
      <c r="M99" s="184"/>
      <c r="N99" s="184"/>
      <c r="O99" s="459"/>
    </row>
  </sheetData>
  <mergeCells count="3">
    <mergeCell ref="A2:O2"/>
    <mergeCell ref="N4:O4"/>
    <mergeCell ref="A5:B6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legacyDrawingHF r:id="rId2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>
    <tabColor theme="9" tint="0.39997558519241921"/>
    <pageSetUpPr fitToPage="1"/>
  </sheetPr>
  <dimension ref="A1:T55"/>
  <sheetViews>
    <sheetView view="pageBreakPreview" zoomScale="90" zoomScaleNormal="90" zoomScaleSheetLayoutView="90" workbookViewId="0">
      <selection activeCell="O61" sqref="O61"/>
    </sheetView>
  </sheetViews>
  <sheetFormatPr defaultColWidth="11.42578125" defaultRowHeight="12" customHeight="1" x14ac:dyDescent="0.2"/>
  <cols>
    <col min="1" max="4" width="11.42578125" style="51"/>
    <col min="5" max="5" width="11.42578125" style="51" customWidth="1"/>
    <col min="6" max="6" width="28.5703125" style="51" customWidth="1"/>
    <col min="7" max="9" width="11.42578125" style="51" customWidth="1"/>
    <col min="10" max="10" width="8.42578125" style="51" hidden="1" customWidth="1"/>
    <col min="11" max="11" width="11.42578125" style="51" customWidth="1"/>
    <col min="12" max="12" width="8.42578125" style="51" hidden="1" customWidth="1"/>
    <col min="13" max="13" width="11.42578125" style="51" customWidth="1"/>
    <col min="14" max="14" width="17.140625" style="51" customWidth="1"/>
    <col min="15" max="15" width="11.42578125" style="51" customWidth="1"/>
    <col min="16" max="16384" width="11.42578125" style="51"/>
  </cols>
  <sheetData>
    <row r="1" spans="1:16" ht="7.5" customHeight="1" x14ac:dyDescent="0.2"/>
    <row r="2" spans="1:16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6" ht="7.5" customHeight="1" thickBot="1" x14ac:dyDescent="0.25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</row>
    <row r="4" spans="1:16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6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6" ht="12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6" ht="12" customHeight="1" x14ac:dyDescent="0.2">
      <c r="A7" s="697"/>
      <c r="B7" s="697"/>
      <c r="C7" s="260" t="s">
        <v>6</v>
      </c>
      <c r="D7" s="263" t="str">
        <f>RESUMO!A84</f>
        <v>U.C. : 14</v>
      </c>
      <c r="E7" s="258"/>
      <c r="F7" s="258"/>
      <c r="G7" s="260" t="s">
        <v>9</v>
      </c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6" ht="12" customHeight="1" thickBot="1" x14ac:dyDescent="0.25">
      <c r="A8" s="124"/>
      <c r="B8" s="125"/>
      <c r="C8" s="266" t="s">
        <v>8</v>
      </c>
      <c r="D8" s="267" t="str">
        <f>RESUMO!B84</f>
        <v>ESTAÇÃO ELEVATÓRIA DE ESGOTO - EEE02</v>
      </c>
      <c r="E8" s="268"/>
      <c r="F8" s="268"/>
      <c r="G8" s="266"/>
      <c r="H8" s="123"/>
      <c r="I8" s="278"/>
      <c r="J8" s="278"/>
      <c r="K8" s="278"/>
      <c r="L8" s="278"/>
      <c r="M8" s="278" t="s">
        <v>654</v>
      </c>
      <c r="N8" s="271"/>
      <c r="O8" s="268"/>
    </row>
    <row r="9" spans="1:16" ht="12" customHeight="1" thickTop="1" x14ac:dyDescent="0.2">
      <c r="A9" s="126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6" ht="12" customHeight="1" x14ac:dyDescent="0.2">
      <c r="O10" s="61"/>
    </row>
    <row r="11" spans="1:16" ht="12" customHeight="1" x14ac:dyDescent="0.2">
      <c r="A11" s="93">
        <f>RESUMO!A82</f>
        <v>8</v>
      </c>
      <c r="B11" s="93" t="str">
        <f>RESUMO!B82</f>
        <v>LINHA DE RECALQUE - MATERIAIS</v>
      </c>
      <c r="H11" s="61"/>
      <c r="O11" s="61"/>
    </row>
    <row r="12" spans="1:16" ht="12" customHeight="1" x14ac:dyDescent="0.2">
      <c r="A12" s="129" t="s">
        <v>865</v>
      </c>
      <c r="B12" s="88" t="s">
        <v>866</v>
      </c>
      <c r="H12" s="505"/>
      <c r="O12" s="61"/>
    </row>
    <row r="13" spans="1:16" ht="12" customHeight="1" x14ac:dyDescent="0.2">
      <c r="A13" s="494" t="s">
        <v>867</v>
      </c>
      <c r="B13" s="490" t="s">
        <v>868</v>
      </c>
      <c r="C13" s="491"/>
      <c r="D13" s="491"/>
      <c r="E13" s="491"/>
      <c r="G13" s="52"/>
      <c r="H13" s="501"/>
      <c r="I13" s="52"/>
      <c r="J13" s="52"/>
      <c r="K13" s="52"/>
      <c r="L13" s="52"/>
      <c r="M13" s="52"/>
      <c r="N13" s="52"/>
      <c r="O13" s="19"/>
    </row>
    <row r="14" spans="1:16" ht="12" customHeight="1" x14ac:dyDescent="0.2">
      <c r="A14" s="494" t="s">
        <v>1301</v>
      </c>
      <c r="B14" s="490" t="s">
        <v>1297</v>
      </c>
      <c r="C14" s="491"/>
      <c r="D14" s="491"/>
      <c r="E14" s="491"/>
      <c r="F14" s="491"/>
      <c r="G14" s="497" t="s">
        <v>17</v>
      </c>
      <c r="H14" s="502">
        <v>0</v>
      </c>
      <c r="I14" s="489">
        <f>(10.43+12.63)/2</f>
        <v>11.530000000000001</v>
      </c>
      <c r="J14" s="489">
        <v>11.53</v>
      </c>
      <c r="K14" s="502"/>
      <c r="L14" s="489">
        <v>11.53</v>
      </c>
      <c r="M14" s="502">
        <f t="shared" ref="M14:M45" si="0">H14*L14</f>
        <v>0</v>
      </c>
      <c r="N14" s="502">
        <f t="shared" ref="N14:N45" si="1">H14*I14</f>
        <v>0</v>
      </c>
      <c r="O14" s="601" t="e">
        <f>N14/$N$47</f>
        <v>#DIV/0!</v>
      </c>
      <c r="P14" s="61" t="s">
        <v>1352</v>
      </c>
    </row>
    <row r="15" spans="1:16" ht="12" hidden="1" customHeight="1" x14ac:dyDescent="0.2">
      <c r="A15" s="494" t="s">
        <v>1302</v>
      </c>
      <c r="B15" s="490" t="s">
        <v>1298</v>
      </c>
      <c r="C15" s="491"/>
      <c r="D15" s="491"/>
      <c r="E15" s="491"/>
      <c r="F15" s="491"/>
      <c r="G15" s="497" t="s">
        <v>17</v>
      </c>
      <c r="H15" s="502">
        <v>0</v>
      </c>
      <c r="I15" s="489">
        <f>(17.82+14.71)/2</f>
        <v>16.265000000000001</v>
      </c>
      <c r="J15" s="489">
        <v>16.27</v>
      </c>
      <c r="K15" s="502"/>
      <c r="L15" s="489">
        <v>16.27</v>
      </c>
      <c r="M15" s="502">
        <f t="shared" si="0"/>
        <v>0</v>
      </c>
      <c r="N15" s="502">
        <f t="shared" si="1"/>
        <v>0</v>
      </c>
      <c r="O15" s="601" t="e">
        <f t="shared" ref="O15:O44" si="2">N15/$N$47</f>
        <v>#DIV/0!</v>
      </c>
      <c r="P15" s="61" t="s">
        <v>1352</v>
      </c>
    </row>
    <row r="16" spans="1:16" ht="12" hidden="1" customHeight="1" x14ac:dyDescent="0.2">
      <c r="A16" s="494" t="s">
        <v>1303</v>
      </c>
      <c r="B16" s="490" t="s">
        <v>1299</v>
      </c>
      <c r="C16" s="491"/>
      <c r="D16" s="491"/>
      <c r="E16" s="491"/>
      <c r="F16" s="491"/>
      <c r="G16" s="497" t="s">
        <v>17</v>
      </c>
      <c r="H16" s="502">
        <v>0</v>
      </c>
      <c r="I16" s="489">
        <f>(21.15+25.62)/2</f>
        <v>23.384999999999998</v>
      </c>
      <c r="J16" s="489">
        <v>23.39</v>
      </c>
      <c r="K16" s="502"/>
      <c r="L16" s="489">
        <v>23.39</v>
      </c>
      <c r="M16" s="502">
        <f t="shared" si="0"/>
        <v>0</v>
      </c>
      <c r="N16" s="502">
        <f t="shared" si="1"/>
        <v>0</v>
      </c>
      <c r="O16" s="601" t="e">
        <f t="shared" si="2"/>
        <v>#DIV/0!</v>
      </c>
      <c r="P16" s="61" t="s">
        <v>1352</v>
      </c>
    </row>
    <row r="17" spans="1:16" ht="12" hidden="1" customHeight="1" x14ac:dyDescent="0.2">
      <c r="A17" s="494" t="s">
        <v>1304</v>
      </c>
      <c r="B17" s="490" t="s">
        <v>1300</v>
      </c>
      <c r="C17" s="491"/>
      <c r="D17" s="491"/>
      <c r="E17" s="491"/>
      <c r="F17" s="491"/>
      <c r="G17" s="497" t="s">
        <v>17</v>
      </c>
      <c r="H17" s="502">
        <v>0</v>
      </c>
      <c r="I17" s="489">
        <f>(38.11+31.48)/2</f>
        <v>34.795000000000002</v>
      </c>
      <c r="J17" s="489">
        <v>34.799999999999997</v>
      </c>
      <c r="K17" s="502"/>
      <c r="L17" s="489">
        <v>34.799999999999997</v>
      </c>
      <c r="M17" s="502">
        <f t="shared" si="0"/>
        <v>0</v>
      </c>
      <c r="N17" s="502">
        <f t="shared" si="1"/>
        <v>0</v>
      </c>
      <c r="O17" s="601" t="e">
        <f t="shared" si="2"/>
        <v>#DIV/0!</v>
      </c>
      <c r="P17" s="61" t="s">
        <v>1352</v>
      </c>
    </row>
    <row r="18" spans="1:16" ht="12" hidden="1" customHeight="1" x14ac:dyDescent="0.2">
      <c r="A18" s="494" t="s">
        <v>1077</v>
      </c>
      <c r="B18" s="490" t="s">
        <v>1014</v>
      </c>
      <c r="C18" s="491"/>
      <c r="D18" s="491"/>
      <c r="E18" s="491"/>
      <c r="F18" s="491"/>
      <c r="G18" s="497" t="s">
        <v>17</v>
      </c>
      <c r="H18" s="502">
        <v>0</v>
      </c>
      <c r="I18" s="489">
        <f>(40.62+49.2)/2</f>
        <v>44.91</v>
      </c>
      <c r="J18" s="489">
        <f>(40.62+49.2)/2</f>
        <v>44.91</v>
      </c>
      <c r="K18" s="502"/>
      <c r="L18" s="489">
        <f>(40.62+49.2)/2</f>
        <v>44.91</v>
      </c>
      <c r="M18" s="502">
        <f t="shared" si="0"/>
        <v>0</v>
      </c>
      <c r="N18" s="502">
        <f t="shared" si="1"/>
        <v>0</v>
      </c>
      <c r="O18" s="601" t="e">
        <f t="shared" si="2"/>
        <v>#DIV/0!</v>
      </c>
      <c r="P18" s="61" t="s">
        <v>1352</v>
      </c>
    </row>
    <row r="19" spans="1:16" ht="12" hidden="1" customHeight="1" x14ac:dyDescent="0.2">
      <c r="A19" s="494" t="s">
        <v>1078</v>
      </c>
      <c r="B19" s="490" t="s">
        <v>1079</v>
      </c>
      <c r="C19" s="491"/>
      <c r="D19" s="491"/>
      <c r="E19" s="491"/>
      <c r="F19" s="491"/>
      <c r="G19" s="497" t="s">
        <v>17</v>
      </c>
      <c r="H19" s="502">
        <v>0</v>
      </c>
      <c r="I19" s="489">
        <f>49.51</f>
        <v>49.51</v>
      </c>
      <c r="J19" s="489">
        <v>49.51</v>
      </c>
      <c r="K19" s="502"/>
      <c r="L19" s="489">
        <v>49.51</v>
      </c>
      <c r="M19" s="502">
        <f t="shared" si="0"/>
        <v>0</v>
      </c>
      <c r="N19" s="502">
        <f t="shared" si="1"/>
        <v>0</v>
      </c>
      <c r="O19" s="601" t="e">
        <f t="shared" si="2"/>
        <v>#DIV/0!</v>
      </c>
      <c r="P19" s="61" t="s">
        <v>1351</v>
      </c>
    </row>
    <row r="20" spans="1:16" ht="12" hidden="1" customHeight="1" x14ac:dyDescent="0.2">
      <c r="A20" s="494" t="s">
        <v>1306</v>
      </c>
      <c r="B20" s="490" t="s">
        <v>1305</v>
      </c>
      <c r="C20" s="491"/>
      <c r="D20" s="491"/>
      <c r="E20" s="491"/>
      <c r="F20" s="491"/>
      <c r="G20" s="497" t="s">
        <v>17</v>
      </c>
      <c r="H20" s="502">
        <v>0</v>
      </c>
      <c r="I20" s="489">
        <v>102.44</v>
      </c>
      <c r="J20" s="489">
        <v>102.44</v>
      </c>
      <c r="K20" s="502"/>
      <c r="L20" s="489">
        <v>102.44</v>
      </c>
      <c r="M20" s="502">
        <f t="shared" si="0"/>
        <v>0</v>
      </c>
      <c r="N20" s="502">
        <f t="shared" si="1"/>
        <v>0</v>
      </c>
      <c r="O20" s="601" t="e">
        <f t="shared" si="2"/>
        <v>#DIV/0!</v>
      </c>
      <c r="P20" s="61" t="s">
        <v>1351</v>
      </c>
    </row>
    <row r="21" spans="1:16" ht="12" hidden="1" customHeight="1" x14ac:dyDescent="0.2">
      <c r="A21" s="494" t="s">
        <v>545</v>
      </c>
      <c r="B21" s="490" t="s">
        <v>1308</v>
      </c>
      <c r="C21" s="491"/>
      <c r="D21" s="491"/>
      <c r="E21" s="491"/>
      <c r="F21" s="491"/>
      <c r="G21" s="497" t="s">
        <v>24</v>
      </c>
      <c r="H21" s="502">
        <v>0</v>
      </c>
      <c r="I21" s="489">
        <f>(14.42+35.12)/2</f>
        <v>24.77</v>
      </c>
      <c r="J21" s="489">
        <v>24.77</v>
      </c>
      <c r="K21" s="502"/>
      <c r="L21" s="489">
        <v>24.77</v>
      </c>
      <c r="M21" s="502">
        <f t="shared" si="0"/>
        <v>0</v>
      </c>
      <c r="N21" s="502">
        <f t="shared" si="1"/>
        <v>0</v>
      </c>
      <c r="O21" s="601" t="e">
        <f t="shared" si="2"/>
        <v>#DIV/0!</v>
      </c>
      <c r="P21" s="61" t="s">
        <v>1352</v>
      </c>
    </row>
    <row r="22" spans="1:16" ht="12" hidden="1" customHeight="1" x14ac:dyDescent="0.2">
      <c r="A22" s="494" t="s">
        <v>545</v>
      </c>
      <c r="B22" s="490" t="s">
        <v>1309</v>
      </c>
      <c r="C22" s="491"/>
      <c r="D22" s="491"/>
      <c r="E22" s="491"/>
      <c r="F22" s="491"/>
      <c r="G22" s="497" t="s">
        <v>24</v>
      </c>
      <c r="H22" s="502">
        <v>0</v>
      </c>
      <c r="I22" s="489">
        <f>(48.34+14.43)/2</f>
        <v>31.385000000000002</v>
      </c>
      <c r="J22" s="489">
        <v>31.39</v>
      </c>
      <c r="K22" s="502"/>
      <c r="L22" s="489">
        <v>31.39</v>
      </c>
      <c r="M22" s="502">
        <f t="shared" si="0"/>
        <v>0</v>
      </c>
      <c r="N22" s="502">
        <f t="shared" si="1"/>
        <v>0</v>
      </c>
      <c r="O22" s="601" t="e">
        <f t="shared" si="2"/>
        <v>#DIV/0!</v>
      </c>
      <c r="P22" s="61" t="s">
        <v>1352</v>
      </c>
    </row>
    <row r="23" spans="1:16" ht="12" hidden="1" customHeight="1" x14ac:dyDescent="0.2">
      <c r="A23" s="494" t="s">
        <v>545</v>
      </c>
      <c r="B23" s="490" t="s">
        <v>1310</v>
      </c>
      <c r="C23" s="491"/>
      <c r="D23" s="491"/>
      <c r="E23" s="491"/>
      <c r="F23" s="491"/>
      <c r="G23" s="497" t="s">
        <v>24</v>
      </c>
      <c r="H23" s="502">
        <v>0</v>
      </c>
      <c r="I23" s="489">
        <f>(20.4+46.83)/2</f>
        <v>33.614999999999995</v>
      </c>
      <c r="J23" s="489">
        <v>33.619999999999997</v>
      </c>
      <c r="K23" s="502"/>
      <c r="L23" s="489">
        <v>33.619999999999997</v>
      </c>
      <c r="M23" s="502">
        <f t="shared" si="0"/>
        <v>0</v>
      </c>
      <c r="N23" s="502">
        <f t="shared" si="1"/>
        <v>0</v>
      </c>
      <c r="O23" s="601" t="e">
        <f t="shared" si="2"/>
        <v>#DIV/0!</v>
      </c>
      <c r="P23" s="61" t="s">
        <v>1352</v>
      </c>
    </row>
    <row r="24" spans="1:16" ht="12" hidden="1" customHeight="1" x14ac:dyDescent="0.2">
      <c r="A24" s="494" t="s">
        <v>545</v>
      </c>
      <c r="B24" s="490" t="s">
        <v>1311</v>
      </c>
      <c r="C24" s="491"/>
      <c r="D24" s="491"/>
      <c r="E24" s="491"/>
      <c r="F24" s="491"/>
      <c r="G24" s="497" t="s">
        <v>24</v>
      </c>
      <c r="H24" s="502">
        <v>0</v>
      </c>
      <c r="I24" s="489">
        <f>(87.8+61.73)/2</f>
        <v>74.765000000000001</v>
      </c>
      <c r="J24" s="489">
        <v>74.77</v>
      </c>
      <c r="K24" s="502"/>
      <c r="L24" s="489">
        <v>74.77</v>
      </c>
      <c r="M24" s="502">
        <f t="shared" si="0"/>
        <v>0</v>
      </c>
      <c r="N24" s="502">
        <f t="shared" si="1"/>
        <v>0</v>
      </c>
      <c r="O24" s="601" t="e">
        <f t="shared" si="2"/>
        <v>#DIV/0!</v>
      </c>
      <c r="P24" s="61" t="s">
        <v>1352</v>
      </c>
    </row>
    <row r="25" spans="1:16" ht="12" hidden="1" customHeight="1" x14ac:dyDescent="0.2">
      <c r="A25" s="494" t="s">
        <v>545</v>
      </c>
      <c r="B25" s="490" t="s">
        <v>1307</v>
      </c>
      <c r="C25" s="491"/>
      <c r="D25" s="491"/>
      <c r="E25" s="491"/>
      <c r="F25" s="491"/>
      <c r="G25" s="497" t="s">
        <v>24</v>
      </c>
      <c r="H25" s="502">
        <v>0</v>
      </c>
      <c r="I25" s="489">
        <f>(65.95+161.75)/2</f>
        <v>113.85</v>
      </c>
      <c r="J25" s="489">
        <v>113.85</v>
      </c>
      <c r="K25" s="502"/>
      <c r="L25" s="489">
        <v>113.85</v>
      </c>
      <c r="M25" s="502">
        <f t="shared" si="0"/>
        <v>0</v>
      </c>
      <c r="N25" s="502">
        <f t="shared" si="1"/>
        <v>0</v>
      </c>
      <c r="O25" s="601" t="e">
        <f t="shared" si="2"/>
        <v>#DIV/0!</v>
      </c>
      <c r="P25" s="61" t="s">
        <v>1352</v>
      </c>
    </row>
    <row r="26" spans="1:16" ht="12" customHeight="1" x14ac:dyDescent="0.2">
      <c r="A26" s="494" t="s">
        <v>545</v>
      </c>
      <c r="B26" s="490" t="s">
        <v>1312</v>
      </c>
      <c r="C26" s="491"/>
      <c r="D26" s="491"/>
      <c r="E26" s="491"/>
      <c r="F26" s="491"/>
      <c r="G26" s="497" t="s">
        <v>24</v>
      </c>
      <c r="H26" s="502">
        <v>0</v>
      </c>
      <c r="I26" s="489">
        <f>(29.27+15.19)/2</f>
        <v>22.23</v>
      </c>
      <c r="J26" s="489">
        <v>22.23</v>
      </c>
      <c r="K26" s="502"/>
      <c r="L26" s="489">
        <v>22.23</v>
      </c>
      <c r="M26" s="502">
        <f t="shared" si="0"/>
        <v>0</v>
      </c>
      <c r="N26" s="502">
        <f t="shared" si="1"/>
        <v>0</v>
      </c>
      <c r="O26" s="601" t="e">
        <f t="shared" si="2"/>
        <v>#DIV/0!</v>
      </c>
      <c r="P26" s="61" t="s">
        <v>1352</v>
      </c>
    </row>
    <row r="27" spans="1:16" ht="12" hidden="1" customHeight="1" x14ac:dyDescent="0.2">
      <c r="A27" s="494" t="s">
        <v>545</v>
      </c>
      <c r="B27" s="490" t="s">
        <v>1313</v>
      </c>
      <c r="C27" s="491"/>
      <c r="D27" s="491"/>
      <c r="E27" s="491"/>
      <c r="F27" s="491"/>
      <c r="G27" s="497" t="s">
        <v>24</v>
      </c>
      <c r="H27" s="502">
        <v>0</v>
      </c>
      <c r="I27" s="489">
        <f>(15.82+50.2)/2</f>
        <v>33.010000000000005</v>
      </c>
      <c r="J27" s="489">
        <v>33.01</v>
      </c>
      <c r="K27" s="502"/>
      <c r="L27" s="489">
        <v>33.01</v>
      </c>
      <c r="M27" s="502">
        <f t="shared" si="0"/>
        <v>0</v>
      </c>
      <c r="N27" s="502">
        <f t="shared" si="1"/>
        <v>0</v>
      </c>
      <c r="O27" s="601" t="e">
        <f t="shared" si="2"/>
        <v>#DIV/0!</v>
      </c>
      <c r="P27" s="61" t="s">
        <v>1352</v>
      </c>
    </row>
    <row r="28" spans="1:16" ht="12" hidden="1" customHeight="1" x14ac:dyDescent="0.2">
      <c r="A28" s="494" t="s">
        <v>545</v>
      </c>
      <c r="B28" s="490" t="s">
        <v>1314</v>
      </c>
      <c r="C28" s="491"/>
      <c r="D28" s="491"/>
      <c r="E28" s="491"/>
      <c r="F28" s="491"/>
      <c r="G28" s="497" t="s">
        <v>24</v>
      </c>
      <c r="H28" s="502">
        <v>0</v>
      </c>
      <c r="I28" s="489">
        <f>(21.3+49.75)/2</f>
        <v>35.524999999999999</v>
      </c>
      <c r="J28" s="489">
        <v>35.53</v>
      </c>
      <c r="K28" s="502"/>
      <c r="L28" s="489">
        <v>35.53</v>
      </c>
      <c r="M28" s="502">
        <f t="shared" si="0"/>
        <v>0</v>
      </c>
      <c r="N28" s="502">
        <f t="shared" si="1"/>
        <v>0</v>
      </c>
      <c r="O28" s="601" t="e">
        <f t="shared" si="2"/>
        <v>#DIV/0!</v>
      </c>
      <c r="P28" s="61" t="s">
        <v>1352</v>
      </c>
    </row>
    <row r="29" spans="1:16" ht="12" hidden="1" customHeight="1" x14ac:dyDescent="0.2">
      <c r="A29" s="494" t="s">
        <v>545</v>
      </c>
      <c r="B29" s="490" t="s">
        <v>1315</v>
      </c>
      <c r="C29" s="491"/>
      <c r="D29" s="491"/>
      <c r="E29" s="491"/>
      <c r="F29" s="491"/>
      <c r="G29" s="497" t="s">
        <v>24</v>
      </c>
      <c r="H29" s="502">
        <v>0</v>
      </c>
      <c r="I29" s="489">
        <f>(90.73+65.98)/2</f>
        <v>78.355000000000004</v>
      </c>
      <c r="J29" s="489">
        <v>78.36</v>
      </c>
      <c r="K29" s="502"/>
      <c r="L29" s="489">
        <v>78.36</v>
      </c>
      <c r="M29" s="502">
        <f t="shared" si="0"/>
        <v>0</v>
      </c>
      <c r="N29" s="502">
        <f t="shared" si="1"/>
        <v>0</v>
      </c>
      <c r="O29" s="601" t="e">
        <f t="shared" si="2"/>
        <v>#DIV/0!</v>
      </c>
      <c r="P29" s="61" t="s">
        <v>1352</v>
      </c>
    </row>
    <row r="30" spans="1:16" ht="12" hidden="1" customHeight="1" x14ac:dyDescent="0.2">
      <c r="A30" s="494" t="s">
        <v>545</v>
      </c>
      <c r="B30" s="490" t="s">
        <v>1015</v>
      </c>
      <c r="C30" s="491"/>
      <c r="D30" s="491"/>
      <c r="E30" s="491"/>
      <c r="F30" s="491"/>
      <c r="G30" s="497" t="s">
        <v>24</v>
      </c>
      <c r="H30" s="502">
        <v>0</v>
      </c>
      <c r="I30" s="489">
        <f>(78.69+167.32)/2</f>
        <v>123.005</v>
      </c>
      <c r="J30" s="489">
        <v>123.01</v>
      </c>
      <c r="K30" s="502"/>
      <c r="L30" s="489">
        <v>123.01</v>
      </c>
      <c r="M30" s="502">
        <f t="shared" si="0"/>
        <v>0</v>
      </c>
      <c r="N30" s="502">
        <f t="shared" si="1"/>
        <v>0</v>
      </c>
      <c r="O30" s="601" t="e">
        <f t="shared" si="2"/>
        <v>#DIV/0!</v>
      </c>
      <c r="P30" s="61" t="s">
        <v>1352</v>
      </c>
    </row>
    <row r="31" spans="1:16" ht="12" hidden="1" customHeight="1" x14ac:dyDescent="0.2">
      <c r="A31" s="494" t="s">
        <v>545</v>
      </c>
      <c r="B31" s="490" t="s">
        <v>1325</v>
      </c>
      <c r="C31" s="491"/>
      <c r="D31" s="491"/>
      <c r="E31" s="491"/>
      <c r="F31" s="491"/>
      <c r="G31" s="497" t="s">
        <v>24</v>
      </c>
      <c r="H31" s="502">
        <v>0</v>
      </c>
      <c r="I31" s="489">
        <f>(316.06+202.29)/2</f>
        <v>259.17500000000001</v>
      </c>
      <c r="J31" s="489">
        <v>259.18</v>
      </c>
      <c r="K31" s="502"/>
      <c r="L31" s="489">
        <v>259.18</v>
      </c>
      <c r="M31" s="502">
        <f t="shared" si="0"/>
        <v>0</v>
      </c>
      <c r="N31" s="502">
        <f t="shared" si="1"/>
        <v>0</v>
      </c>
      <c r="O31" s="601" t="e">
        <f t="shared" si="2"/>
        <v>#DIV/0!</v>
      </c>
      <c r="P31" s="61" t="s">
        <v>1352</v>
      </c>
    </row>
    <row r="32" spans="1:16" ht="12" customHeight="1" x14ac:dyDescent="0.2">
      <c r="A32" s="494" t="s">
        <v>545</v>
      </c>
      <c r="B32" s="490" t="s">
        <v>1316</v>
      </c>
      <c r="C32" s="491"/>
      <c r="D32" s="491"/>
      <c r="E32" s="491"/>
      <c r="F32" s="491"/>
      <c r="G32" s="497" t="s">
        <v>24</v>
      </c>
      <c r="H32" s="502">
        <v>0</v>
      </c>
      <c r="I32" s="489">
        <f>(7.24+60.44)/2</f>
        <v>33.839999999999996</v>
      </c>
      <c r="J32" s="489">
        <v>33.840000000000003</v>
      </c>
      <c r="K32" s="502"/>
      <c r="L32" s="489">
        <v>33.840000000000003</v>
      </c>
      <c r="M32" s="502">
        <f t="shared" si="0"/>
        <v>0</v>
      </c>
      <c r="N32" s="502">
        <f t="shared" si="1"/>
        <v>0</v>
      </c>
      <c r="O32" s="601" t="e">
        <f t="shared" si="2"/>
        <v>#DIV/0!</v>
      </c>
      <c r="P32" s="61" t="s">
        <v>1352</v>
      </c>
    </row>
    <row r="33" spans="1:20" ht="12" hidden="1" customHeight="1" x14ac:dyDescent="0.2">
      <c r="A33" s="494" t="s">
        <v>545</v>
      </c>
      <c r="B33" s="490" t="s">
        <v>1317</v>
      </c>
      <c r="C33" s="491"/>
      <c r="D33" s="491"/>
      <c r="E33" s="491"/>
      <c r="F33" s="491"/>
      <c r="G33" s="497" t="s">
        <v>24</v>
      </c>
      <c r="H33" s="502">
        <v>0</v>
      </c>
      <c r="I33" s="489">
        <f>(10.54+71.97)/2</f>
        <v>41.254999999999995</v>
      </c>
      <c r="J33" s="489">
        <v>41.26</v>
      </c>
      <c r="K33" s="502"/>
      <c r="L33" s="489">
        <v>41.26</v>
      </c>
      <c r="M33" s="502">
        <f t="shared" si="0"/>
        <v>0</v>
      </c>
      <c r="N33" s="502">
        <f t="shared" si="1"/>
        <v>0</v>
      </c>
      <c r="O33" s="601" t="e">
        <f t="shared" si="2"/>
        <v>#DIV/0!</v>
      </c>
      <c r="P33" s="61" t="s">
        <v>1352</v>
      </c>
    </row>
    <row r="34" spans="1:20" ht="12" hidden="1" customHeight="1" x14ac:dyDescent="0.2">
      <c r="A34" s="494" t="s">
        <v>545</v>
      </c>
      <c r="B34" s="490" t="s">
        <v>1318</v>
      </c>
      <c r="C34" s="491"/>
      <c r="D34" s="491"/>
      <c r="E34" s="491"/>
      <c r="F34" s="491"/>
      <c r="G34" s="497" t="s">
        <v>24</v>
      </c>
      <c r="H34" s="502">
        <v>0</v>
      </c>
      <c r="I34" s="489">
        <f>(18.08+75.37)/2</f>
        <v>46.725000000000001</v>
      </c>
      <c r="J34" s="489">
        <v>46.73</v>
      </c>
      <c r="K34" s="502"/>
      <c r="L34" s="489">
        <v>46.73</v>
      </c>
      <c r="M34" s="502">
        <f t="shared" si="0"/>
        <v>0</v>
      </c>
      <c r="N34" s="502">
        <f t="shared" si="1"/>
        <v>0</v>
      </c>
      <c r="O34" s="601" t="e">
        <f t="shared" si="2"/>
        <v>#DIV/0!</v>
      </c>
      <c r="P34" s="61" t="s">
        <v>1352</v>
      </c>
    </row>
    <row r="35" spans="1:20" ht="12" hidden="1" customHeight="1" x14ac:dyDescent="0.2">
      <c r="A35" s="494" t="s">
        <v>545</v>
      </c>
      <c r="B35" s="490" t="s">
        <v>1319</v>
      </c>
      <c r="C35" s="491"/>
      <c r="D35" s="491"/>
      <c r="E35" s="491"/>
      <c r="F35" s="491"/>
      <c r="G35" s="497" t="s">
        <v>24</v>
      </c>
      <c r="H35" s="502">
        <v>0</v>
      </c>
      <c r="I35" s="489">
        <f>(26.81+106.06)/2</f>
        <v>66.435000000000002</v>
      </c>
      <c r="J35" s="489">
        <v>66.44</v>
      </c>
      <c r="K35" s="502"/>
      <c r="L35" s="489">
        <v>66.44</v>
      </c>
      <c r="M35" s="502">
        <f t="shared" si="0"/>
        <v>0</v>
      </c>
      <c r="N35" s="502">
        <f t="shared" si="1"/>
        <v>0</v>
      </c>
      <c r="O35" s="601" t="e">
        <f t="shared" si="2"/>
        <v>#DIV/0!</v>
      </c>
      <c r="P35" s="61" t="s">
        <v>1352</v>
      </c>
    </row>
    <row r="36" spans="1:20" ht="12" hidden="1" customHeight="1" x14ac:dyDescent="0.2">
      <c r="A36" s="494" t="s">
        <v>545</v>
      </c>
      <c r="B36" s="490" t="s">
        <v>1016</v>
      </c>
      <c r="C36" s="491"/>
      <c r="D36" s="491"/>
      <c r="E36" s="491"/>
      <c r="F36" s="491"/>
      <c r="G36" s="497" t="s">
        <v>24</v>
      </c>
      <c r="H36" s="502">
        <v>0</v>
      </c>
      <c r="I36" s="489">
        <f>(29.82+104.86)/2</f>
        <v>67.34</v>
      </c>
      <c r="J36" s="489">
        <v>67.34</v>
      </c>
      <c r="K36" s="502"/>
      <c r="L36" s="489">
        <v>67.34</v>
      </c>
      <c r="M36" s="502">
        <f t="shared" si="0"/>
        <v>0</v>
      </c>
      <c r="N36" s="502">
        <f t="shared" si="1"/>
        <v>0</v>
      </c>
      <c r="O36" s="601" t="e">
        <f t="shared" si="2"/>
        <v>#DIV/0!</v>
      </c>
      <c r="P36" s="61" t="s">
        <v>1352</v>
      </c>
    </row>
    <row r="37" spans="1:20" ht="12" hidden="1" customHeight="1" x14ac:dyDescent="0.2">
      <c r="A37" s="494" t="s">
        <v>545</v>
      </c>
      <c r="B37" s="490" t="s">
        <v>1326</v>
      </c>
      <c r="C37" s="491"/>
      <c r="D37" s="491"/>
      <c r="E37" s="491"/>
      <c r="F37" s="491"/>
      <c r="G37" s="497" t="s">
        <v>24</v>
      </c>
      <c r="H37" s="502">
        <v>0</v>
      </c>
      <c r="I37" s="489">
        <f>(52.73+125.08)/2</f>
        <v>88.905000000000001</v>
      </c>
      <c r="J37" s="489">
        <v>88.91</v>
      </c>
      <c r="K37" s="502"/>
      <c r="L37" s="489">
        <v>88.91</v>
      </c>
      <c r="M37" s="502">
        <f t="shared" si="0"/>
        <v>0</v>
      </c>
      <c r="N37" s="502">
        <f t="shared" si="1"/>
        <v>0</v>
      </c>
      <c r="O37" s="601" t="e">
        <f t="shared" si="2"/>
        <v>#DIV/0!</v>
      </c>
      <c r="P37" s="61" t="s">
        <v>1352</v>
      </c>
    </row>
    <row r="38" spans="1:20" ht="12" hidden="1" customHeight="1" x14ac:dyDescent="0.2">
      <c r="A38" s="494" t="s">
        <v>545</v>
      </c>
      <c r="B38" s="490" t="s">
        <v>1324</v>
      </c>
      <c r="C38" s="491"/>
      <c r="D38" s="491"/>
      <c r="E38" s="491"/>
      <c r="F38" s="491"/>
      <c r="G38" s="497" t="s">
        <v>24</v>
      </c>
      <c r="H38" s="502">
        <v>0</v>
      </c>
      <c r="I38" s="489">
        <v>26.84</v>
      </c>
      <c r="J38" s="489">
        <v>26.84</v>
      </c>
      <c r="K38" s="502"/>
      <c r="L38" s="489">
        <v>26.84</v>
      </c>
      <c r="M38" s="502">
        <f t="shared" si="0"/>
        <v>0</v>
      </c>
      <c r="N38" s="502">
        <f t="shared" si="1"/>
        <v>0</v>
      </c>
      <c r="O38" s="601" t="e">
        <f t="shared" si="2"/>
        <v>#DIV/0!</v>
      </c>
    </row>
    <row r="39" spans="1:20" ht="12" hidden="1" customHeight="1" x14ac:dyDescent="0.2">
      <c r="A39" s="494" t="s">
        <v>545</v>
      </c>
      <c r="B39" s="490" t="s">
        <v>1321</v>
      </c>
      <c r="C39" s="491"/>
      <c r="D39" s="491"/>
      <c r="E39" s="491"/>
      <c r="F39" s="491"/>
      <c r="G39" s="497" t="s">
        <v>24</v>
      </c>
      <c r="H39" s="502">
        <v>0</v>
      </c>
      <c r="I39" s="489">
        <v>29.45</v>
      </c>
      <c r="J39" s="489">
        <v>29.45</v>
      </c>
      <c r="K39" s="502"/>
      <c r="L39" s="489">
        <v>29.45</v>
      </c>
      <c r="M39" s="502">
        <f t="shared" si="0"/>
        <v>0</v>
      </c>
      <c r="N39" s="502">
        <f t="shared" si="1"/>
        <v>0</v>
      </c>
      <c r="O39" s="601" t="e">
        <f t="shared" si="2"/>
        <v>#DIV/0!</v>
      </c>
    </row>
    <row r="40" spans="1:20" ht="12" hidden="1" customHeight="1" x14ac:dyDescent="0.2">
      <c r="A40" s="494" t="s">
        <v>545</v>
      </c>
      <c r="B40" s="490" t="s">
        <v>1323</v>
      </c>
      <c r="C40" s="491"/>
      <c r="D40" s="491"/>
      <c r="E40" s="491"/>
      <c r="F40" s="491"/>
      <c r="G40" s="497" t="s">
        <v>24</v>
      </c>
      <c r="H40" s="502">
        <v>0</v>
      </c>
      <c r="I40" s="489">
        <v>31.85</v>
      </c>
      <c r="J40" s="489">
        <v>31.85</v>
      </c>
      <c r="K40" s="502"/>
      <c r="L40" s="489">
        <v>31.85</v>
      </c>
      <c r="M40" s="502">
        <f t="shared" si="0"/>
        <v>0</v>
      </c>
      <c r="N40" s="502">
        <f t="shared" si="1"/>
        <v>0</v>
      </c>
      <c r="O40" s="601" t="e">
        <f t="shared" si="2"/>
        <v>#DIV/0!</v>
      </c>
    </row>
    <row r="41" spans="1:20" ht="12" hidden="1" customHeight="1" x14ac:dyDescent="0.2">
      <c r="A41" s="494" t="s">
        <v>545</v>
      </c>
      <c r="B41" s="490" t="s">
        <v>1320</v>
      </c>
      <c r="C41" s="491"/>
      <c r="D41" s="491"/>
      <c r="E41" s="491"/>
      <c r="F41" s="491"/>
      <c r="G41" s="497" t="s">
        <v>24</v>
      </c>
      <c r="H41" s="502">
        <v>0</v>
      </c>
      <c r="I41" s="489">
        <v>40.25</v>
      </c>
      <c r="J41" s="489">
        <v>40.25</v>
      </c>
      <c r="K41" s="502"/>
      <c r="L41" s="489">
        <v>40.25</v>
      </c>
      <c r="M41" s="502">
        <f t="shared" si="0"/>
        <v>0</v>
      </c>
      <c r="N41" s="502">
        <f t="shared" si="1"/>
        <v>0</v>
      </c>
      <c r="O41" s="601" t="e">
        <f t="shared" si="2"/>
        <v>#DIV/0!</v>
      </c>
    </row>
    <row r="42" spans="1:20" ht="12" hidden="1" customHeight="1" x14ac:dyDescent="0.2">
      <c r="A42" s="494" t="s">
        <v>545</v>
      </c>
      <c r="B42" s="490" t="s">
        <v>1327</v>
      </c>
      <c r="C42" s="491"/>
      <c r="D42" s="491"/>
      <c r="E42" s="491"/>
      <c r="F42" s="491"/>
      <c r="G42" s="497" t="s">
        <v>24</v>
      </c>
      <c r="H42" s="502">
        <v>0</v>
      </c>
      <c r="I42" s="489">
        <v>67.290000000000006</v>
      </c>
      <c r="J42" s="489">
        <v>67.290000000000006</v>
      </c>
      <c r="K42" s="502"/>
      <c r="L42" s="489">
        <v>67.290000000000006</v>
      </c>
      <c r="M42" s="502">
        <f t="shared" si="0"/>
        <v>0</v>
      </c>
      <c r="N42" s="502">
        <f t="shared" si="1"/>
        <v>0</v>
      </c>
      <c r="O42" s="601" t="e">
        <f t="shared" si="2"/>
        <v>#DIV/0!</v>
      </c>
    </row>
    <row r="43" spans="1:20" ht="12" hidden="1" customHeight="1" x14ac:dyDescent="0.2">
      <c r="A43" s="494" t="s">
        <v>545</v>
      </c>
      <c r="B43" s="490" t="s">
        <v>1080</v>
      </c>
      <c r="C43" s="491"/>
      <c r="D43" s="491"/>
      <c r="E43" s="491"/>
      <c r="F43" s="491"/>
      <c r="G43" s="497" t="s">
        <v>24</v>
      </c>
      <c r="H43" s="502">
        <v>0</v>
      </c>
      <c r="I43" s="489">
        <v>42.98</v>
      </c>
      <c r="J43" s="489">
        <v>42.98</v>
      </c>
      <c r="K43" s="502"/>
      <c r="L43" s="489">
        <v>42.98</v>
      </c>
      <c r="M43" s="502">
        <f t="shared" si="0"/>
        <v>0</v>
      </c>
      <c r="N43" s="502">
        <f t="shared" si="1"/>
        <v>0</v>
      </c>
      <c r="O43" s="601" t="e">
        <f t="shared" si="2"/>
        <v>#DIV/0!</v>
      </c>
    </row>
    <row r="44" spans="1:20" ht="12" hidden="1" customHeight="1" x14ac:dyDescent="0.2">
      <c r="A44" s="494" t="s">
        <v>545</v>
      </c>
      <c r="B44" s="490" t="s">
        <v>1322</v>
      </c>
      <c r="C44" s="491"/>
      <c r="D44" s="491"/>
      <c r="E44" s="491"/>
      <c r="F44" s="491"/>
      <c r="G44" s="497" t="s">
        <v>24</v>
      </c>
      <c r="H44" s="502">
        <v>0</v>
      </c>
      <c r="I44" s="489">
        <v>36.42</v>
      </c>
      <c r="J44" s="489">
        <v>36.42</v>
      </c>
      <c r="K44" s="502"/>
      <c r="L44" s="489">
        <v>36.42</v>
      </c>
      <c r="M44" s="502">
        <f t="shared" si="0"/>
        <v>0</v>
      </c>
      <c r="N44" s="502">
        <f t="shared" si="1"/>
        <v>0</v>
      </c>
      <c r="O44" s="601" t="e">
        <f t="shared" si="2"/>
        <v>#DIV/0!</v>
      </c>
    </row>
    <row r="45" spans="1:20" s="132" customFormat="1" ht="12" hidden="1" customHeight="1" x14ac:dyDescent="0.2">
      <c r="A45" s="494" t="s">
        <v>545</v>
      </c>
      <c r="B45" s="490" t="s">
        <v>1081</v>
      </c>
      <c r="C45" s="491"/>
      <c r="D45" s="491"/>
      <c r="E45" s="491"/>
      <c r="F45" s="491"/>
      <c r="G45" s="497" t="s">
        <v>24</v>
      </c>
      <c r="H45" s="502">
        <v>0</v>
      </c>
      <c r="I45" s="489">
        <f>(3657.5+1924.5)/2</f>
        <v>2791</v>
      </c>
      <c r="J45" s="489">
        <v>2791</v>
      </c>
      <c r="K45" s="502"/>
      <c r="L45" s="489">
        <v>2791</v>
      </c>
      <c r="M45" s="502">
        <f t="shared" si="0"/>
        <v>0</v>
      </c>
      <c r="N45" s="502">
        <f t="shared" si="1"/>
        <v>0</v>
      </c>
      <c r="O45" s="601" t="e">
        <f>N45/$N$47</f>
        <v>#DIV/0!</v>
      </c>
      <c r="P45" s="61" t="s">
        <v>1338</v>
      </c>
      <c r="Q45" s="61"/>
      <c r="R45" s="61"/>
      <c r="S45" s="61"/>
      <c r="T45" s="61"/>
    </row>
    <row r="46" spans="1:20" ht="12.75" x14ac:dyDescent="0.2">
      <c r="G46" s="52"/>
      <c r="H46" s="501"/>
      <c r="I46" s="52"/>
      <c r="J46" s="52"/>
      <c r="K46" s="52"/>
      <c r="L46" s="52"/>
      <c r="M46" s="52"/>
      <c r="N46" s="52"/>
      <c r="O46" s="19"/>
    </row>
    <row r="47" spans="1:20" ht="12" customHeight="1" x14ac:dyDescent="0.2">
      <c r="B47" s="130" t="s">
        <v>18</v>
      </c>
      <c r="C47" s="131"/>
      <c r="D47" s="131"/>
      <c r="E47" s="131"/>
      <c r="F47" s="131"/>
      <c r="G47" s="53"/>
      <c r="H47" s="503"/>
      <c r="I47" s="53"/>
      <c r="J47" s="53"/>
      <c r="K47" s="53"/>
      <c r="L47" s="53"/>
      <c r="M47" s="53"/>
      <c r="N47" s="15">
        <f>SUM(N14:N45)</f>
        <v>0</v>
      </c>
      <c r="O47" s="25" t="e">
        <f>N47/N49</f>
        <v>#DIV/0!</v>
      </c>
      <c r="P47" s="149"/>
    </row>
    <row r="48" spans="1:20" ht="7.5" customHeight="1" x14ac:dyDescent="0.2">
      <c r="B48" s="130"/>
      <c r="G48" s="52"/>
      <c r="H48" s="19"/>
      <c r="I48" s="52"/>
      <c r="J48" s="52"/>
      <c r="K48" s="52"/>
      <c r="L48" s="52"/>
      <c r="M48" s="52"/>
      <c r="N48" s="15"/>
      <c r="O48" s="25"/>
    </row>
    <row r="49" spans="1:16" ht="12" customHeight="1" x14ac:dyDescent="0.2">
      <c r="A49" s="132"/>
      <c r="B49" s="133" t="s">
        <v>20</v>
      </c>
      <c r="C49" s="134"/>
      <c r="D49" s="134"/>
      <c r="E49" s="134"/>
      <c r="F49" s="134"/>
      <c r="G49" s="78"/>
      <c r="H49" s="455"/>
      <c r="I49" s="78"/>
      <c r="J49" s="78"/>
      <c r="K49" s="78"/>
      <c r="L49" s="78"/>
      <c r="M49" s="78"/>
      <c r="N49" s="83">
        <f>N47</f>
        <v>0</v>
      </c>
      <c r="O49" s="77" t="e">
        <f>N49/N51</f>
        <v>#DIV/0!</v>
      </c>
      <c r="P49" s="149"/>
    </row>
    <row r="50" spans="1:16" ht="12" customHeight="1" x14ac:dyDescent="0.2">
      <c r="A50" s="98"/>
      <c r="B50" s="88"/>
      <c r="G50" s="97"/>
      <c r="H50" s="15"/>
      <c r="I50" s="15"/>
      <c r="J50" s="15"/>
      <c r="K50" s="15"/>
      <c r="L50" s="15"/>
      <c r="M50" s="15"/>
      <c r="N50" s="15"/>
      <c r="O50" s="25"/>
    </row>
    <row r="51" spans="1:16" ht="12" customHeight="1" x14ac:dyDescent="0.2">
      <c r="A51" s="146"/>
      <c r="B51" s="147" t="s">
        <v>30</v>
      </c>
      <c r="C51" s="146"/>
      <c r="D51" s="146"/>
      <c r="E51" s="146"/>
      <c r="F51" s="146"/>
      <c r="G51" s="146"/>
      <c r="H51" s="148"/>
      <c r="I51" s="146"/>
      <c r="J51" s="146"/>
      <c r="K51" s="207"/>
      <c r="L51" s="460"/>
      <c r="M51" s="207">
        <f>SUM(M13:M50)</f>
        <v>0</v>
      </c>
      <c r="N51" s="276">
        <f>N49</f>
        <v>0</v>
      </c>
      <c r="O51" s="146"/>
    </row>
    <row r="52" spans="1:16" ht="12" customHeight="1" x14ac:dyDescent="0.2">
      <c r="A52" s="98"/>
      <c r="B52" s="88"/>
      <c r="G52" s="97"/>
      <c r="H52" s="15"/>
      <c r="I52" s="15"/>
      <c r="J52" s="15"/>
      <c r="K52" s="15"/>
      <c r="L52" s="15"/>
      <c r="M52" s="15"/>
      <c r="N52" s="15"/>
      <c r="O52" s="25"/>
    </row>
    <row r="53" spans="1:16" ht="12" customHeight="1" x14ac:dyDescent="0.2">
      <c r="A53" s="146"/>
      <c r="B53" s="147" t="s">
        <v>265</v>
      </c>
      <c r="C53" s="146"/>
      <c r="D53" s="146"/>
      <c r="E53" s="146"/>
      <c r="F53" s="146"/>
      <c r="G53" s="146"/>
      <c r="H53" s="148"/>
      <c r="I53" s="148"/>
      <c r="J53" s="148"/>
      <c r="K53" s="274"/>
      <c r="L53" s="274"/>
      <c r="M53" s="275">
        <f>M51+(M51*O7)</f>
        <v>0</v>
      </c>
      <c r="N53" s="276">
        <f>K53+M53</f>
        <v>0</v>
      </c>
      <c r="O53" s="29">
        <f>N53/RESUMO!H95</f>
        <v>0</v>
      </c>
    </row>
    <row r="54" spans="1:16" s="150" customFormat="1" ht="12" customHeight="1" x14ac:dyDescent="0.2">
      <c r="A54" s="51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</row>
    <row r="55" spans="1:16" s="150" customFormat="1" ht="12" customHeight="1" x14ac:dyDescent="0.2">
      <c r="A55" s="51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</row>
  </sheetData>
  <mergeCells count="3">
    <mergeCell ref="A2:O2"/>
    <mergeCell ref="N4:O4"/>
    <mergeCell ref="A5:B6"/>
  </mergeCells>
  <printOptions horizontalCentered="1"/>
  <pageMargins left="0.59055118110236227" right="0.59055118110236227" top="0.39370078740157483" bottom="0.59055118110236227" header="0.31496062992125984" footer="0.31496062992125984"/>
  <pageSetup paperSize="9" scale="78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legacyDrawingHF r:id="rId2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>
    <tabColor theme="6" tint="0.39997558519241921"/>
    <pageSetUpPr fitToPage="1"/>
  </sheetPr>
  <dimension ref="A1:P33"/>
  <sheetViews>
    <sheetView view="pageBreakPreview" zoomScale="90" zoomScaleNormal="90" zoomScaleSheetLayoutView="90" workbookViewId="0">
      <selection activeCell="O33" sqref="O33"/>
    </sheetView>
  </sheetViews>
  <sheetFormatPr defaultColWidth="11.42578125" defaultRowHeight="12" customHeight="1" x14ac:dyDescent="0.2"/>
  <cols>
    <col min="1" max="1" width="11.42578125" style="156"/>
    <col min="2" max="5" width="11.42578125" style="51"/>
    <col min="6" max="6" width="28.5703125" style="51" customWidth="1"/>
    <col min="7" max="9" width="11.42578125" style="51" customWidth="1"/>
    <col min="10" max="10" width="7.7109375" style="51" hidden="1" customWidth="1"/>
    <col min="11" max="11" width="14.28515625" style="51" customWidth="1"/>
    <col min="12" max="12" width="8.7109375" style="51" hidden="1" customWidth="1"/>
    <col min="13" max="13" width="14.28515625" style="51" customWidth="1"/>
    <col min="14" max="14" width="17.140625" style="51" customWidth="1"/>
    <col min="15" max="15" width="11.42578125" style="52" customWidth="1"/>
    <col min="16" max="16384" width="11.42578125" style="51"/>
  </cols>
  <sheetData>
    <row r="1" spans="1:15" ht="7.5" customHeight="1" x14ac:dyDescent="0.2"/>
    <row r="2" spans="1:15" ht="12" customHeight="1" x14ac:dyDescent="0.2">
      <c r="A2" s="774" t="s">
        <v>39</v>
      </c>
      <c r="B2" s="774"/>
      <c r="C2" s="774"/>
      <c r="D2" s="774"/>
      <c r="E2" s="774"/>
      <c r="F2" s="774"/>
      <c r="G2" s="774"/>
      <c r="H2" s="774"/>
      <c r="I2" s="774"/>
      <c r="J2" s="774"/>
      <c r="K2" s="774"/>
      <c r="L2" s="774"/>
      <c r="M2" s="774"/>
      <c r="N2" s="774"/>
      <c r="O2" s="774"/>
    </row>
    <row r="3" spans="1:15" ht="7.5" customHeight="1" thickBot="1" x14ac:dyDescent="0.25">
      <c r="A3" s="194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95"/>
    </row>
    <row r="4" spans="1:15" ht="12" customHeight="1" thickTop="1" x14ac:dyDescent="0.2">
      <c r="C4" s="257" t="s">
        <v>0</v>
      </c>
      <c r="D4" s="200" t="str">
        <f>RESUMO!D4</f>
        <v>SÃO JOSÉ DAS PALMEIRAS</v>
      </c>
      <c r="E4" s="258"/>
      <c r="F4" s="258"/>
      <c r="G4" s="257" t="s">
        <v>1</v>
      </c>
      <c r="J4" s="259"/>
      <c r="K4" s="259"/>
      <c r="L4" s="259"/>
      <c r="M4" s="259">
        <f ca="1">RESUMO!G4</f>
        <v>43657</v>
      </c>
      <c r="N4" s="832" t="str">
        <f>RESUMO!H4</f>
        <v>BDI Aplicado</v>
      </c>
      <c r="O4" s="833"/>
    </row>
    <row r="5" spans="1:15" ht="12" customHeight="1" x14ac:dyDescent="0.2">
      <c r="A5" s="770" t="s">
        <v>193</v>
      </c>
      <c r="B5" s="771"/>
      <c r="C5" s="260" t="s">
        <v>2</v>
      </c>
      <c r="D5" s="200" t="str">
        <f>RESUMO!D5</f>
        <v>SISTEMA DE ESGOTAMENTO SANITARIO - SES</v>
      </c>
      <c r="E5" s="258"/>
      <c r="F5" s="258"/>
      <c r="G5" s="260" t="s">
        <v>3</v>
      </c>
      <c r="J5" s="258"/>
      <c r="K5" s="258"/>
      <c r="L5" s="258"/>
      <c r="M5" s="258"/>
      <c r="N5" s="261" t="str">
        <f>RESUMO!H5</f>
        <v>Serviços</v>
      </c>
      <c r="O5" s="234">
        <f>RESUMO!I5</f>
        <v>0.27579999999999999</v>
      </c>
    </row>
    <row r="6" spans="1:15" ht="12" customHeight="1" x14ac:dyDescent="0.2">
      <c r="A6" s="770"/>
      <c r="B6" s="771"/>
      <c r="C6" s="260" t="s">
        <v>4</v>
      </c>
      <c r="D6" s="200"/>
      <c r="E6" s="258"/>
      <c r="F6" s="258"/>
      <c r="G6" s="260" t="s">
        <v>5</v>
      </c>
      <c r="J6" s="258"/>
      <c r="K6" s="258"/>
      <c r="L6" s="258"/>
      <c r="M6" s="258"/>
      <c r="N6" s="261" t="str">
        <f>RESUMO!H6</f>
        <v>Serv Terc:</v>
      </c>
      <c r="O6" s="234">
        <f>RESUMO!I6</f>
        <v>0.1772</v>
      </c>
    </row>
    <row r="7" spans="1:15" ht="12" customHeight="1" x14ac:dyDescent="0.2">
      <c r="A7" s="196"/>
      <c r="B7" s="697"/>
      <c r="C7" s="260" t="s">
        <v>6</v>
      </c>
      <c r="D7" s="263" t="str">
        <f>RESUMO!A84</f>
        <v>U.C. : 14</v>
      </c>
      <c r="E7" s="258"/>
      <c r="F7" s="258"/>
      <c r="G7" s="260" t="s">
        <v>9</v>
      </c>
      <c r="J7" s="277"/>
      <c r="K7" s="277"/>
      <c r="L7" s="277"/>
      <c r="M7" s="277" t="str">
        <f>RESUMO!G7</f>
        <v>Jun18 MOS4aEd v00</v>
      </c>
      <c r="N7" s="261" t="str">
        <f>RESUMO!H7</f>
        <v>Mat/Equip:</v>
      </c>
      <c r="O7" s="234">
        <f>RESUMO!I7</f>
        <v>0.1772</v>
      </c>
    </row>
    <row r="8" spans="1:15" ht="12" customHeight="1" thickBot="1" x14ac:dyDescent="0.25">
      <c r="A8" s="197"/>
      <c r="B8" s="125"/>
      <c r="C8" s="266" t="s">
        <v>8</v>
      </c>
      <c r="D8" s="267" t="str">
        <f>RESUMO!B84</f>
        <v>ESTAÇÃO ELEVATÓRIA DE ESGOTO - EEE02</v>
      </c>
      <c r="E8" s="268"/>
      <c r="F8" s="268"/>
      <c r="G8" s="266"/>
      <c r="H8" s="123"/>
      <c r="I8" s="278"/>
      <c r="J8" s="278"/>
      <c r="K8" s="278"/>
      <c r="L8" s="278"/>
      <c r="M8" s="278" t="s">
        <v>777</v>
      </c>
      <c r="N8" s="271"/>
      <c r="O8" s="268"/>
    </row>
    <row r="9" spans="1:15" ht="12" customHeight="1" thickTop="1" x14ac:dyDescent="0.2">
      <c r="A9" s="198"/>
      <c r="B9" s="126" t="s">
        <v>10</v>
      </c>
      <c r="C9" s="127"/>
      <c r="D9" s="127"/>
      <c r="E9" s="127"/>
      <c r="F9" s="127"/>
      <c r="G9" s="128" t="s">
        <v>11</v>
      </c>
      <c r="H9" s="128" t="s">
        <v>12</v>
      </c>
      <c r="I9" s="128" t="s">
        <v>13</v>
      </c>
      <c r="J9" s="128"/>
      <c r="K9" s="128" t="s">
        <v>212</v>
      </c>
      <c r="L9" s="128"/>
      <c r="M9" s="128" t="s">
        <v>213</v>
      </c>
      <c r="N9" s="128" t="s">
        <v>14</v>
      </c>
      <c r="O9" s="128" t="s">
        <v>15</v>
      </c>
    </row>
    <row r="10" spans="1:15" ht="7.5" customHeight="1" x14ac:dyDescent="0.2">
      <c r="O10" s="19"/>
    </row>
    <row r="11" spans="1:15" ht="12" customHeight="1" x14ac:dyDescent="0.2">
      <c r="A11" s="93">
        <f>RESUMO!A83</f>
        <v>9</v>
      </c>
      <c r="B11" s="93" t="str">
        <f>RESUMO!B83</f>
        <v>INSTALAÇÕES ELÉTRICAS</v>
      </c>
      <c r="H11" s="491"/>
      <c r="N11" s="52"/>
      <c r="O11" s="19"/>
    </row>
    <row r="12" spans="1:15" ht="11.25" customHeight="1" x14ac:dyDescent="0.2">
      <c r="A12" s="98" t="s">
        <v>424</v>
      </c>
      <c r="B12" s="88" t="s">
        <v>425</v>
      </c>
      <c r="G12" s="97"/>
      <c r="H12" s="495"/>
      <c r="I12" s="308"/>
      <c r="J12" s="308"/>
      <c r="K12" s="308"/>
      <c r="L12" s="308"/>
      <c r="M12" s="308"/>
      <c r="N12" s="308"/>
      <c r="O12" s="185"/>
    </row>
    <row r="13" spans="1:15" ht="11.25" customHeight="1" x14ac:dyDescent="0.2">
      <c r="A13" s="98" t="s">
        <v>683</v>
      </c>
      <c r="B13" s="200" t="s">
        <v>684</v>
      </c>
      <c r="C13" s="153"/>
      <c r="D13" s="153"/>
      <c r="E13" s="153"/>
      <c r="F13" s="153"/>
      <c r="G13" s="97" t="s">
        <v>24</v>
      </c>
      <c r="H13" s="495">
        <v>0</v>
      </c>
      <c r="I13" s="499">
        <f>SUM(K13+M13)</f>
        <v>0</v>
      </c>
      <c r="J13" s="323">
        <v>6930.52</v>
      </c>
      <c r="K13" s="308">
        <f>J13*H13</f>
        <v>0</v>
      </c>
      <c r="L13" s="323">
        <v>37577.71</v>
      </c>
      <c r="M13" s="308">
        <f>L13*H13</f>
        <v>0</v>
      </c>
      <c r="N13" s="308">
        <f>H13*I13</f>
        <v>0</v>
      </c>
      <c r="O13" s="185" t="e">
        <f>N13/N15</f>
        <v>#DIV/0!</v>
      </c>
    </row>
    <row r="14" spans="1:15" ht="11.25" customHeight="1" x14ac:dyDescent="0.2">
      <c r="B14" s="130"/>
      <c r="G14" s="52"/>
      <c r="H14" s="506"/>
      <c r="I14" s="313"/>
      <c r="J14" s="313"/>
      <c r="K14" s="313"/>
      <c r="L14" s="313"/>
      <c r="M14" s="313"/>
      <c r="N14" s="308"/>
      <c r="O14" s="185"/>
    </row>
    <row r="15" spans="1:15" ht="11.25" customHeight="1" x14ac:dyDescent="0.2">
      <c r="B15" s="130" t="s">
        <v>18</v>
      </c>
      <c r="C15" s="131"/>
      <c r="D15" s="131"/>
      <c r="E15" s="131"/>
      <c r="F15" s="131"/>
      <c r="G15" s="53"/>
      <c r="H15" s="325"/>
      <c r="I15" s="326"/>
      <c r="J15" s="326"/>
      <c r="K15" s="326"/>
      <c r="L15" s="326"/>
      <c r="M15" s="326"/>
      <c r="N15" s="308">
        <f>SUM(N13:N14)</f>
        <v>0</v>
      </c>
      <c r="O15" s="185" t="e">
        <f>N15/N17</f>
        <v>#DIV/0!</v>
      </c>
    </row>
    <row r="16" spans="1:15" ht="11.25" customHeight="1" x14ac:dyDescent="0.2">
      <c r="A16" s="98"/>
      <c r="B16" s="88"/>
      <c r="G16" s="97"/>
      <c r="H16" s="308"/>
      <c r="I16" s="308"/>
      <c r="J16" s="308"/>
      <c r="K16" s="308"/>
      <c r="L16" s="308"/>
      <c r="M16" s="308"/>
      <c r="N16" s="308"/>
      <c r="O16" s="185"/>
    </row>
    <row r="17" spans="1:16" s="132" customFormat="1" ht="11.25" customHeight="1" x14ac:dyDescent="0.2">
      <c r="A17" s="145"/>
      <c r="B17" s="133" t="s">
        <v>20</v>
      </c>
      <c r="C17" s="134"/>
      <c r="D17" s="134"/>
      <c r="E17" s="134"/>
      <c r="F17" s="134"/>
      <c r="G17" s="78"/>
      <c r="H17" s="327"/>
      <c r="I17" s="328"/>
      <c r="J17" s="328"/>
      <c r="K17" s="328"/>
      <c r="L17" s="328"/>
      <c r="M17" s="328"/>
      <c r="N17" s="310">
        <f>N15</f>
        <v>0</v>
      </c>
      <c r="O17" s="186" t="e">
        <f>N17/N19</f>
        <v>#DIV/0!</v>
      </c>
    </row>
    <row r="18" spans="1:16" ht="7.5" customHeight="1" x14ac:dyDescent="0.2">
      <c r="A18" s="202"/>
      <c r="B18" s="698"/>
      <c r="C18" s="698"/>
      <c r="D18" s="698"/>
      <c r="E18" s="698"/>
      <c r="F18" s="698"/>
      <c r="G18" s="162"/>
      <c r="H18" s="333"/>
      <c r="I18" s="333"/>
      <c r="J18" s="313"/>
      <c r="K18" s="313"/>
      <c r="L18" s="313"/>
      <c r="M18" s="313"/>
      <c r="N18" s="189"/>
      <c r="O18" s="234"/>
    </row>
    <row r="19" spans="1:16" ht="12" customHeight="1" x14ac:dyDescent="0.2">
      <c r="A19" s="206"/>
      <c r="B19" s="147" t="s">
        <v>30</v>
      </c>
      <c r="C19" s="146"/>
      <c r="D19" s="146"/>
      <c r="E19" s="146"/>
      <c r="F19" s="146"/>
      <c r="G19" s="322"/>
      <c r="H19" s="350"/>
      <c r="I19" s="393"/>
      <c r="J19" s="393"/>
      <c r="K19" s="285">
        <f>SUM(K13:K18)</f>
        <v>0</v>
      </c>
      <c r="L19" s="393"/>
      <c r="M19" s="285">
        <f>SUM(M13:M18)</f>
        <v>0</v>
      </c>
      <c r="N19" s="316">
        <f>N17</f>
        <v>0</v>
      </c>
      <c r="O19" s="29"/>
      <c r="P19" s="149"/>
    </row>
    <row r="20" spans="1:16" ht="7.5" customHeight="1" x14ac:dyDescent="0.2">
      <c r="H20" s="311"/>
      <c r="I20" s="311"/>
      <c r="J20" s="311"/>
      <c r="K20" s="311"/>
      <c r="L20" s="311"/>
      <c r="M20" s="311"/>
      <c r="N20" s="311"/>
      <c r="O20" s="219"/>
      <c r="P20" s="149"/>
    </row>
    <row r="21" spans="1:16" ht="12" customHeight="1" x14ac:dyDescent="0.2">
      <c r="A21" s="206"/>
      <c r="B21" s="147" t="s">
        <v>265</v>
      </c>
      <c r="C21" s="146"/>
      <c r="D21" s="146"/>
      <c r="E21" s="146"/>
      <c r="F21" s="146"/>
      <c r="G21" s="322"/>
      <c r="H21" s="350"/>
      <c r="I21" s="393"/>
      <c r="J21" s="393"/>
      <c r="K21" s="285">
        <f>K19+(K19*O6)</f>
        <v>0</v>
      </c>
      <c r="L21" s="393"/>
      <c r="M21" s="285">
        <f>M19+(M19*O6)</f>
        <v>0</v>
      </c>
      <c r="N21" s="316">
        <f>N19+(N19*O6)</f>
        <v>0</v>
      </c>
      <c r="O21" s="29">
        <f>N21/RESUMO!H95</f>
        <v>0</v>
      </c>
      <c r="P21" s="149"/>
    </row>
    <row r="32" spans="1:16" ht="12" customHeight="1" x14ac:dyDescent="0.2">
      <c r="A32" s="208"/>
      <c r="B32" s="150"/>
      <c r="C32" s="150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211"/>
      <c r="O32" s="210"/>
    </row>
    <row r="33" spans="1:15" ht="12" customHeight="1" x14ac:dyDescent="0.2">
      <c r="A33" s="98"/>
      <c r="C33" s="184"/>
      <c r="D33" s="184"/>
      <c r="E33" s="184"/>
      <c r="F33" s="184"/>
      <c r="G33" s="184"/>
      <c r="H33" s="184"/>
      <c r="I33" s="184"/>
      <c r="J33" s="184"/>
      <c r="K33" s="184"/>
      <c r="L33" s="184"/>
      <c r="M33" s="184"/>
      <c r="N33" s="184"/>
      <c r="O33" s="437"/>
    </row>
  </sheetData>
  <mergeCells count="3">
    <mergeCell ref="A2:O2"/>
    <mergeCell ref="N4:O4"/>
    <mergeCell ref="A5:B6"/>
  </mergeCells>
  <printOptions horizontalCentered="1"/>
  <pageMargins left="0.78740157480314965" right="0.78740157480314965" top="0.59055118110236227" bottom="0.59055118110236227" header="0.31496062992125984" footer="0.31496062992125984"/>
  <pageSetup paperSize="9" scale="73" fitToHeight="10" orientation="landscape" r:id="rId1"/>
  <headerFooter alignWithMargins="0">
    <oddHeader>&amp;L&amp;G&amp;R&amp;"Arial,Itálico"&amp;12&amp;K03+000CONSÓRCIO - CODES</oddHeader>
    <oddFooter>&amp;C&amp;"Arial,Normal"&amp;K03+000CONSÓRCIO – CODES
&amp;8Rua Camões, 1484 S.11 e 12 - Hugo Lange – CEP 80040-180Fone/Fax: |041| 3363.0775/3262.1288 – Curitiba/PR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73</vt:i4>
      </vt:variant>
      <vt:variant>
        <vt:lpstr>Intervalos Nomeados</vt:lpstr>
      </vt:variant>
      <vt:variant>
        <vt:i4>141</vt:i4>
      </vt:variant>
    </vt:vector>
  </HeadingPairs>
  <TitlesOfParts>
    <vt:vector size="214" baseType="lpstr">
      <vt:lpstr>BDI-SERVIÇOS</vt:lpstr>
      <vt:lpstr>BDI-MATERIAIS</vt:lpstr>
      <vt:lpstr>RESUMO</vt:lpstr>
      <vt:lpstr>CRONOGRAMA</vt:lpstr>
      <vt:lpstr>01</vt:lpstr>
      <vt:lpstr>02</vt:lpstr>
      <vt:lpstr>03</vt:lpstr>
      <vt:lpstr>04</vt:lpstr>
      <vt:lpstr>05</vt:lpstr>
      <vt:lpstr>06</vt:lpstr>
      <vt:lpstr>07</vt:lpstr>
      <vt:lpstr>08 - 1</vt:lpstr>
      <vt:lpstr>09 - 1</vt:lpstr>
      <vt:lpstr>08 - 2</vt:lpstr>
      <vt:lpstr>09 - 2</vt:lpstr>
      <vt:lpstr>08 - 3</vt:lpstr>
      <vt:lpstr>09 - 3</vt:lpstr>
      <vt:lpstr>08 - 4</vt:lpstr>
      <vt:lpstr>09 - 4</vt:lpstr>
      <vt:lpstr>08 - 5</vt:lpstr>
      <vt:lpstr>09 - 5</vt:lpstr>
      <vt:lpstr>08 - 6</vt:lpstr>
      <vt:lpstr>09 - 6</vt:lpstr>
      <vt:lpstr>08 - 7</vt:lpstr>
      <vt:lpstr>09 - 7</vt:lpstr>
      <vt:lpstr>08 - INT</vt:lpstr>
      <vt:lpstr>09 - INT</vt:lpstr>
      <vt:lpstr>10 - EMI</vt:lpstr>
      <vt:lpstr>11 - EMI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24 (2)</vt:lpstr>
      <vt:lpstr>26</vt:lpstr>
      <vt:lpstr>24 (3)</vt:lpstr>
      <vt:lpstr>26 (2)</vt:lpstr>
      <vt:lpstr>24 (4)</vt:lpstr>
      <vt:lpstr>26 (3)</vt:lpstr>
      <vt:lpstr>24 (5)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32 (2)</vt:lpstr>
      <vt:lpstr>33 (2)</vt:lpstr>
      <vt:lpstr>34 (2)</vt:lpstr>
      <vt:lpstr>35 (2)</vt:lpstr>
      <vt:lpstr>36 (2)</vt:lpstr>
      <vt:lpstr>37 (2)</vt:lpstr>
      <vt:lpstr>38 (2)</vt:lpstr>
      <vt:lpstr>39 (2)</vt:lpstr>
      <vt:lpstr>40 (2)</vt:lpstr>
      <vt:lpstr>'01'!Area_de_impressao</vt:lpstr>
      <vt:lpstr>'02'!Area_de_impressao</vt:lpstr>
      <vt:lpstr>'03'!Area_de_impressao</vt:lpstr>
      <vt:lpstr>'04'!Area_de_impressao</vt:lpstr>
      <vt:lpstr>'05'!Area_de_impressao</vt:lpstr>
      <vt:lpstr>'06'!Area_de_impressao</vt:lpstr>
      <vt:lpstr>'07'!Area_de_impressao</vt:lpstr>
      <vt:lpstr>'08 - 1'!Area_de_impressao</vt:lpstr>
      <vt:lpstr>'08 - 2'!Area_de_impressao</vt:lpstr>
      <vt:lpstr>'08 - 3'!Area_de_impressao</vt:lpstr>
      <vt:lpstr>'08 - 4'!Area_de_impressao</vt:lpstr>
      <vt:lpstr>'08 - 5'!Area_de_impressao</vt:lpstr>
      <vt:lpstr>'08 - 6'!Area_de_impressao</vt:lpstr>
      <vt:lpstr>'08 - 7'!Area_de_impressao</vt:lpstr>
      <vt:lpstr>'08 - INT'!Area_de_impressao</vt:lpstr>
      <vt:lpstr>'09 - 1'!Area_de_impressao</vt:lpstr>
      <vt:lpstr>'09 - 2'!Area_de_impressao</vt:lpstr>
      <vt:lpstr>'09 - 3'!Area_de_impressao</vt:lpstr>
      <vt:lpstr>'09 - 4'!Area_de_impressao</vt:lpstr>
      <vt:lpstr>'09 - 5'!Area_de_impressao</vt:lpstr>
      <vt:lpstr>'09 - 6'!Area_de_impressao</vt:lpstr>
      <vt:lpstr>'09 - 7'!Area_de_impressao</vt:lpstr>
      <vt:lpstr>'09 - INT'!Area_de_impressao</vt:lpstr>
      <vt:lpstr>'10 - EMI'!Area_de_impressao</vt:lpstr>
      <vt:lpstr>'11 - EMI'!Area_de_impressao</vt:lpstr>
      <vt:lpstr>'12'!Area_de_impressao</vt:lpstr>
      <vt:lpstr>'13'!Area_de_impressao</vt:lpstr>
      <vt:lpstr>'14'!Area_de_impressao</vt:lpstr>
      <vt:lpstr>'15'!Area_de_impressao</vt:lpstr>
      <vt:lpstr>'16'!Area_de_impressao</vt:lpstr>
      <vt:lpstr>'17'!Area_de_impressao</vt:lpstr>
      <vt:lpstr>'18'!Area_de_impressao</vt:lpstr>
      <vt:lpstr>'19'!Area_de_impressao</vt:lpstr>
      <vt:lpstr>'20'!Area_de_impressao</vt:lpstr>
      <vt:lpstr>'21'!Area_de_impressao</vt:lpstr>
      <vt:lpstr>'22'!Area_de_impressao</vt:lpstr>
      <vt:lpstr>'23'!Area_de_impressao</vt:lpstr>
      <vt:lpstr>'24'!Area_de_impressao</vt:lpstr>
      <vt:lpstr>'24 (2)'!Area_de_impressao</vt:lpstr>
      <vt:lpstr>'24 (3)'!Area_de_impressao</vt:lpstr>
      <vt:lpstr>'24 (4)'!Area_de_impressao</vt:lpstr>
      <vt:lpstr>'24 (5)'!Area_de_impressao</vt:lpstr>
      <vt:lpstr>'25'!Area_de_impressao</vt:lpstr>
      <vt:lpstr>'26'!Area_de_impressao</vt:lpstr>
      <vt:lpstr>'26 (2)'!Area_de_impressao</vt:lpstr>
      <vt:lpstr>'26 (3)'!Area_de_impressao</vt:lpstr>
      <vt:lpstr>'27'!Area_de_impressao</vt:lpstr>
      <vt:lpstr>'28'!Area_de_impressao</vt:lpstr>
      <vt:lpstr>'29'!Area_de_impressao</vt:lpstr>
      <vt:lpstr>'30'!Area_de_impressao</vt:lpstr>
      <vt:lpstr>'31'!Area_de_impressao</vt:lpstr>
      <vt:lpstr>'32'!Area_de_impressao</vt:lpstr>
      <vt:lpstr>'32 (2)'!Area_de_impressao</vt:lpstr>
      <vt:lpstr>'33'!Area_de_impressao</vt:lpstr>
      <vt:lpstr>'33 (2)'!Area_de_impressao</vt:lpstr>
      <vt:lpstr>'34'!Area_de_impressao</vt:lpstr>
      <vt:lpstr>'34 (2)'!Area_de_impressao</vt:lpstr>
      <vt:lpstr>'35'!Area_de_impressao</vt:lpstr>
      <vt:lpstr>'35 (2)'!Area_de_impressao</vt:lpstr>
      <vt:lpstr>'36'!Area_de_impressao</vt:lpstr>
      <vt:lpstr>'36 (2)'!Area_de_impressao</vt:lpstr>
      <vt:lpstr>'37'!Area_de_impressao</vt:lpstr>
      <vt:lpstr>'37 (2)'!Area_de_impressao</vt:lpstr>
      <vt:lpstr>'38'!Area_de_impressao</vt:lpstr>
      <vt:lpstr>'38 (2)'!Area_de_impressao</vt:lpstr>
      <vt:lpstr>'39'!Area_de_impressao</vt:lpstr>
      <vt:lpstr>'39 (2)'!Area_de_impressao</vt:lpstr>
      <vt:lpstr>'40'!Area_de_impressao</vt:lpstr>
      <vt:lpstr>'40 (2)'!Area_de_impressao</vt:lpstr>
      <vt:lpstr>'BDI-MATERIAIS'!Area_de_impressao</vt:lpstr>
      <vt:lpstr>'BDI-SERVIÇOS'!Area_de_impressao</vt:lpstr>
      <vt:lpstr>RESUMO!Area_de_impressao</vt:lpstr>
      <vt:lpstr>'01'!Titulos_de_impressao</vt:lpstr>
      <vt:lpstr>'02'!Titulos_de_impressao</vt:lpstr>
      <vt:lpstr>'03'!Titulos_de_impressao</vt:lpstr>
      <vt:lpstr>'04'!Titulos_de_impressao</vt:lpstr>
      <vt:lpstr>'05'!Titulos_de_impressao</vt:lpstr>
      <vt:lpstr>'06'!Titulos_de_impressao</vt:lpstr>
      <vt:lpstr>'07'!Titulos_de_impressao</vt:lpstr>
      <vt:lpstr>'08 - 1'!Titulos_de_impressao</vt:lpstr>
      <vt:lpstr>'08 - 2'!Titulos_de_impressao</vt:lpstr>
      <vt:lpstr>'08 - 3'!Titulos_de_impressao</vt:lpstr>
      <vt:lpstr>'08 - 4'!Titulos_de_impressao</vt:lpstr>
      <vt:lpstr>'08 - 5'!Titulos_de_impressao</vt:lpstr>
      <vt:lpstr>'08 - 6'!Titulos_de_impressao</vt:lpstr>
      <vt:lpstr>'08 - 7'!Titulos_de_impressao</vt:lpstr>
      <vt:lpstr>'08 - INT'!Titulos_de_impressao</vt:lpstr>
      <vt:lpstr>'09 - 1'!Titulos_de_impressao</vt:lpstr>
      <vt:lpstr>'09 - 2'!Titulos_de_impressao</vt:lpstr>
      <vt:lpstr>'09 - 3'!Titulos_de_impressao</vt:lpstr>
      <vt:lpstr>'09 - 4'!Titulos_de_impressao</vt:lpstr>
      <vt:lpstr>'09 - 5'!Titulos_de_impressao</vt:lpstr>
      <vt:lpstr>'09 - 6'!Titulos_de_impressao</vt:lpstr>
      <vt:lpstr>'09 - 7'!Titulos_de_impressao</vt:lpstr>
      <vt:lpstr>'09 - INT'!Titulos_de_impressao</vt:lpstr>
      <vt:lpstr>'10 - EMI'!Titulos_de_impressao</vt:lpstr>
      <vt:lpstr>'11 - EMI'!Titulos_de_impressao</vt:lpstr>
      <vt:lpstr>'12'!Titulos_de_impressao</vt:lpstr>
      <vt:lpstr>'13'!Titulos_de_impressao</vt:lpstr>
      <vt:lpstr>'14'!Titulos_de_impressao</vt:lpstr>
      <vt:lpstr>'15'!Titulos_de_impressao</vt:lpstr>
      <vt:lpstr>'16'!Titulos_de_impressao</vt:lpstr>
      <vt:lpstr>'17'!Titulos_de_impressao</vt:lpstr>
      <vt:lpstr>'18'!Titulos_de_impressao</vt:lpstr>
      <vt:lpstr>'19'!Titulos_de_impressao</vt:lpstr>
      <vt:lpstr>'20'!Titulos_de_impressao</vt:lpstr>
      <vt:lpstr>'21'!Titulos_de_impressao</vt:lpstr>
      <vt:lpstr>'22'!Titulos_de_impressao</vt:lpstr>
      <vt:lpstr>'23'!Titulos_de_impressao</vt:lpstr>
      <vt:lpstr>'24'!Titulos_de_impressao</vt:lpstr>
      <vt:lpstr>'24 (2)'!Titulos_de_impressao</vt:lpstr>
      <vt:lpstr>'24 (3)'!Titulos_de_impressao</vt:lpstr>
      <vt:lpstr>'24 (4)'!Titulos_de_impressao</vt:lpstr>
      <vt:lpstr>'24 (5)'!Titulos_de_impressao</vt:lpstr>
      <vt:lpstr>'25'!Titulos_de_impressao</vt:lpstr>
      <vt:lpstr>'26'!Titulos_de_impressao</vt:lpstr>
      <vt:lpstr>'26 (2)'!Titulos_de_impressao</vt:lpstr>
      <vt:lpstr>'26 (3)'!Titulos_de_impressao</vt:lpstr>
      <vt:lpstr>'27'!Titulos_de_impressao</vt:lpstr>
      <vt:lpstr>'28'!Titulos_de_impressao</vt:lpstr>
      <vt:lpstr>'29'!Titulos_de_impressao</vt:lpstr>
      <vt:lpstr>'30'!Titulos_de_impressao</vt:lpstr>
      <vt:lpstr>'31'!Titulos_de_impressao</vt:lpstr>
      <vt:lpstr>'32'!Titulos_de_impressao</vt:lpstr>
      <vt:lpstr>'32 (2)'!Titulos_de_impressao</vt:lpstr>
      <vt:lpstr>'33'!Titulos_de_impressao</vt:lpstr>
      <vt:lpstr>'33 (2)'!Titulos_de_impressao</vt:lpstr>
      <vt:lpstr>'34'!Titulos_de_impressao</vt:lpstr>
      <vt:lpstr>'34 (2)'!Titulos_de_impressao</vt:lpstr>
      <vt:lpstr>'35'!Titulos_de_impressao</vt:lpstr>
      <vt:lpstr>'35 (2)'!Titulos_de_impressao</vt:lpstr>
      <vt:lpstr>'36'!Titulos_de_impressao</vt:lpstr>
      <vt:lpstr>'36 (2)'!Titulos_de_impressao</vt:lpstr>
      <vt:lpstr>'37'!Titulos_de_impressao</vt:lpstr>
      <vt:lpstr>'37 (2)'!Titulos_de_impressao</vt:lpstr>
      <vt:lpstr>'38'!Titulos_de_impressao</vt:lpstr>
      <vt:lpstr>'38 (2)'!Titulos_de_impressao</vt:lpstr>
      <vt:lpstr>'39'!Titulos_de_impressao</vt:lpstr>
      <vt:lpstr>'39 (2)'!Titulos_de_impressao</vt:lpstr>
      <vt:lpstr>'40'!Titulos_de_impressao</vt:lpstr>
      <vt:lpstr>'40 (2)'!Titulos_de_impressao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SEVEN</dc:creator>
  <cp:lastModifiedBy>micro-64</cp:lastModifiedBy>
  <cp:lastPrinted>2019-05-28T15:53:23Z</cp:lastPrinted>
  <dcterms:created xsi:type="dcterms:W3CDTF">2011-07-06T19:20:58Z</dcterms:created>
  <dcterms:modified xsi:type="dcterms:W3CDTF">2019-07-11T13:48:24Z</dcterms:modified>
</cp:coreProperties>
</file>